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ENRON!$A$1:$AN$52</definedName>
    <definedName name="Print_Area_MI">#REF!</definedName>
    <definedName name="_xlnm.Print_Titles" localSheetId="1">ENRON!$A:$C,ENRON!$1:$6</definedName>
    <definedName name="weekly">ENRON!$E$7:$AN$90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T13" i="2"/>
  <c r="AV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E22" i="2"/>
  <c r="T22" i="2"/>
  <c r="Z22" i="2"/>
  <c r="AD22" i="2"/>
  <c r="AF22" i="2"/>
  <c r="AH22" i="2"/>
  <c r="AJ22" i="2"/>
  <c r="AL22" i="2"/>
  <c r="AN22" i="2"/>
  <c r="AP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I25" i="2"/>
  <c r="M25" i="2"/>
  <c r="Q25" i="2"/>
  <c r="T25" i="2"/>
  <c r="V25" i="2"/>
  <c r="Z25" i="2"/>
  <c r="AD25" i="2"/>
  <c r="AF25" i="2"/>
  <c r="AH25" i="2"/>
  <c r="AJ25" i="2"/>
  <c r="AL25" i="2"/>
  <c r="AN25" i="2"/>
  <c r="A31" i="2"/>
  <c r="C31" i="2"/>
  <c r="E31" i="2"/>
  <c r="X31" i="2"/>
  <c r="Z31" i="2"/>
  <c r="AB31" i="2"/>
  <c r="AD31" i="2"/>
  <c r="AH31" i="2"/>
  <c r="AJ31" i="2"/>
  <c r="AL31" i="2"/>
  <c r="AN31" i="2"/>
  <c r="A32" i="2"/>
  <c r="C32" i="2"/>
  <c r="E32" i="2"/>
  <c r="X32" i="2"/>
  <c r="Z32" i="2"/>
  <c r="AB32" i="2"/>
  <c r="AD32" i="2"/>
  <c r="AH32" i="2"/>
  <c r="AJ32" i="2"/>
  <c r="AL32" i="2"/>
  <c r="AN32" i="2"/>
  <c r="A33" i="2"/>
  <c r="C33" i="2"/>
  <c r="E33" i="2"/>
  <c r="X33" i="2"/>
  <c r="Z33" i="2"/>
  <c r="AB33" i="2"/>
  <c r="AD33" i="2"/>
  <c r="AH33" i="2"/>
  <c r="AJ33" i="2"/>
  <c r="AL33" i="2"/>
  <c r="AN33" i="2"/>
  <c r="A34" i="2"/>
  <c r="C34" i="2"/>
  <c r="E34" i="2"/>
  <c r="X34" i="2"/>
  <c r="Z34" i="2"/>
  <c r="AH34" i="2"/>
  <c r="AJ34" i="2"/>
  <c r="AL34" i="2"/>
  <c r="AN34" i="2"/>
  <c r="A35" i="2"/>
  <c r="C35" i="2"/>
  <c r="E35" i="2"/>
  <c r="X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X37" i="2"/>
  <c r="Z37" i="2"/>
  <c r="AH37" i="2"/>
  <c r="AJ37" i="2"/>
  <c r="AL37" i="2"/>
  <c r="AN37" i="2"/>
  <c r="A38" i="2"/>
  <c r="C38" i="2"/>
  <c r="E38" i="2"/>
  <c r="X38" i="2"/>
  <c r="Z38" i="2"/>
  <c r="AB38" i="2"/>
  <c r="AD38" i="2"/>
  <c r="AH38" i="2"/>
  <c r="AJ38" i="2"/>
  <c r="AL38" i="2"/>
  <c r="AN38" i="2"/>
  <c r="A39" i="2"/>
  <c r="C39" i="2"/>
  <c r="E39" i="2"/>
  <c r="X39" i="2"/>
  <c r="Z39" i="2"/>
  <c r="AB39" i="2"/>
  <c r="AD39" i="2"/>
  <c r="AH39" i="2"/>
  <c r="AJ39" i="2"/>
  <c r="AL39" i="2"/>
  <c r="AN39" i="2"/>
  <c r="A40" i="2"/>
  <c r="C40" i="2"/>
  <c r="E40" i="2"/>
  <c r="X40" i="2"/>
  <c r="Z40" i="2"/>
  <c r="AB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9" i="2"/>
  <c r="X89" i="2"/>
  <c r="AB89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<sst xmlns="http://schemas.openxmlformats.org/spreadsheetml/2006/main" count="193" uniqueCount="123">
  <si>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</si>
  <si>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</si>
  <si>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</si>
  <si>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</si>
  <si>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</si>
  <si>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</si>
  <si>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</si>
  <si>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</si>
  <si>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</si>
  <si>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</si>
  <si>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</si>
  <si>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</si>
  <si>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</si>
  <si>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</si>
  <si>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</si>
  <si>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Jefferies &amp; Company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</si>
  <si>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</si>
  <si>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</si>
  <si>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</si>
  <si>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</si>
  <si>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</si>
  <si>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</si>
  <si>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</si>
  <si>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</si>
  <si>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</si>
  <si>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</si>
  <si>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</si>
  <si>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</si>
  <si>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</si>
  <si>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</si>
  <si>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</si>
  <si>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</si>
  <si>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</si>
  <si>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</si>
  <si>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</si>
  <si>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</si>
  <si>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</si>
  <si>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</si>
  <si>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</si>
  <si>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</si>
  <si>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</si>
  <si>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</si>
  <si>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</si>
  <si>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</si>
  <si>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</si>
  <si>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</si>
  <si>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</si>
  <si>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</si>
  <si>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</si>
  <si>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</si>
  <si>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</si>
  <si>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</si>
  <si>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</si>
  <si>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</si>
  <si>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</si>
  <si>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</si>
  <si>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</si>
  <si>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</si>
  <si>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</si>
  <si>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</si>
  <si>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</si>
  <si>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</si>
  <si>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</si>
  <si>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</si>
  <si>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</si>
  <si>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</si>
  <si>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</si>
  <si>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</si>
  <si>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</si>
  <si>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 xml:space="preserve">12/31/98 Closing </t>
  </si>
  <si>
    <t>Schroders</t>
  </si>
  <si>
    <t>SPX</t>
  </si>
  <si>
    <t>2000 EPS</t>
  </si>
  <si>
    <t>J P Morgan</t>
  </si>
  <si>
    <t xml:space="preserve">Deutsche BankAB </t>
  </si>
  <si>
    <t>BofA Montgomery</t>
  </si>
  <si>
    <t>CSFB</t>
  </si>
  <si>
    <t>Warbug Dillon Reed</t>
  </si>
  <si>
    <t>Kinder Morgan</t>
  </si>
  <si>
    <t>KMI</t>
  </si>
  <si>
    <t>Robertson Stephens</t>
  </si>
  <si>
    <t>DRW</t>
  </si>
  <si>
    <t>Friday</t>
  </si>
  <si>
    <t>AES</t>
  </si>
  <si>
    <t>2001 EPS</t>
  </si>
  <si>
    <t>NA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</si>
  <si>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</si>
  <si>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</si>
  <si>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</si>
  <si>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</si>
  <si>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</si>
  <si>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</si>
  <si>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</si>
  <si>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</si>
  <si>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</si>
  <si>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</si>
  <si>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</si>
  <si>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</si>
  <si>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</si>
  <si>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</si>
  <si>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</si>
  <si>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</si>
  <si>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</si>
  <si>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Enery Peer Group Average</t>
  </si>
  <si>
    <t>Energy Peer Group</t>
  </si>
  <si>
    <t>EPS</t>
  </si>
  <si>
    <t>Williams Company</t>
  </si>
  <si>
    <t>Communications Peer Average</t>
  </si>
  <si>
    <t>** Consensus information is not available.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</si>
  <si>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</si>
  <si>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</si>
  <si>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</si>
  <si>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</si>
  <si>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</si>
  <si>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</si>
  <si>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</si>
  <si>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Bear Stearns</t>
  </si>
  <si>
    <t>Salomon Smith Barney</t>
  </si>
  <si>
    <t>AES Corp. ***</t>
  </si>
  <si>
    <t>*** 2 for 1 stock split effective 6/2/00.</t>
  </si>
  <si>
    <t>Energy Peers</t>
  </si>
  <si>
    <t>Communications/B2B Peers</t>
  </si>
  <si>
    <t>Dynegy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</si>
</sst>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8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9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7" fontId="15" fillId="5" borderId="6" xfId="0" applyNumberFormat="1" applyFont="1" applyFill="1" applyBorder="1" applyAlignment="1" applyProtection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1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6_02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3813.35</val>
          </value>
        </values>
      </ddeItem>
      <ddeItem name=".SPX" advise="1">
        <values>
          <value>
            <val>1477.26</val>
          </value>
        </values>
      </ddeItem>
      <ddeItem name="AES" advise="1">
        <values>
          <value>
            <val>46</val>
          </value>
        </values>
      </ddeItem>
      <ddeItem name="AES,DIVIDEND" advise="1">
        <values>
          <value>
            <val>0</val>
          </value>
        </values>
      </ddeItem>
      <ddeItem name="CG">
        <values>
          <value>
            <val>65.125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59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45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57.6875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74.9375</val>
          </value>
        </values>
      </ddeItem>
      <ddeItem name="DYN,DIVIDEND">
        <values>
          <value>
            <val>0.6</val>
          </value>
        </values>
      </ddeItem>
      <ddeItem name="ENE">
        <values>
          <value>
            <val>69.5</val>
          </value>
        </values>
      </ddeItem>
      <ddeItem name="EPG">
        <values>
          <value>
            <val>49.625</val>
          </value>
        </values>
      </ddeItem>
      <ddeItem name="EPG,DIVIDEND">
        <values>
          <value>
            <val>0.82</val>
          </value>
        </values>
      </ddeItem>
      <ddeItem name="KMI" advise="1">
        <values>
          <value>
            <val>32.625</val>
          </value>
        </values>
      </ddeItem>
      <ddeItem name="KMI,DIVIDEND" advise="1">
        <values>
          <value>
            <val>0.2</val>
          </value>
        </values>
      </ddeItem>
      <ddeItem name="PCG">
        <values>
          <value>
            <val>25.8125</val>
          </value>
        </values>
      </ddeItem>
      <ddeItem name="PCG,DIVIDEND" advise="1">
        <values>
          <value>
            <val>1.2</val>
          </value>
        </values>
      </ddeItem>
      <ddeItem name="TRP">
        <values>
          <value>
            <val>8</val>
          </value>
        </values>
      </ddeItem>
      <ddeItem name="WMB">
        <values>
          <value>
            <val>43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2-00 "/>
      <sheetName val="download"/>
      <sheetName val="Sheet2"/>
      <sheetName val="Sheet3"/>
      <sheetName val="5-26-00 "/>
    </sheetNames>
    <sheetDataSet>
      <sheetData sheetId="0">
        <row r="17">
          <cell r="A17" t="str">
            <v>Akamai*</v>
          </cell>
          <cell r="B17" t="str">
            <v>AKAM</v>
          </cell>
          <cell r="C17">
            <v>89</v>
          </cell>
          <cell r="F17">
            <v>77.2</v>
          </cell>
          <cell r="G17">
            <v>120.22839378238341</v>
          </cell>
          <cell r="I17">
            <v>159.9</v>
          </cell>
          <cell r="J17">
            <v>58.046479049405875</v>
          </cell>
          <cell r="L17">
            <v>0.48488008342022942</v>
          </cell>
          <cell r="N17">
            <v>-44.655999999999999</v>
          </cell>
          <cell r="O17">
            <v>-72.834999999999994</v>
          </cell>
        </row>
        <row r="19">
          <cell r="A19" t="str">
            <v>Digital Island*</v>
          </cell>
          <cell r="B19" t="str">
            <v>ISLD</v>
          </cell>
          <cell r="C19">
            <v>25.8125</v>
          </cell>
          <cell r="F19">
            <v>53.5</v>
          </cell>
          <cell r="G19">
            <v>32.259835280373828</v>
          </cell>
          <cell r="I19">
            <v>154.6</v>
          </cell>
          <cell r="J19">
            <v>11.16365580530401</v>
          </cell>
          <cell r="L19">
            <v>0.45422535211267606</v>
          </cell>
          <cell r="N19">
            <v>-57.640999999999998</v>
          </cell>
          <cell r="O19">
            <v>-72.864999999999995</v>
          </cell>
        </row>
        <row r="22">
          <cell r="A22" t="str">
            <v>InterNap</v>
          </cell>
          <cell r="B22" t="str">
            <v>INAP</v>
          </cell>
          <cell r="C22">
            <v>35.375</v>
          </cell>
          <cell r="F22">
            <v>61.4</v>
          </cell>
          <cell r="G22">
            <v>77.326062703583062</v>
          </cell>
          <cell r="I22">
            <v>142.6</v>
          </cell>
          <cell r="J22">
            <v>33.294672159887796</v>
          </cell>
          <cell r="L22">
            <v>0.38048780487804879</v>
          </cell>
          <cell r="N22">
            <v>-23.097999999999999</v>
          </cell>
          <cell r="O22">
            <v>-59.103999999999999</v>
          </cell>
        </row>
        <row r="33">
          <cell r="A33" t="str">
            <v>Williams Communications**</v>
          </cell>
          <cell r="B33" t="str">
            <v>WCG</v>
          </cell>
          <cell r="C33">
            <v>39.6875</v>
          </cell>
          <cell r="I33">
            <v>2567.6</v>
          </cell>
          <cell r="J33">
            <v>7.1664873081866336</v>
          </cell>
          <cell r="L33">
            <v>0.15454545454545454</v>
          </cell>
          <cell r="N33">
            <v>-23.494</v>
          </cell>
          <cell r="O33">
            <v>37.149000000000001</v>
          </cell>
        </row>
        <row r="34">
          <cell r="A34" t="str">
            <v>Level3**</v>
          </cell>
          <cell r="B34" t="str">
            <v>LVLT</v>
          </cell>
          <cell r="C34">
            <v>84.1875</v>
          </cell>
          <cell r="I34">
            <v>1076.5</v>
          </cell>
          <cell r="J34">
            <v>28.600523165350676</v>
          </cell>
          <cell r="L34">
            <v>0.23126142595978061</v>
          </cell>
          <cell r="N34">
            <v>-20.39</v>
          </cell>
          <cell r="O34">
            <v>2.8239999999999998</v>
          </cell>
        </row>
        <row r="35">
          <cell r="A35" t="str">
            <v>Global Crossing**</v>
          </cell>
          <cell r="B35" t="str">
            <v>GBLX</v>
          </cell>
          <cell r="C35">
            <v>29</v>
          </cell>
          <cell r="I35">
            <v>5672</v>
          </cell>
          <cell r="J35">
            <v>4.1805299717912554</v>
          </cell>
          <cell r="L35">
            <v>0.14567901234567901</v>
          </cell>
          <cell r="N35">
            <v>-29.16</v>
          </cell>
          <cell r="O35">
            <v>-42</v>
          </cell>
        </row>
        <row r="36">
          <cell r="A36" t="str">
            <v>Qwest</v>
          </cell>
          <cell r="B36" t="str">
            <v>Q</v>
          </cell>
          <cell r="C36">
            <v>45.125</v>
          </cell>
          <cell r="I36">
            <v>5156.2</v>
          </cell>
          <cell r="J36">
            <v>6.6030822117062957</v>
          </cell>
          <cell r="L36">
            <v>9.3939393939393934E-2</v>
          </cell>
          <cell r="N36">
            <v>-5.99</v>
          </cell>
          <cell r="O36">
            <v>4.9420000000000002</v>
          </cell>
        </row>
        <row r="56">
          <cell r="A56" t="str">
            <v>Ariba</v>
          </cell>
          <cell r="B56" t="str">
            <v>ARBA</v>
          </cell>
          <cell r="C56">
            <v>70.5</v>
          </cell>
          <cell r="F56">
            <v>173.8</v>
          </cell>
          <cell r="G56">
            <v>95.650814154200219</v>
          </cell>
          <cell r="I56">
            <v>348.5</v>
          </cell>
          <cell r="J56">
            <v>47.701898134863697</v>
          </cell>
          <cell r="L56">
            <v>0.33491124260355032</v>
          </cell>
          <cell r="N56">
            <v>-32.737000000000002</v>
          </cell>
          <cell r="O56">
            <v>-20.507000000000001</v>
          </cell>
        </row>
        <row r="57">
          <cell r="A57" t="str">
            <v>Commerce One</v>
          </cell>
          <cell r="B57" t="str">
            <v>CMRC</v>
          </cell>
          <cell r="C57">
            <v>50.3125</v>
          </cell>
          <cell r="F57">
            <v>215.4</v>
          </cell>
          <cell r="G57">
            <v>36.355336002785506</v>
          </cell>
          <cell r="I57">
            <v>404.9</v>
          </cell>
          <cell r="J57">
            <v>19.340428192146209</v>
          </cell>
          <cell r="L57">
            <v>0.37372013651877134</v>
          </cell>
          <cell r="N57">
            <v>-32.58</v>
          </cell>
          <cell r="O57">
            <v>-48.790999999999997</v>
          </cell>
        </row>
        <row r="58">
          <cell r="A58" t="str">
            <v>i2</v>
          </cell>
          <cell r="B58" t="str">
            <v>ITWO</v>
          </cell>
          <cell r="C58">
            <v>129.125</v>
          </cell>
          <cell r="F58">
            <v>800.8</v>
          </cell>
          <cell r="G58">
            <v>25.741636332417585</v>
          </cell>
          <cell r="I58">
            <v>1091.3</v>
          </cell>
          <cell r="J58">
            <v>18.889308508201228</v>
          </cell>
          <cell r="L58">
            <v>0.35209424083769636</v>
          </cell>
          <cell r="N58">
            <v>5.7320000000000002</v>
          </cell>
          <cell r="O58">
            <v>32.436</v>
          </cell>
        </row>
      </sheetData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8.90625" defaultRowHeight="15.6" x14ac:dyDescent="0.3"/>
  <cols>
    <col min="1" max="1" width="23.6328125" style="238" bestFit="1" customWidth="1"/>
    <col min="2" max="2" width="8.90625" style="239"/>
    <col min="3" max="3" width="2" style="238" customWidth="1"/>
    <col min="4" max="4" width="7.81640625" style="238" customWidth="1"/>
    <col min="5" max="5" width="1.08984375" style="238" customWidth="1"/>
    <col min="6" max="6" width="7.90625" style="238" customWidth="1"/>
    <col min="7" max="7" width="1.1796875" style="238" customWidth="1"/>
    <col min="8" max="8" width="7.1796875" style="238" customWidth="1"/>
    <col min="9" max="9" width="0.81640625" style="238" customWidth="1"/>
    <col min="10" max="16384" width="8.90625" style="238"/>
  </cols>
  <sheetData>
    <row r="1" spans="1:10" ht="18.75" customHeight="1" x14ac:dyDescent="0.3">
      <c r="A1" s="238" t="s">
        <v>89</v>
      </c>
    </row>
    <row r="2" spans="1:10" ht="18" customHeight="1" x14ac:dyDescent="0.3">
      <c r="A2" s="318" t="s">
        <v>22</v>
      </c>
    </row>
    <row r="3" spans="1:10" ht="16.2" thickBot="1" x14ac:dyDescent="0.35"/>
    <row r="4" spans="1:10" ht="16.2" thickBot="1" x14ac:dyDescent="0.35">
      <c r="B4" s="240">
        <v>2000</v>
      </c>
      <c r="D4" s="320" t="s">
        <v>90</v>
      </c>
      <c r="E4" s="321"/>
      <c r="F4" s="321"/>
      <c r="G4" s="321"/>
      <c r="H4" s="322"/>
    </row>
    <row r="5" spans="1:10" ht="31.8" thickBot="1" x14ac:dyDescent="0.35">
      <c r="B5" s="241" t="s">
        <v>40</v>
      </c>
      <c r="D5" s="242" t="s">
        <v>26</v>
      </c>
      <c r="E5" s="243"/>
      <c r="F5" s="244" t="s">
        <v>27</v>
      </c>
      <c r="G5" s="245"/>
      <c r="H5" s="246" t="s">
        <v>28</v>
      </c>
    </row>
    <row r="6" spans="1:10" x14ac:dyDescent="0.3">
      <c r="A6" s="238" t="s">
        <v>91</v>
      </c>
      <c r="B6" s="247">
        <f>ENRON!Z7</f>
        <v>49.592252803261992</v>
      </c>
      <c r="D6" s="254">
        <f>ENRON!AH7</f>
        <v>-4.4682752457551383E-3</v>
      </c>
      <c r="E6" s="248"/>
      <c r="F6" s="249">
        <f>ENRON!AJ7</f>
        <v>-7.0116861435726208E-2</v>
      </c>
      <c r="G6" s="248"/>
      <c r="H6" s="250">
        <f>ENRON!AL7</f>
        <v>0.57183098591549297</v>
      </c>
    </row>
    <row r="7" spans="1:10" x14ac:dyDescent="0.3">
      <c r="A7" s="238" t="s">
        <v>92</v>
      </c>
      <c r="B7" s="251">
        <f>ENRON!Z9</f>
        <v>25.646874999999998</v>
      </c>
      <c r="D7" s="255">
        <f>ENRON!AH9</f>
        <v>7.232841323057726E-2</v>
      </c>
      <c r="E7" s="252"/>
      <c r="F7" s="256">
        <f>ENRON!AJ9</f>
        <v>-1.214282854435525E-2</v>
      </c>
      <c r="G7" s="252"/>
      <c r="H7" s="257">
        <f>ENRON!AL9</f>
        <v>1.0347385758817346E-2</v>
      </c>
    </row>
    <row r="8" spans="1:10" x14ac:dyDescent="0.3">
      <c r="A8" s="238" t="s">
        <v>96</v>
      </c>
      <c r="B8" s="251" t="str">
        <f>ENRON!Z10</f>
        <v xml:space="preserve">N/A </v>
      </c>
      <c r="D8" s="255">
        <f>ENRON!AH10</f>
        <v>0.18982187818826798</v>
      </c>
      <c r="E8" s="252"/>
      <c r="F8" s="256">
        <f>ENRON!AJ10</f>
        <v>-0.16586884880239858</v>
      </c>
      <c r="G8" s="252"/>
      <c r="H8" s="257">
        <f>ENRON!AL10</f>
        <v>-6.2258466423054562E-2</v>
      </c>
    </row>
    <row r="9" spans="1:10" x14ac:dyDescent="0.3">
      <c r="A9" s="238" t="s">
        <v>120</v>
      </c>
      <c r="B9" s="251">
        <f>ENRON!Z25</f>
        <v>24.611749549185706</v>
      </c>
      <c r="C9" s="308"/>
      <c r="D9" s="255">
        <f>ENRON!AH25</f>
        <v>2.1265875865753511E-2</v>
      </c>
      <c r="E9" s="252"/>
      <c r="F9" s="256">
        <f>ENRON!AJ25</f>
        <v>0.1359814979594561</v>
      </c>
      <c r="G9" s="309"/>
      <c r="H9" s="257">
        <f>ENRON!AL25</f>
        <v>0.35940506051756849</v>
      </c>
      <c r="I9" s="308"/>
      <c r="J9" s="308"/>
    </row>
    <row r="10" spans="1:10" ht="16.2" thickBot="1" x14ac:dyDescent="0.35">
      <c r="A10" s="238" t="s">
        <v>121</v>
      </c>
      <c r="B10" s="316" t="s">
        <v>95</v>
      </c>
      <c r="D10" s="317">
        <f>ENRON!AH42</f>
        <v>0.30057441471612806</v>
      </c>
      <c r="E10" s="312"/>
      <c r="F10" s="313">
        <f>ENRON!AJ42</f>
        <v>-26.401399999999995</v>
      </c>
      <c r="G10" s="314"/>
      <c r="H10" s="315">
        <f>ENRON!AL42</f>
        <v>-23.875099999999996</v>
      </c>
    </row>
    <row r="11" spans="1:10" x14ac:dyDescent="0.3">
      <c r="D11" s="310"/>
    </row>
    <row r="12" spans="1:10" x14ac:dyDescent="0.3">
      <c r="A12" s="253"/>
      <c r="F12" s="31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5"/>
  <sheetViews>
    <sheetView tabSelected="1" workbookViewId="0">
      <pane xSplit="3" topLeftCell="D1" activePane="topRight" state="frozen"/>
      <selection pane="topRight" activeCell="D1" sqref="D1"/>
    </sheetView>
  </sheetViews>
  <sheetFormatPr defaultColWidth="9.81640625" defaultRowHeight="15" x14ac:dyDescent="0.25"/>
  <cols>
    <col min="1" max="1" width="17.45312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hidden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hidden="1" customWidth="1"/>
    <col min="24" max="24" width="9.81640625" style="1" bestFit="1" customWidth="1"/>
    <col min="25" max="25" width="1.81640625" style="1" customWidth="1"/>
    <col min="26" max="26" width="6.1796875" style="1" bestFit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customWidth="1"/>
    <col min="32" max="32" width="8" style="1" hidden="1" customWidth="1"/>
    <col min="33" max="33" width="0.90625" style="11" hidden="1" customWidth="1"/>
    <col min="34" max="34" width="7" style="11" customWidth="1"/>
    <col min="35" max="35" width="1.1796875" style="11" customWidth="1"/>
    <col min="36" max="36" width="8.54296875" style="11" bestFit="1" customWidth="1"/>
    <col min="37" max="37" width="0.90625" style="11" customWidth="1"/>
    <col min="38" max="38" width="7.6328125" style="1" bestFit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2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21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82</v>
      </c>
    </row>
    <row r="2" spans="1:50" ht="17.399999999999999" x14ac:dyDescent="0.3">
      <c r="A2" s="58" t="s">
        <v>22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36679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26">
        <v>2000</v>
      </c>
      <c r="Y4" s="327"/>
      <c r="Z4" s="328"/>
      <c r="AA4" s="184"/>
      <c r="AB4" s="326">
        <v>2001</v>
      </c>
      <c r="AC4" s="327"/>
      <c r="AD4" s="328"/>
      <c r="AE4" s="4"/>
      <c r="AF4" s="68" t="s">
        <v>23</v>
      </c>
      <c r="AG4" s="67"/>
      <c r="AH4" s="69" t="s">
        <v>24</v>
      </c>
      <c r="AI4" s="70"/>
      <c r="AJ4" s="70"/>
      <c r="AK4" s="70"/>
      <c r="AL4" s="71"/>
      <c r="AN4" s="13"/>
      <c r="AO4" s="22"/>
      <c r="AP4" s="25" t="s">
        <v>25</v>
      </c>
      <c r="AQ4" s="25"/>
      <c r="AR4" s="203"/>
      <c r="AS4" s="21" t="s">
        <v>26</v>
      </c>
      <c r="AT4" s="72"/>
      <c r="AU4" s="21" t="s">
        <v>27</v>
      </c>
      <c r="AV4" s="21"/>
      <c r="AW4" s="21" t="s">
        <v>28</v>
      </c>
      <c r="AX4" s="21"/>
    </row>
    <row r="5" spans="1:50" x14ac:dyDescent="0.25">
      <c r="A5" s="4"/>
      <c r="B5" s="4"/>
      <c r="C5" s="8"/>
      <c r="D5" s="4"/>
      <c r="E5" s="73" t="s">
        <v>29</v>
      </c>
      <c r="F5" s="4"/>
      <c r="G5" s="74" t="s">
        <v>30</v>
      </c>
      <c r="H5" s="75"/>
      <c r="I5" s="76"/>
      <c r="J5" s="4"/>
      <c r="K5" s="74" t="s">
        <v>30</v>
      </c>
      <c r="L5" s="75"/>
      <c r="M5" s="76"/>
      <c r="N5" s="4"/>
      <c r="O5" s="74" t="s">
        <v>30</v>
      </c>
      <c r="P5" s="75"/>
      <c r="Q5" s="76"/>
      <c r="R5" s="4"/>
      <c r="S5" s="74" t="s">
        <v>30</v>
      </c>
      <c r="T5" s="76"/>
      <c r="U5" s="67"/>
      <c r="V5" s="68" t="s">
        <v>31</v>
      </c>
      <c r="W5" s="77"/>
      <c r="X5" s="74" t="s">
        <v>30</v>
      </c>
      <c r="Y5" s="214"/>
      <c r="Z5" s="76"/>
      <c r="AA5" s="78"/>
      <c r="AB5" s="74" t="s">
        <v>30</v>
      </c>
      <c r="AC5" s="214"/>
      <c r="AD5" s="76"/>
      <c r="AE5" s="78"/>
      <c r="AF5" s="79" t="s">
        <v>31</v>
      </c>
      <c r="AG5" s="77"/>
      <c r="AH5" s="80" t="s">
        <v>32</v>
      </c>
      <c r="AI5" s="77"/>
      <c r="AJ5" s="77" t="s">
        <v>33</v>
      </c>
      <c r="AK5" s="77"/>
      <c r="AL5" s="81" t="s">
        <v>34</v>
      </c>
      <c r="AN5" s="82" t="s">
        <v>35</v>
      </c>
      <c r="AO5" s="83"/>
      <c r="AP5" s="26"/>
      <c r="AQ5" s="27" t="s">
        <v>36</v>
      </c>
      <c r="AR5" s="204" t="s">
        <v>36</v>
      </c>
      <c r="AS5" s="20"/>
      <c r="AT5" s="84">
        <v>36672</v>
      </c>
      <c r="AU5" s="20"/>
      <c r="AV5" s="84">
        <v>36616</v>
      </c>
      <c r="AW5" s="226"/>
      <c r="AX5" s="85"/>
    </row>
    <row r="6" spans="1:50" ht="15.6" thickBot="1" x14ac:dyDescent="0.3">
      <c r="A6" s="86" t="s">
        <v>37</v>
      </c>
      <c r="B6" s="4"/>
      <c r="C6" s="86" t="s">
        <v>38</v>
      </c>
      <c r="D6" s="4"/>
      <c r="E6" s="86" t="s">
        <v>39</v>
      </c>
      <c r="F6" s="4"/>
      <c r="G6" s="87" t="s">
        <v>23</v>
      </c>
      <c r="H6" s="88"/>
      <c r="I6" s="89" t="s">
        <v>40</v>
      </c>
      <c r="J6" s="4"/>
      <c r="K6" s="87" t="s">
        <v>23</v>
      </c>
      <c r="L6" s="88"/>
      <c r="M6" s="89" t="s">
        <v>40</v>
      </c>
      <c r="N6" s="4"/>
      <c r="O6" s="87" t="s">
        <v>23</v>
      </c>
      <c r="P6" s="88"/>
      <c r="Q6" s="89" t="s">
        <v>40</v>
      </c>
      <c r="R6" s="4"/>
      <c r="S6" s="87" t="s">
        <v>23</v>
      </c>
      <c r="T6" s="89" t="s">
        <v>40</v>
      </c>
      <c r="U6" s="90"/>
      <c r="V6" s="91" t="s">
        <v>41</v>
      </c>
      <c r="W6" s="90"/>
      <c r="X6" s="87" t="s">
        <v>105</v>
      </c>
      <c r="Y6" s="219"/>
      <c r="Z6" s="89" t="s">
        <v>40</v>
      </c>
      <c r="AA6" s="92"/>
      <c r="AB6" s="87" t="s">
        <v>105</v>
      </c>
      <c r="AC6" s="219"/>
      <c r="AD6" s="89" t="s">
        <v>40</v>
      </c>
      <c r="AE6" s="92"/>
      <c r="AF6" s="91" t="s">
        <v>42</v>
      </c>
      <c r="AG6" s="90"/>
      <c r="AH6" s="93" t="s">
        <v>43</v>
      </c>
      <c r="AI6" s="90"/>
      <c r="AJ6" s="94" t="s">
        <v>44</v>
      </c>
      <c r="AK6" s="90"/>
      <c r="AL6" s="95" t="s">
        <v>44</v>
      </c>
      <c r="AN6" s="91" t="s">
        <v>45</v>
      </c>
      <c r="AO6" s="96"/>
      <c r="AP6" s="97" t="s">
        <v>46</v>
      </c>
      <c r="AQ6" s="24" t="s">
        <v>47</v>
      </c>
      <c r="AR6" s="205" t="s">
        <v>35</v>
      </c>
      <c r="AS6" s="97" t="s">
        <v>48</v>
      </c>
      <c r="AT6" s="225" t="s">
        <v>49</v>
      </c>
      <c r="AU6" s="97" t="s">
        <v>50</v>
      </c>
      <c r="AV6" s="98" t="s">
        <v>51</v>
      </c>
      <c r="AW6" s="227" t="s">
        <v>52</v>
      </c>
      <c r="AX6" s="98" t="s">
        <v>69</v>
      </c>
    </row>
    <row r="7" spans="1:50" ht="15.6" thickBot="1" x14ac:dyDescent="0.3">
      <c r="A7" s="99" t="s">
        <v>53</v>
      </c>
      <c r="B7" s="100"/>
      <c r="C7" s="101" t="s">
        <v>0</v>
      </c>
      <c r="D7" s="100"/>
      <c r="E7" s="102">
        <f>[1]!ENE</f>
        <v>69.5</v>
      </c>
      <c r="F7" s="100"/>
      <c r="G7" s="103">
        <v>2.16</v>
      </c>
      <c r="H7" s="104" t="s">
        <v>54</v>
      </c>
      <c r="I7" s="105">
        <f>E7/G7</f>
        <v>32.175925925925924</v>
      </c>
      <c r="J7" s="100"/>
      <c r="K7" s="103">
        <v>2.14</v>
      </c>
      <c r="L7" s="106" t="s">
        <v>55</v>
      </c>
      <c r="M7" s="105">
        <f>E7/K7</f>
        <v>32.476635514018689</v>
      </c>
      <c r="N7" s="100"/>
      <c r="O7" s="103">
        <v>2.16</v>
      </c>
      <c r="P7" s="104" t="s">
        <v>54</v>
      </c>
      <c r="Q7" s="105">
        <f>M7/O7</f>
        <v>15.035479404638281</v>
      </c>
      <c r="R7" s="100"/>
      <c r="S7" s="107">
        <f>+S89</f>
        <v>1.9953846153846153</v>
      </c>
      <c r="T7" s="105">
        <f>E7/S7</f>
        <v>34.830377794911335</v>
      </c>
      <c r="U7" s="108"/>
      <c r="V7" s="109">
        <f>(S7-K7)/K7</f>
        <v>-6.7577282530553645E-2</v>
      </c>
      <c r="W7" s="110"/>
      <c r="X7" s="258">
        <f>+X89</f>
        <v>1.401428571428571</v>
      </c>
      <c r="Y7" s="234"/>
      <c r="Z7" s="105">
        <f>E7/X7</f>
        <v>49.592252803261992</v>
      </c>
      <c r="AA7" s="108"/>
      <c r="AB7" s="258">
        <f>+AB89</f>
        <v>1.6376190476190473</v>
      </c>
      <c r="AC7" s="218"/>
      <c r="AD7" s="105">
        <f>E7/AB7</f>
        <v>42.439662692643218</v>
      </c>
      <c r="AE7" s="108"/>
      <c r="AF7" s="109">
        <f>(X7-S7)/S7</f>
        <v>-0.29766494107280556</v>
      </c>
      <c r="AG7" s="110"/>
      <c r="AH7" s="111">
        <f>((+AS7+E7-AT7)/AT7)</f>
        <v>-4.4682752457551383E-3</v>
      </c>
      <c r="AI7" s="110"/>
      <c r="AJ7" s="110">
        <f>((+AU7+E7-AV7)/AV7)</f>
        <v>-7.0116861435726208E-2</v>
      </c>
      <c r="AK7" s="110"/>
      <c r="AL7" s="112">
        <f>((+AW7+E7-AX7)/AX7)</f>
        <v>0.57183098591549297</v>
      </c>
      <c r="AM7" s="50"/>
      <c r="AN7" s="198">
        <f>AP7/E7</f>
        <v>7.1942446043165471E-3</v>
      </c>
      <c r="AO7" s="113"/>
      <c r="AP7" s="55">
        <v>0.5</v>
      </c>
      <c r="AQ7" s="319">
        <v>36676</v>
      </c>
      <c r="AR7" s="206">
        <v>0.125</v>
      </c>
      <c r="AS7" s="41">
        <v>0.125</v>
      </c>
      <c r="AT7" s="102">
        <v>69.9375</v>
      </c>
      <c r="AU7" s="231">
        <v>0.125</v>
      </c>
      <c r="AV7" s="181">
        <v>74.875</v>
      </c>
      <c r="AW7" s="228">
        <f>0.125+0.125</f>
        <v>0.25</v>
      </c>
      <c r="AX7" s="181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5">
      <c r="A9" s="122" t="s">
        <v>56</v>
      </c>
      <c r="B9" s="66"/>
      <c r="C9" s="114" t="s">
        <v>71</v>
      </c>
      <c r="D9" s="66"/>
      <c r="E9" s="123">
        <f>[1]!'.SPX'</f>
        <v>1477.26</v>
      </c>
      <c r="F9" s="124"/>
      <c r="G9" s="125">
        <v>40.53</v>
      </c>
      <c r="H9" s="117"/>
      <c r="I9" s="126">
        <f>E9/G9</f>
        <v>36.448556624722428</v>
      </c>
      <c r="J9" s="67"/>
      <c r="K9" s="125">
        <v>42.08</v>
      </c>
      <c r="L9" s="67"/>
      <c r="M9" s="126">
        <f>E9/K9</f>
        <v>35.105988593155892</v>
      </c>
      <c r="N9" s="124"/>
      <c r="O9" s="125">
        <v>40.53</v>
      </c>
      <c r="P9" s="117"/>
      <c r="Q9" s="126">
        <f>M9/O9</f>
        <v>0.86617292359131237</v>
      </c>
      <c r="R9" s="67"/>
      <c r="S9" s="127">
        <v>40.18</v>
      </c>
      <c r="T9" s="126">
        <f>E9/S9</f>
        <v>36.766052762568442</v>
      </c>
      <c r="U9" s="128"/>
      <c r="V9" s="129">
        <f>(S9-K9)/K9</f>
        <v>-4.5152091254752821E-2</v>
      </c>
      <c r="W9" s="130"/>
      <c r="X9" s="127">
        <v>57.6</v>
      </c>
      <c r="Y9" s="215"/>
      <c r="Z9" s="126">
        <f>E9/X9</f>
        <v>25.646874999999998</v>
      </c>
      <c r="AA9" s="128"/>
      <c r="AB9" s="127">
        <v>62.89</v>
      </c>
      <c r="AC9" s="215"/>
      <c r="AD9" s="126">
        <f>E9/AB9</f>
        <v>23.489584989664493</v>
      </c>
      <c r="AE9" s="128"/>
      <c r="AF9" s="129">
        <f>(X9-S9)/S9</f>
        <v>0.43354902936784473</v>
      </c>
      <c r="AG9" s="130"/>
      <c r="AH9" s="113">
        <f>((+AS9+E9-AT9)/AT9)</f>
        <v>7.232841323057726E-2</v>
      </c>
      <c r="AI9" s="130"/>
      <c r="AJ9" s="130">
        <f>((+AU9+E9-AV9)/AV9)</f>
        <v>-1.214282854435525E-2</v>
      </c>
      <c r="AK9" s="130"/>
      <c r="AL9" s="131">
        <f>((+AW9+E9-AX9)/AX9)</f>
        <v>1.0347385758817346E-2</v>
      </c>
      <c r="AM9" s="29"/>
      <c r="AN9" s="223">
        <v>1.0999999999999999E-2</v>
      </c>
      <c r="AO9" s="113"/>
      <c r="AP9" s="213">
        <f>AN9*E9</f>
        <v>16.249859999999998</v>
      </c>
      <c r="AQ9" s="40"/>
      <c r="AR9" s="206"/>
      <c r="AS9" s="201">
        <v>0.43</v>
      </c>
      <c r="AT9" s="123">
        <v>1378.02</v>
      </c>
      <c r="AU9" s="201">
        <v>3.1230000000000002</v>
      </c>
      <c r="AV9" s="183">
        <v>1498.58</v>
      </c>
      <c r="AW9" s="201">
        <v>7.2030000000000003</v>
      </c>
      <c r="AX9" s="183">
        <v>1469.26</v>
      </c>
    </row>
    <row r="10" spans="1:50" x14ac:dyDescent="0.25">
      <c r="A10" s="122" t="s">
        <v>96</v>
      </c>
      <c r="B10" s="66"/>
      <c r="C10" s="114" t="s">
        <v>93</v>
      </c>
      <c r="D10" s="66"/>
      <c r="E10" s="123">
        <f>[1]!'.IXIC'</f>
        <v>3813.35</v>
      </c>
      <c r="F10" s="124"/>
      <c r="G10" s="125">
        <v>40.53</v>
      </c>
      <c r="H10" s="117"/>
      <c r="I10" s="126">
        <f>E10/G10</f>
        <v>94.087095978287678</v>
      </c>
      <c r="J10" s="67"/>
      <c r="K10" s="125">
        <v>42.08</v>
      </c>
      <c r="L10" s="67"/>
      <c r="M10" s="126">
        <f>E10/K10</f>
        <v>90.621435361216726</v>
      </c>
      <c r="N10" s="124"/>
      <c r="O10" s="125">
        <v>40.53</v>
      </c>
      <c r="P10" s="117"/>
      <c r="Q10" s="126">
        <f>M10/O10</f>
        <v>2.2359100755296502</v>
      </c>
      <c r="R10" s="67"/>
      <c r="S10" s="127">
        <v>40.18</v>
      </c>
      <c r="T10" s="126">
        <f>E10/S10</f>
        <v>94.906669985067197</v>
      </c>
      <c r="U10" s="128"/>
      <c r="V10" s="129">
        <f>(S10-K10)/K10</f>
        <v>-4.5152091254752821E-2</v>
      </c>
      <c r="W10" s="130"/>
      <c r="X10" s="260" t="s">
        <v>94</v>
      </c>
      <c r="Y10" s="215"/>
      <c r="Z10" s="261" t="s">
        <v>95</v>
      </c>
      <c r="AA10" s="128"/>
      <c r="AB10" s="260" t="s">
        <v>94</v>
      </c>
      <c r="AC10" s="215"/>
      <c r="AD10" s="261" t="s">
        <v>95</v>
      </c>
      <c r="AE10" s="128"/>
      <c r="AF10" s="129" t="e">
        <f>(X10-S10)/S10</f>
        <v>#VALUE!</v>
      </c>
      <c r="AG10" s="130"/>
      <c r="AH10" s="113">
        <f>((+AS10+E10-AT10)/AT10)</f>
        <v>0.18982187818826798</v>
      </c>
      <c r="AI10" s="130"/>
      <c r="AJ10" s="130">
        <f>((+AU10+E10-AV10)/AV10)</f>
        <v>-0.16586884880239858</v>
      </c>
      <c r="AK10" s="130"/>
      <c r="AL10" s="131">
        <f>((+AW10+E10-AX10)/AX10)</f>
        <v>-6.2258466423054562E-2</v>
      </c>
      <c r="AM10" s="29"/>
      <c r="AN10" s="223">
        <v>1.6000000000000001E-3</v>
      </c>
      <c r="AO10" s="113"/>
      <c r="AP10" s="213">
        <f>AN10*E10</f>
        <v>6.1013600000000006</v>
      </c>
      <c r="AQ10" s="40"/>
      <c r="AR10" s="206"/>
      <c r="AS10" s="201">
        <v>0.16</v>
      </c>
      <c r="AT10" s="123">
        <v>3205.11</v>
      </c>
      <c r="AU10" s="201">
        <v>1.04</v>
      </c>
      <c r="AV10" s="183">
        <v>4572.8900000000003</v>
      </c>
      <c r="AW10" s="201">
        <v>2.6110000000000002</v>
      </c>
      <c r="AX10" s="183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5">
      <c r="A12" s="297" t="s">
        <v>104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5">
      <c r="A13" s="66" t="s">
        <v>118</v>
      </c>
      <c r="B13" s="66"/>
      <c r="C13" s="132" t="s">
        <v>83</v>
      </c>
      <c r="D13" s="66"/>
      <c r="E13" s="123">
        <f>[1]!AES</f>
        <v>46</v>
      </c>
      <c r="F13" s="66"/>
      <c r="G13" s="125">
        <v>4.72</v>
      </c>
      <c r="H13" s="133" t="s">
        <v>54</v>
      </c>
      <c r="I13" s="126">
        <f>E13/G13</f>
        <v>9.7457627118644066</v>
      </c>
      <c r="J13" s="66"/>
      <c r="K13" s="125">
        <v>4.9400000000000004</v>
      </c>
      <c r="L13" s="67"/>
      <c r="M13" s="126">
        <f t="shared" ref="M13:M20" si="0">E13/K13</f>
        <v>9.3117408906882577</v>
      </c>
      <c r="N13" s="66"/>
      <c r="O13" s="125">
        <v>4.72</v>
      </c>
      <c r="P13" s="133" t="s">
        <v>54</v>
      </c>
      <c r="Q13" s="126">
        <f>M13/O13</f>
        <v>1.9728264598915801</v>
      </c>
      <c r="R13" s="66"/>
      <c r="S13" s="127">
        <v>3.43</v>
      </c>
      <c r="T13" s="126">
        <f t="shared" ref="T13:T20" si="1">E13/S13</f>
        <v>13.411078717201166</v>
      </c>
      <c r="U13" s="128"/>
      <c r="V13" s="129">
        <f t="shared" ref="V13:V19" si="2">(S13-K13)/K13</f>
        <v>-0.30566801619433198</v>
      </c>
      <c r="W13" s="130"/>
      <c r="X13" s="127">
        <v>1.48</v>
      </c>
      <c r="Y13" s="215"/>
      <c r="Z13" s="126">
        <f t="shared" ref="Z13:Z23" si="3">E13/X13</f>
        <v>31.081081081081081</v>
      </c>
      <c r="AA13" s="128"/>
      <c r="AB13" s="127">
        <v>1.84</v>
      </c>
      <c r="AC13" s="215"/>
      <c r="AD13" s="126">
        <f t="shared" ref="AD13:AD23" si="4">E13/AB13</f>
        <v>25</v>
      </c>
      <c r="AE13" s="128"/>
      <c r="AF13" s="129">
        <f t="shared" ref="AF13:AF23" si="5">(X13-S13)/S13</f>
        <v>-0.56851311953352768</v>
      </c>
      <c r="AG13" s="130"/>
      <c r="AH13" s="113">
        <f t="shared" ref="AH13:AH23" si="6">((+AS13+E13-AT13)/AT13)</f>
        <v>7.054545454545455E-2</v>
      </c>
      <c r="AI13" s="130"/>
      <c r="AJ13" s="130">
        <f t="shared" ref="AJ13:AJ23" si="7">((+AU13+E13-AV13)/AV13)</f>
        <v>0.16825396825396827</v>
      </c>
      <c r="AK13" s="130"/>
      <c r="AL13" s="131">
        <f t="shared" ref="AL13:AL23" si="8">((+AW13+E13-AX13)/AX13)</f>
        <v>0.23076923076923078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86</v>
      </c>
      <c r="AR13" s="206">
        <v>0</v>
      </c>
      <c r="AS13" s="43">
        <v>0</v>
      </c>
      <c r="AT13" s="183">
        <f>85.9375/2</f>
        <v>42.96875</v>
      </c>
      <c r="AU13" s="43">
        <v>0</v>
      </c>
      <c r="AV13" s="183">
        <f>78.75/2</f>
        <v>39.375</v>
      </c>
      <c r="AW13" s="43">
        <v>0</v>
      </c>
      <c r="AX13" s="183">
        <f>74.75/2</f>
        <v>37.375</v>
      </c>
    </row>
    <row r="14" spans="1:50" x14ac:dyDescent="0.25">
      <c r="A14" s="122" t="s">
        <v>58</v>
      </c>
      <c r="B14" s="66"/>
      <c r="C14" s="132" t="s">
        <v>2</v>
      </c>
      <c r="D14" s="66"/>
      <c r="E14" s="123">
        <f>[1]!CG</f>
        <v>65.125</v>
      </c>
      <c r="F14" s="66"/>
      <c r="G14" s="125">
        <v>4.72</v>
      </c>
      <c r="H14" s="133" t="s">
        <v>54</v>
      </c>
      <c r="I14" s="126">
        <f>E14/G14</f>
        <v>13.797669491525424</v>
      </c>
      <c r="J14" s="66"/>
      <c r="K14" s="125">
        <v>4.9400000000000004</v>
      </c>
      <c r="L14" s="67"/>
      <c r="M14" s="126">
        <f>E14/K14</f>
        <v>13.1831983805668</v>
      </c>
      <c r="N14" s="66"/>
      <c r="O14" s="125">
        <v>4.72</v>
      </c>
      <c r="P14" s="133" t="s">
        <v>54</v>
      </c>
      <c r="Q14" s="126">
        <f>M14/O14</f>
        <v>2.7930505043573732</v>
      </c>
      <c r="R14" s="66"/>
      <c r="S14" s="127">
        <v>3.43</v>
      </c>
      <c r="T14" s="126">
        <f>E14/S14</f>
        <v>18.986880466472304</v>
      </c>
      <c r="U14" s="128"/>
      <c r="V14" s="129">
        <f>(S14-K14)/K14</f>
        <v>-0.30566801619433198</v>
      </c>
      <c r="W14" s="130"/>
      <c r="X14" s="127">
        <v>3.94</v>
      </c>
      <c r="Y14" s="215"/>
      <c r="Z14" s="126">
        <f>E14/X14</f>
        <v>16.529187817258883</v>
      </c>
      <c r="AA14" s="128"/>
      <c r="AB14" s="127">
        <v>4.46</v>
      </c>
      <c r="AC14" s="215"/>
      <c r="AD14" s="126">
        <f>E14/AB14</f>
        <v>14.602017937219731</v>
      </c>
      <c r="AE14" s="128"/>
      <c r="AF14" s="129">
        <f>(X14-S14)/S14</f>
        <v>0.14868804664723026</v>
      </c>
      <c r="AG14" s="130"/>
      <c r="AH14" s="113">
        <f>((+AS14+E14-AT14)/AT14)</f>
        <v>2.4094025465230078E-2</v>
      </c>
      <c r="AI14" s="130"/>
      <c r="AJ14" s="130">
        <f>((+AU14+E14-AV14)/AV14)</f>
        <v>0.1029535864978902</v>
      </c>
      <c r="AK14" s="130"/>
      <c r="AL14" s="131">
        <f>((+AW14+E14-AX14)/AX14)</f>
        <v>3.6758893280632456E-2</v>
      </c>
      <c r="AM14" s="29"/>
      <c r="AN14" s="134">
        <f>AP14/E14</f>
        <v>1.3819577735124761E-2</v>
      </c>
      <c r="AO14" s="135"/>
      <c r="AP14" s="55">
        <f>[1]!'CG,DIVIDEND'</f>
        <v>0.9</v>
      </c>
      <c r="AQ14" s="259">
        <v>36671</v>
      </c>
      <c r="AR14" s="206">
        <v>0.22500000000000001</v>
      </c>
      <c r="AS14" s="43">
        <v>0.22500000000000001</v>
      </c>
      <c r="AT14" s="183">
        <v>63.8125</v>
      </c>
      <c r="AU14" s="43">
        <v>0.22500000000000001</v>
      </c>
      <c r="AV14" s="183">
        <v>59.25</v>
      </c>
      <c r="AW14" s="43">
        <f>0.225+0.225</f>
        <v>0.45</v>
      </c>
      <c r="AX14" s="183">
        <v>63.25</v>
      </c>
    </row>
    <row r="15" spans="1:50" x14ac:dyDescent="0.25">
      <c r="A15" s="122" t="s">
        <v>57</v>
      </c>
      <c r="B15" s="66"/>
      <c r="C15" s="132" t="s">
        <v>1</v>
      </c>
      <c r="D15" s="66"/>
      <c r="E15" s="123">
        <f>[1]!CGP</f>
        <v>59</v>
      </c>
      <c r="F15" s="66"/>
      <c r="G15" s="125">
        <v>2.88</v>
      </c>
      <c r="H15" s="133" t="s">
        <v>54</v>
      </c>
      <c r="I15" s="126">
        <f>E15/G15</f>
        <v>20.486111111111111</v>
      </c>
      <c r="J15" s="66"/>
      <c r="K15" s="125">
        <v>3.48</v>
      </c>
      <c r="L15" s="67"/>
      <c r="M15" s="126">
        <f>E15/K15</f>
        <v>16.954022988505749</v>
      </c>
      <c r="N15" s="66"/>
      <c r="O15" s="125">
        <v>2.88</v>
      </c>
      <c r="P15" s="133" t="s">
        <v>54</v>
      </c>
      <c r="Q15" s="126">
        <f>M15/O15</f>
        <v>5.8868135376756072</v>
      </c>
      <c r="R15" s="66"/>
      <c r="S15" s="127">
        <v>2.02</v>
      </c>
      <c r="T15" s="126">
        <f>E15/S15</f>
        <v>29.207920792079207</v>
      </c>
      <c r="U15" s="128"/>
      <c r="V15" s="129">
        <f>(S15-K15)/K15</f>
        <v>-0.41954022988505746</v>
      </c>
      <c r="W15" s="130"/>
      <c r="X15" s="127">
        <v>2.85</v>
      </c>
      <c r="Y15" s="215"/>
      <c r="Z15" s="126">
        <f>E15/X15</f>
        <v>20.701754385964911</v>
      </c>
      <c r="AA15" s="128"/>
      <c r="AB15" s="127">
        <v>3.23</v>
      </c>
      <c r="AC15" s="215"/>
      <c r="AD15" s="126">
        <f>E15/AB15</f>
        <v>18.266253869969042</v>
      </c>
      <c r="AE15" s="128"/>
      <c r="AF15" s="129">
        <f>(X15-S15)/S15</f>
        <v>0.41089108910891092</v>
      </c>
      <c r="AG15" s="130"/>
      <c r="AH15" s="113">
        <f>((+AS15+E15-AT15)/AT15)</f>
        <v>1.0593220338983051E-3</v>
      </c>
      <c r="AI15" s="130"/>
      <c r="AJ15" s="130">
        <f>((+AU15+E15-AV15)/AV15)</f>
        <v>0.28396739130434784</v>
      </c>
      <c r="AK15" s="130"/>
      <c r="AL15" s="131">
        <f>((+AW15+E15-AX15)/AX15)</f>
        <v>0.66843033509700178</v>
      </c>
      <c r="AM15" s="29"/>
      <c r="AN15" s="134">
        <f>AP15/E15</f>
        <v>4.2372881355932203E-3</v>
      </c>
      <c r="AO15" s="135"/>
      <c r="AP15" s="55">
        <f>[1]!'CGP,DIVIDEND'</f>
        <v>0.25</v>
      </c>
      <c r="AQ15" s="259">
        <v>36672</v>
      </c>
      <c r="AR15" s="206">
        <f>0.125/2</f>
        <v>6.25E-2</v>
      </c>
      <c r="AS15" s="43">
        <v>6.25E-2</v>
      </c>
      <c r="AT15" s="183">
        <v>59</v>
      </c>
      <c r="AU15" s="43">
        <v>6.25E-2</v>
      </c>
      <c r="AV15" s="183">
        <v>46</v>
      </c>
      <c r="AW15" s="43">
        <f>0.0625+0.0625</f>
        <v>0.125</v>
      </c>
      <c r="AX15" s="183">
        <v>35.4375</v>
      </c>
    </row>
    <row r="16" spans="1:50" x14ac:dyDescent="0.25">
      <c r="A16" s="122" t="s">
        <v>87</v>
      </c>
      <c r="B16" s="66"/>
      <c r="C16" s="132" t="s">
        <v>88</v>
      </c>
      <c r="D16" s="66"/>
      <c r="E16" s="237">
        <f>[1]!D</f>
        <v>45</v>
      </c>
      <c r="F16" s="66"/>
      <c r="G16" s="125">
        <v>3.24</v>
      </c>
      <c r="H16" s="117"/>
      <c r="I16" s="126">
        <f>E16/G16</f>
        <v>13.888888888888888</v>
      </c>
      <c r="J16" s="66"/>
      <c r="K16" s="125">
        <v>3.34</v>
      </c>
      <c r="L16" s="67"/>
      <c r="M16" s="126">
        <f t="shared" si="0"/>
        <v>13.473053892215569</v>
      </c>
      <c r="N16" s="66"/>
      <c r="O16" s="125">
        <v>3.24</v>
      </c>
      <c r="P16" s="117"/>
      <c r="Q16" s="126">
        <f>M16/O16</f>
        <v>4.1583499667332005</v>
      </c>
      <c r="R16" s="66"/>
      <c r="S16" s="127">
        <v>2.87</v>
      </c>
      <c r="T16" s="126">
        <f t="shared" si="1"/>
        <v>15.679442508710801</v>
      </c>
      <c r="U16" s="128"/>
      <c r="V16" s="129">
        <f t="shared" si="2"/>
        <v>-0.14071856287425144</v>
      </c>
      <c r="W16" s="130"/>
      <c r="X16" s="127">
        <v>3.28</v>
      </c>
      <c r="Y16" s="215"/>
      <c r="Z16" s="126">
        <f t="shared" si="3"/>
        <v>13.719512195121952</v>
      </c>
      <c r="AA16" s="128"/>
      <c r="AB16" s="127">
        <v>3.54</v>
      </c>
      <c r="AC16" s="215"/>
      <c r="AD16" s="126">
        <f t="shared" si="4"/>
        <v>12.711864406779661</v>
      </c>
      <c r="AE16" s="128"/>
      <c r="AF16" s="129">
        <f t="shared" si="5"/>
        <v>0.14285714285714274</v>
      </c>
      <c r="AG16" s="130"/>
      <c r="AH16" s="113">
        <f t="shared" si="6"/>
        <v>-9.0637720488466085E-3</v>
      </c>
      <c r="AI16" s="130"/>
      <c r="AJ16" s="130">
        <f t="shared" si="7"/>
        <v>0.1875121951219513</v>
      </c>
      <c r="AK16" s="130"/>
      <c r="AL16" s="131">
        <f t="shared" si="8"/>
        <v>0.17936305732484073</v>
      </c>
      <c r="AM16" s="29"/>
      <c r="AN16" s="134">
        <f t="shared" si="9"/>
        <v>5.7333333333333333E-2</v>
      </c>
      <c r="AO16" s="135"/>
      <c r="AP16" s="55">
        <f>[1]!'D,DIVIDEND'</f>
        <v>2.58</v>
      </c>
      <c r="AQ16" s="259">
        <v>36670</v>
      </c>
      <c r="AR16" s="206">
        <v>0.64500000000000002</v>
      </c>
      <c r="AS16" s="43">
        <v>0.64500000000000002</v>
      </c>
      <c r="AT16" s="183">
        <v>46.0625</v>
      </c>
      <c r="AU16" s="43">
        <v>0.64500000000000002</v>
      </c>
      <c r="AV16" s="183">
        <v>38.4375</v>
      </c>
      <c r="AW16" s="43">
        <f>0.645+0.645</f>
        <v>1.29</v>
      </c>
      <c r="AX16" s="183">
        <v>39.25</v>
      </c>
    </row>
    <row r="17" spans="1:50" x14ac:dyDescent="0.25">
      <c r="A17" s="122" t="s">
        <v>59</v>
      </c>
      <c r="B17" s="66"/>
      <c r="C17" s="132" t="s">
        <v>3</v>
      </c>
      <c r="D17" s="66"/>
      <c r="E17" s="123">
        <f>[1]!DUK</f>
        <v>57.6875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19.555084745762709</v>
      </c>
      <c r="N17" s="66"/>
      <c r="O17" s="125"/>
      <c r="P17" s="133"/>
      <c r="Q17" s="126"/>
      <c r="R17" s="66"/>
      <c r="S17" s="127">
        <v>3.38</v>
      </c>
      <c r="T17" s="126">
        <f t="shared" si="1"/>
        <v>17.067307692307693</v>
      </c>
      <c r="U17" s="128"/>
      <c r="V17" s="129">
        <f t="shared" si="2"/>
        <v>0.14576271186440667</v>
      </c>
      <c r="W17" s="130"/>
      <c r="X17" s="127">
        <v>4.03</v>
      </c>
      <c r="Y17" s="215"/>
      <c r="Z17" s="126">
        <f t="shared" si="3"/>
        <v>14.314516129032258</v>
      </c>
      <c r="AA17" s="128"/>
      <c r="AB17" s="127">
        <v>4.4000000000000004</v>
      </c>
      <c r="AC17" s="215"/>
      <c r="AD17" s="126">
        <f t="shared" si="4"/>
        <v>13.110795454545453</v>
      </c>
      <c r="AE17" s="128"/>
      <c r="AF17" s="129">
        <f t="shared" si="5"/>
        <v>0.19230769230769243</v>
      </c>
      <c r="AG17" s="130"/>
      <c r="AH17" s="113">
        <f t="shared" si="6"/>
        <v>-3.5527690700104496E-2</v>
      </c>
      <c r="AI17" s="130"/>
      <c r="AJ17" s="130">
        <f t="shared" si="7"/>
        <v>0.10928571428571424</v>
      </c>
      <c r="AK17" s="130"/>
      <c r="AL17" s="131">
        <f t="shared" si="8"/>
        <v>0.17281795511221948</v>
      </c>
      <c r="AM17" s="29"/>
      <c r="AN17" s="134">
        <f t="shared" si="9"/>
        <v>3.8136511375948E-2</v>
      </c>
      <c r="AO17" s="135"/>
      <c r="AP17" s="55">
        <f>[1]!'DUK,DIVIDEND'</f>
        <v>2.2000000000000002</v>
      </c>
      <c r="AQ17" s="259">
        <v>36656</v>
      </c>
      <c r="AR17" s="206">
        <v>0.55000000000000004</v>
      </c>
      <c r="AS17" s="43">
        <v>0</v>
      </c>
      <c r="AT17" s="183">
        <v>59.8125</v>
      </c>
      <c r="AU17" s="43">
        <v>0.55000000000000004</v>
      </c>
      <c r="AV17" s="183">
        <v>52.5</v>
      </c>
      <c r="AW17" s="43">
        <f>0.55+0.55</f>
        <v>1.1000000000000001</v>
      </c>
      <c r="AX17" s="183">
        <v>50.125</v>
      </c>
    </row>
    <row r="18" spans="1:50" ht="15.6" x14ac:dyDescent="0.3">
      <c r="A18" s="122" t="s">
        <v>122</v>
      </c>
      <c r="B18" s="66"/>
      <c r="C18" s="132" t="s">
        <v>60</v>
      </c>
      <c r="D18" s="66"/>
      <c r="E18" s="123">
        <f>[1]!DYN</f>
        <v>74.9375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107.05357142857143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129.20258620689657</v>
      </c>
      <c r="U18" s="128"/>
      <c r="V18" s="129">
        <f>(S18-K18)/K18</f>
        <v>-0.17142857142857143</v>
      </c>
      <c r="W18" s="130"/>
      <c r="X18" s="127">
        <v>2.5</v>
      </c>
      <c r="Y18" s="215"/>
      <c r="Z18" s="126">
        <f t="shared" si="3"/>
        <v>29.975000000000001</v>
      </c>
      <c r="AA18" s="128"/>
      <c r="AB18" s="127">
        <v>2.96</v>
      </c>
      <c r="AC18" s="235"/>
      <c r="AD18" s="126">
        <f t="shared" si="4"/>
        <v>25.316722972972972</v>
      </c>
      <c r="AE18" s="128"/>
      <c r="AF18" s="129">
        <f t="shared" si="5"/>
        <v>3.3103448275862069</v>
      </c>
      <c r="AG18" s="130"/>
      <c r="AH18" s="113">
        <f t="shared" si="6"/>
        <v>6.1976549413736105E-3</v>
      </c>
      <c r="AI18" s="130"/>
      <c r="AJ18" s="130">
        <f t="shared" si="7"/>
        <v>0.19683705871365428</v>
      </c>
      <c r="AK18" s="130"/>
      <c r="AL18" s="131">
        <f t="shared" si="8"/>
        <v>1.1322812092544985</v>
      </c>
      <c r="AM18" s="29"/>
      <c r="AN18" s="134">
        <f t="shared" si="9"/>
        <v>8.0066722268557124E-3</v>
      </c>
      <c r="AO18" s="135"/>
      <c r="AP18" s="55">
        <f>[1]!'DYN,DIVIDEND'</f>
        <v>0.6</v>
      </c>
      <c r="AQ18" s="259">
        <v>36672</v>
      </c>
      <c r="AR18" s="206">
        <v>0.15</v>
      </c>
      <c r="AS18" s="43">
        <v>0.15</v>
      </c>
      <c r="AT18" s="183">
        <v>74.625</v>
      </c>
      <c r="AU18" s="43">
        <v>0.15</v>
      </c>
      <c r="AV18" s="183">
        <v>62.73828125</v>
      </c>
      <c r="AW18" s="43">
        <f>0.04451+0.15</f>
        <v>0.19450999999999999</v>
      </c>
      <c r="AX18" s="183">
        <f>24.3125/0.69</f>
        <v>35.235507246376812</v>
      </c>
    </row>
    <row r="19" spans="1:50" x14ac:dyDescent="0.25">
      <c r="A19" s="122" t="s">
        <v>61</v>
      </c>
      <c r="B19" s="66"/>
      <c r="C19" s="132" t="s">
        <v>4</v>
      </c>
      <c r="D19" s="66"/>
      <c r="E19" s="123">
        <f>[1]!EPG</f>
        <v>49.625</v>
      </c>
      <c r="F19" s="66"/>
      <c r="G19" s="125">
        <v>2.85</v>
      </c>
      <c r="H19" s="133" t="s">
        <v>54</v>
      </c>
      <c r="I19" s="126">
        <f>E19/G19</f>
        <v>17.412280701754387</v>
      </c>
      <c r="J19" s="66"/>
      <c r="K19" s="125">
        <v>3.18</v>
      </c>
      <c r="L19" s="67"/>
      <c r="M19" s="126">
        <f t="shared" si="0"/>
        <v>15.605345911949685</v>
      </c>
      <c r="N19" s="66"/>
      <c r="O19" s="125">
        <v>2.85</v>
      </c>
      <c r="P19" s="133" t="s">
        <v>54</v>
      </c>
      <c r="Q19" s="126">
        <f>M19/O19</f>
        <v>5.4755599691051522</v>
      </c>
      <c r="R19" s="66"/>
      <c r="S19" s="127">
        <v>1.83</v>
      </c>
      <c r="T19" s="126">
        <f t="shared" si="1"/>
        <v>27.117486338797814</v>
      </c>
      <c r="U19" s="128"/>
      <c r="V19" s="129">
        <f t="shared" si="2"/>
        <v>-0.42452830188679247</v>
      </c>
      <c r="W19" s="130"/>
      <c r="X19" s="127">
        <v>2.46</v>
      </c>
      <c r="Y19" s="215"/>
      <c r="Z19" s="126">
        <f t="shared" si="3"/>
        <v>20.172764227642276</v>
      </c>
      <c r="AA19" s="128"/>
      <c r="AB19" s="127">
        <v>3.07</v>
      </c>
      <c r="AC19" s="215"/>
      <c r="AD19" s="126">
        <f t="shared" si="4"/>
        <v>16.164495114006517</v>
      </c>
      <c r="AE19" s="128"/>
      <c r="AF19" s="129">
        <f t="shared" si="5"/>
        <v>0.34426229508196715</v>
      </c>
      <c r="AG19" s="130"/>
      <c r="AH19" s="113">
        <f t="shared" si="6"/>
        <v>-2.1326658322903015E-3</v>
      </c>
      <c r="AI19" s="130"/>
      <c r="AJ19" s="130">
        <f t="shared" si="7"/>
        <v>0.23420433436532515</v>
      </c>
      <c r="AK19" s="130"/>
      <c r="AL19" s="131">
        <f t="shared" si="8"/>
        <v>0.28919806763285022</v>
      </c>
      <c r="AM19" s="29"/>
      <c r="AN19" s="134">
        <f t="shared" si="9"/>
        <v>1.6523929471032744E-2</v>
      </c>
      <c r="AO19" s="135"/>
      <c r="AP19" s="55">
        <f>[1]!'EPG,DIVIDEND'</f>
        <v>0.82</v>
      </c>
      <c r="AQ19" s="259">
        <v>36677</v>
      </c>
      <c r="AR19" s="206">
        <v>0.20599999999999999</v>
      </c>
      <c r="AS19" s="43">
        <v>0.20599999999999999</v>
      </c>
      <c r="AT19" s="183">
        <v>49.9375</v>
      </c>
      <c r="AU19" s="43">
        <v>0.20599999999999999</v>
      </c>
      <c r="AV19" s="183">
        <v>40.375</v>
      </c>
      <c r="AW19" s="43">
        <f>0.206+0.206</f>
        <v>0.41199999999999998</v>
      </c>
      <c r="AX19" s="183">
        <v>38.8125</v>
      </c>
    </row>
    <row r="20" spans="1:50" x14ac:dyDescent="0.25">
      <c r="A20" s="122" t="s">
        <v>78</v>
      </c>
      <c r="B20" s="66"/>
      <c r="C20" s="132" t="s">
        <v>79</v>
      </c>
      <c r="D20" s="66"/>
      <c r="E20" s="123">
        <f>[1]!KMI</f>
        <v>32.625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13.425925925925926</v>
      </c>
      <c r="N20" s="66"/>
      <c r="O20" s="125"/>
      <c r="P20" s="133"/>
      <c r="Q20" s="126"/>
      <c r="R20" s="66"/>
      <c r="S20" s="127">
        <v>1.17</v>
      </c>
      <c r="T20" s="126">
        <f t="shared" si="1"/>
        <v>27.884615384615387</v>
      </c>
      <c r="U20" s="128"/>
      <c r="V20" s="129"/>
      <c r="W20" s="130"/>
      <c r="X20" s="127">
        <v>1.23</v>
      </c>
      <c r="Y20" s="215"/>
      <c r="Z20" s="126">
        <f t="shared" si="3"/>
        <v>26.524390243902438</v>
      </c>
      <c r="AA20" s="128"/>
      <c r="AB20" s="127">
        <v>1.54</v>
      </c>
      <c r="AC20" s="215"/>
      <c r="AD20" s="126">
        <f t="shared" si="4"/>
        <v>21.185064935064936</v>
      </c>
      <c r="AE20" s="128"/>
      <c r="AF20" s="129">
        <f t="shared" si="5"/>
        <v>5.1282051282051329E-2</v>
      </c>
      <c r="AG20" s="130"/>
      <c r="AH20" s="113">
        <f t="shared" si="6"/>
        <v>5.8823529411764705E-2</v>
      </c>
      <c r="AI20" s="130"/>
      <c r="AJ20" s="130">
        <f t="shared" si="7"/>
        <v>-5.2898550724637762E-2</v>
      </c>
      <c r="AK20" s="130"/>
      <c r="AL20" s="131">
        <f t="shared" si="8"/>
        <v>0.62105263157894741</v>
      </c>
      <c r="AM20" s="29"/>
      <c r="AN20" s="134">
        <f t="shared" si="9"/>
        <v>6.1302681992337167E-3</v>
      </c>
      <c r="AO20" s="135"/>
      <c r="AP20" s="55">
        <f>[1]!'KMI,DIVIDEND'</f>
        <v>0.2</v>
      </c>
      <c r="AQ20" s="259">
        <v>36643</v>
      </c>
      <c r="AR20" s="206">
        <v>0.05</v>
      </c>
      <c r="AS20" s="43">
        <v>0</v>
      </c>
      <c r="AT20" s="183">
        <v>30.8125</v>
      </c>
      <c r="AU20" s="43">
        <v>0.05</v>
      </c>
      <c r="AV20" s="183">
        <v>34.5</v>
      </c>
      <c r="AW20" s="43">
        <f>0.05+0.05</f>
        <v>0.1</v>
      </c>
      <c r="AX20" s="183">
        <v>20.1875</v>
      </c>
    </row>
    <row r="21" spans="1:50" x14ac:dyDescent="0.25">
      <c r="A21" s="66" t="s">
        <v>66</v>
      </c>
      <c r="B21" s="66"/>
      <c r="C21" s="132" t="s">
        <v>67</v>
      </c>
      <c r="D21" s="66"/>
      <c r="E21" s="123">
        <f>[1]!PCG</f>
        <v>25.8125</v>
      </c>
      <c r="F21" s="66"/>
      <c r="G21" s="125">
        <v>2.88</v>
      </c>
      <c r="H21" s="133" t="s">
        <v>54</v>
      </c>
      <c r="I21" s="126">
        <f>E21/G21</f>
        <v>8.9626736111111107</v>
      </c>
      <c r="J21" s="66"/>
      <c r="K21" s="125">
        <v>3.48</v>
      </c>
      <c r="L21" s="67"/>
      <c r="M21" s="126">
        <f>E21/K21</f>
        <v>7.4173850574712645</v>
      </c>
      <c r="N21" s="66"/>
      <c r="O21" s="125">
        <v>2.88</v>
      </c>
      <c r="P21" s="133" t="s">
        <v>54</v>
      </c>
      <c r="Q21" s="126">
        <f>M21/O21</f>
        <v>2.5754809227330782</v>
      </c>
      <c r="R21" s="66"/>
      <c r="S21" s="127">
        <v>1.79</v>
      </c>
      <c r="T21" s="126">
        <f>E21/S21</f>
        <v>14.420391061452513</v>
      </c>
      <c r="U21" s="128"/>
      <c r="V21" s="129">
        <f>(S21-K21)/K21</f>
        <v>-0.48563218390804597</v>
      </c>
      <c r="W21" s="130"/>
      <c r="X21" s="127">
        <v>2.4500000000000002</v>
      </c>
      <c r="Y21" s="215"/>
      <c r="Z21" s="126">
        <f t="shared" si="3"/>
        <v>10.535714285714285</v>
      </c>
      <c r="AA21" s="128"/>
      <c r="AB21" s="127">
        <v>2.62</v>
      </c>
      <c r="AC21" s="215"/>
      <c r="AD21" s="126">
        <f t="shared" si="4"/>
        <v>9.8520992366412212</v>
      </c>
      <c r="AE21" s="128"/>
      <c r="AF21" s="129">
        <f t="shared" si="5"/>
        <v>0.36871508379888274</v>
      </c>
      <c r="AG21" s="130"/>
      <c r="AH21" s="113">
        <f t="shared" si="6"/>
        <v>-1.1961722488038277E-2</v>
      </c>
      <c r="AI21" s="130"/>
      <c r="AJ21" s="130">
        <f t="shared" si="7"/>
        <v>0.22916666666666666</v>
      </c>
      <c r="AK21" s="130"/>
      <c r="AL21" s="131">
        <f t="shared" si="8"/>
        <v>0.27378048780487807</v>
      </c>
      <c r="AM21" s="29"/>
      <c r="AN21" s="134">
        <f t="shared" si="9"/>
        <v>4.6489104116222757E-2</v>
      </c>
      <c r="AO21" s="135"/>
      <c r="AP21" s="55">
        <f>[1]!'PCG,DIVIDEND'</f>
        <v>1.2</v>
      </c>
      <c r="AQ21" s="259">
        <v>36690</v>
      </c>
      <c r="AR21" s="206">
        <v>0.3</v>
      </c>
      <c r="AS21" s="43"/>
      <c r="AT21" s="183">
        <v>26.125</v>
      </c>
      <c r="AU21" s="43"/>
      <c r="AV21" s="183">
        <v>21</v>
      </c>
      <c r="AW21" s="43">
        <v>0.3</v>
      </c>
      <c r="AX21" s="183">
        <v>20.5</v>
      </c>
    </row>
    <row r="22" spans="1:50" x14ac:dyDescent="0.25">
      <c r="A22" s="122" t="s">
        <v>62</v>
      </c>
      <c r="B22" s="66"/>
      <c r="C22" s="132" t="s">
        <v>5</v>
      </c>
      <c r="D22" s="66"/>
      <c r="E22" s="123">
        <f>[1]!TRP</f>
        <v>8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6.9565217391304355</v>
      </c>
      <c r="U22" s="128"/>
      <c r="V22" s="129"/>
      <c r="W22" s="130"/>
      <c r="X22" s="127">
        <v>0.77</v>
      </c>
      <c r="Y22" s="215"/>
      <c r="Z22" s="126">
        <f t="shared" si="3"/>
        <v>10.38961038961039</v>
      </c>
      <c r="AA22" s="128"/>
      <c r="AB22" s="127">
        <v>0.82</v>
      </c>
      <c r="AC22" s="215"/>
      <c r="AD22" s="126">
        <f t="shared" si="4"/>
        <v>9.7560975609756095</v>
      </c>
      <c r="AE22" s="128"/>
      <c r="AF22" s="129">
        <f t="shared" si="5"/>
        <v>-0.33043478260869558</v>
      </c>
      <c r="AG22" s="130"/>
      <c r="AH22" s="113">
        <f t="shared" si="6"/>
        <v>2.4E-2</v>
      </c>
      <c r="AI22" s="130"/>
      <c r="AJ22" s="130">
        <f t="shared" si="7"/>
        <v>5.7851239669421489E-2</v>
      </c>
      <c r="AK22" s="130"/>
      <c r="AL22" s="131">
        <f t="shared" si="8"/>
        <v>-6.2857142857142945E-2</v>
      </c>
      <c r="AM22" s="29"/>
      <c r="AN22" s="134">
        <f t="shared" si="9"/>
        <v>0.1</v>
      </c>
      <c r="AO22" s="135"/>
      <c r="AP22" s="303">
        <f>AR22*4</f>
        <v>0.8</v>
      </c>
      <c r="AQ22" s="259">
        <v>36705</v>
      </c>
      <c r="AR22" s="206">
        <v>0.2</v>
      </c>
      <c r="AS22" s="43"/>
      <c r="AT22" s="183">
        <v>7.8125</v>
      </c>
      <c r="AU22" s="43"/>
      <c r="AV22" s="183">
        <v>7.5625</v>
      </c>
      <c r="AW22" s="43">
        <v>0.2</v>
      </c>
      <c r="AX22" s="183">
        <v>8.75</v>
      </c>
    </row>
    <row r="23" spans="1:50" x14ac:dyDescent="0.25">
      <c r="A23" s="122" t="s">
        <v>106</v>
      </c>
      <c r="B23" s="66"/>
      <c r="C23" s="132" t="s">
        <v>6</v>
      </c>
      <c r="D23" s="66"/>
      <c r="E23" s="123">
        <f>[1]!WMB</f>
        <v>43</v>
      </c>
      <c r="F23" s="66"/>
      <c r="G23" s="125">
        <v>2.08</v>
      </c>
      <c r="H23" s="133" t="s">
        <v>54</v>
      </c>
      <c r="I23" s="126">
        <f>E23/G23</f>
        <v>20.673076923076923</v>
      </c>
      <c r="J23" s="66"/>
      <c r="K23" s="125">
        <v>1.04</v>
      </c>
      <c r="L23" s="67"/>
      <c r="M23" s="126">
        <f>E23/K23</f>
        <v>41.346153846153847</v>
      </c>
      <c r="N23" s="66"/>
      <c r="O23" s="125">
        <v>2.08</v>
      </c>
      <c r="P23" s="133" t="s">
        <v>54</v>
      </c>
      <c r="Q23" s="126">
        <f>M23/O23</f>
        <v>19.877958579881657</v>
      </c>
      <c r="R23" s="66"/>
      <c r="S23" s="127">
        <v>0.82</v>
      </c>
      <c r="T23" s="126">
        <f>E23/S23</f>
        <v>52.439024390243908</v>
      </c>
      <c r="U23" s="128"/>
      <c r="V23" s="129">
        <f>(S23-K23)/K23</f>
        <v>-0.21153846153846162</v>
      </c>
      <c r="W23" s="130"/>
      <c r="X23" s="127">
        <v>0.56000000000000005</v>
      </c>
      <c r="Y23" s="215"/>
      <c r="Z23" s="126">
        <f t="shared" si="3"/>
        <v>76.785714285714278</v>
      </c>
      <c r="AA23" s="128"/>
      <c r="AB23" s="127">
        <v>0.92</v>
      </c>
      <c r="AC23" s="215"/>
      <c r="AD23" s="126">
        <f t="shared" si="4"/>
        <v>46.739130434782609</v>
      </c>
      <c r="AE23" s="128"/>
      <c r="AF23" s="129">
        <f t="shared" si="5"/>
        <v>-0.31707317073170721</v>
      </c>
      <c r="AG23" s="130"/>
      <c r="AH23" s="113">
        <f t="shared" si="6"/>
        <v>0.10789049919484701</v>
      </c>
      <c r="AI23" s="130"/>
      <c r="AJ23" s="130">
        <f t="shared" si="7"/>
        <v>-2.1337126600284494E-2</v>
      </c>
      <c r="AK23" s="130"/>
      <c r="AL23" s="131">
        <f t="shared" si="8"/>
        <v>0.4118609406952965</v>
      </c>
      <c r="AM23" s="29"/>
      <c r="AN23" s="134">
        <f t="shared" si="9"/>
        <v>1.3953488372093023E-2</v>
      </c>
      <c r="AO23" s="135"/>
      <c r="AP23" s="55">
        <f>[1]!'WMB,DIVIDEND'</f>
        <v>0.6</v>
      </c>
      <c r="AQ23" s="259">
        <v>36684</v>
      </c>
      <c r="AR23" s="206">
        <v>0.15</v>
      </c>
      <c r="AS23" s="43"/>
      <c r="AT23" s="183">
        <v>38.8125</v>
      </c>
      <c r="AU23" s="43"/>
      <c r="AV23" s="183">
        <v>43.9375</v>
      </c>
      <c r="AW23" s="43">
        <v>0.15</v>
      </c>
      <c r="AX23" s="183">
        <v>30.5625</v>
      </c>
    </row>
    <row r="24" spans="1:50" ht="10.5" customHeight="1" x14ac:dyDescent="0.25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5">
      <c r="A25" s="122" t="s">
        <v>103</v>
      </c>
      <c r="B25" s="66"/>
      <c r="C25" s="114"/>
      <c r="D25" s="66"/>
      <c r="E25" s="123"/>
      <c r="F25" s="66"/>
      <c r="G25" s="138"/>
      <c r="H25" s="139"/>
      <c r="I25" s="140">
        <f>AVERAGE(I13:I23)</f>
        <v>14.995209062761749</v>
      </c>
      <c r="J25" s="67"/>
      <c r="K25" s="138"/>
      <c r="L25" s="139"/>
      <c r="M25" s="140">
        <f>AVERAGE(M13:M23)</f>
        <v>25.732548306781126</v>
      </c>
      <c r="N25" s="66"/>
      <c r="O25" s="138"/>
      <c r="P25" s="139"/>
      <c r="Q25" s="140">
        <f>AVERAGE(Q13:Q23)</f>
        <v>6.1057199914825215</v>
      </c>
      <c r="R25" s="67"/>
      <c r="S25" s="138"/>
      <c r="T25" s="140">
        <f>AVERAGE(T13:T23)</f>
        <v>32.033932299809798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24.611749549185706</v>
      </c>
      <c r="AA25" s="128"/>
      <c r="AB25" s="186"/>
      <c r="AC25" s="216"/>
      <c r="AD25" s="140">
        <f>AVERAGE(AD13:AD23)</f>
        <v>19.336776538450703</v>
      </c>
      <c r="AE25" s="128"/>
      <c r="AF25" s="141">
        <f>AVERAGE(AF13:AF23)</f>
        <v>0.34121155961783217</v>
      </c>
      <c r="AG25" s="130"/>
      <c r="AH25" s="142">
        <f>AVERAGE(AH13:AH23)</f>
        <v>2.1265875865753511E-2</v>
      </c>
      <c r="AI25" s="143"/>
      <c r="AJ25" s="143">
        <f>AVERAGE(AJ13:AJ23)</f>
        <v>0.1359814979594561</v>
      </c>
      <c r="AK25" s="143"/>
      <c r="AL25" s="144">
        <f>AVERAGE(AL13:AL23)</f>
        <v>0.35940506051756849</v>
      </c>
      <c r="AM25" s="29"/>
      <c r="AN25" s="141">
        <f>AVERAGE(AN13:AN23)</f>
        <v>2.7693652087767029E-2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5">
      <c r="A26" s="147" t="s">
        <v>63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5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5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26">
        <v>2000</v>
      </c>
      <c r="Y28" s="327"/>
      <c r="Z28" s="328"/>
      <c r="AA28" s="66"/>
      <c r="AB28" s="326">
        <v>2001</v>
      </c>
      <c r="AC28" s="327"/>
      <c r="AD28" s="328"/>
      <c r="AE28" s="66"/>
      <c r="AF28" s="38"/>
      <c r="AG28" s="12"/>
      <c r="AH28" s="69" t="s">
        <v>24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5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30</v>
      </c>
      <c r="Y29" s="67"/>
      <c r="Z29" s="118"/>
      <c r="AA29" s="66"/>
      <c r="AB29" s="83" t="s">
        <v>30</v>
      </c>
      <c r="AC29" s="67"/>
      <c r="AD29" s="118"/>
      <c r="AE29" s="66"/>
      <c r="AF29" s="38"/>
      <c r="AG29" s="12"/>
      <c r="AH29" s="80" t="s">
        <v>32</v>
      </c>
      <c r="AI29" s="77"/>
      <c r="AJ29" s="77" t="s">
        <v>33</v>
      </c>
      <c r="AK29" s="77"/>
      <c r="AL29" s="81" t="s">
        <v>34</v>
      </c>
      <c r="AN29" s="82" t="s">
        <v>35</v>
      </c>
      <c r="AO29" s="29"/>
      <c r="AP29" s="148"/>
      <c r="AQ29" s="149"/>
      <c r="AR29" s="209"/>
      <c r="AS29" s="11"/>
    </row>
    <row r="30" spans="1:50" ht="15.6" thickBot="1" x14ac:dyDescent="0.3">
      <c r="A30" s="298" t="s">
        <v>111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101</v>
      </c>
      <c r="Y30" s="265"/>
      <c r="Z30" s="271" t="s">
        <v>102</v>
      </c>
      <c r="AA30" s="291"/>
      <c r="AB30" s="270" t="s">
        <v>101</v>
      </c>
      <c r="AC30" s="265"/>
      <c r="AD30" s="271" t="s">
        <v>102</v>
      </c>
      <c r="AE30" s="265"/>
      <c r="AF30" s="292"/>
      <c r="AG30" s="292"/>
      <c r="AH30" s="287" t="s">
        <v>43</v>
      </c>
      <c r="AI30" s="288"/>
      <c r="AJ30" s="288" t="s">
        <v>44</v>
      </c>
      <c r="AK30" s="288"/>
      <c r="AL30" s="289" t="s">
        <v>44</v>
      </c>
      <c r="AM30" s="293"/>
      <c r="AN30" s="290" t="s">
        <v>45</v>
      </c>
      <c r="AO30" s="29"/>
      <c r="AP30" s="148"/>
      <c r="AQ30" s="149"/>
      <c r="AR30" s="209"/>
      <c r="AS30" s="11"/>
    </row>
    <row r="31" spans="1:50" x14ac:dyDescent="0.25">
      <c r="A31" s="180" t="str">
        <f>'[2]6-2-00 '!$A$17</f>
        <v>Akamai*</v>
      </c>
      <c r="B31" s="66"/>
      <c r="C31" s="114" t="str">
        <f>'[2]6-2-00 '!$B$17</f>
        <v>AKAM</v>
      </c>
      <c r="D31" s="66"/>
      <c r="E31" s="263">
        <f>'[2]6-2-00 '!$C$17</f>
        <v>89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72">
        <f>'[2]6-2-00 '!$F$17</f>
        <v>77.2</v>
      </c>
      <c r="Y31" s="67"/>
      <c r="Z31" s="273">
        <f>'[2]6-2-00 '!$G$17</f>
        <v>120.22839378238341</v>
      </c>
      <c r="AA31" s="66"/>
      <c r="AB31" s="272">
        <f>'[2]6-2-00 '!$I$17</f>
        <v>159.9</v>
      </c>
      <c r="AC31" s="67"/>
      <c r="AD31" s="273">
        <f>'[2]6-2-00 '!$J$17</f>
        <v>58.046479049405875</v>
      </c>
      <c r="AE31" s="66"/>
      <c r="AF31" s="38"/>
      <c r="AG31" s="12"/>
      <c r="AH31" s="279">
        <f>'[2]6-2-00 '!$L$17</f>
        <v>0.48488008342022942</v>
      </c>
      <c r="AI31" s="266"/>
      <c r="AJ31" s="267">
        <f>'[2]6-2-00 '!$N$17</f>
        <v>-44.655999999999999</v>
      </c>
      <c r="AK31" s="12"/>
      <c r="AL31" s="280">
        <f>'[2]6-2-00 '!$O$17</f>
        <v>-72.834999999999994</v>
      </c>
      <c r="AM31" s="29"/>
      <c r="AN31" s="134">
        <f t="shared" ref="AN31:AN37" si="10">AP31/E31</f>
        <v>0</v>
      </c>
      <c r="AO31" s="29"/>
      <c r="AP31" s="148">
        <v>0</v>
      </c>
      <c r="AQ31" s="149"/>
      <c r="AR31" s="209"/>
      <c r="AS31" s="11"/>
    </row>
    <row r="32" spans="1:50" x14ac:dyDescent="0.25">
      <c r="A32" s="180" t="str">
        <f>'[2]6-2-00 '!$A$19</f>
        <v>Digital Island*</v>
      </c>
      <c r="B32" s="66"/>
      <c r="C32" s="114" t="str">
        <f>'[2]6-2-00 '!$B$19</f>
        <v>ISLD</v>
      </c>
      <c r="D32" s="66"/>
      <c r="E32" s="263">
        <f>'[2]6-2-00 '!$C$19</f>
        <v>25.8125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72">
        <f>'[2]6-2-00 '!$F$19</f>
        <v>53.5</v>
      </c>
      <c r="Y32" s="67"/>
      <c r="Z32" s="273">
        <f>'[2]6-2-00 '!$G$19</f>
        <v>32.259835280373828</v>
      </c>
      <c r="AA32" s="66"/>
      <c r="AB32" s="272">
        <f>'[2]6-2-00 '!$I$19</f>
        <v>154.6</v>
      </c>
      <c r="AC32" s="67"/>
      <c r="AD32" s="273">
        <f>'[2]6-2-00 '!$J$19</f>
        <v>11.16365580530401</v>
      </c>
      <c r="AE32" s="66"/>
      <c r="AF32" s="38"/>
      <c r="AG32" s="12"/>
      <c r="AH32" s="279">
        <f>'[2]6-2-00 '!$L$19</f>
        <v>0.45422535211267606</v>
      </c>
      <c r="AI32" s="266"/>
      <c r="AJ32" s="267">
        <f>'[2]6-2-00 '!$N$19</f>
        <v>-57.640999999999998</v>
      </c>
      <c r="AK32" s="12"/>
      <c r="AL32" s="280">
        <f>'[2]6-2-00 '!$O$19</f>
        <v>-72.864999999999995</v>
      </c>
      <c r="AM32" s="29"/>
      <c r="AN32" s="134">
        <f t="shared" si="10"/>
        <v>0</v>
      </c>
      <c r="AO32" s="29"/>
      <c r="AP32" s="148">
        <v>0</v>
      </c>
      <c r="AQ32" s="149"/>
      <c r="AR32" s="209"/>
      <c r="AS32" s="11"/>
    </row>
    <row r="33" spans="1:45" x14ac:dyDescent="0.25">
      <c r="A33" s="180" t="str">
        <f>'[2]6-2-00 '!$A$22</f>
        <v>InterNap</v>
      </c>
      <c r="B33" s="66"/>
      <c r="C33" s="114" t="str">
        <f>'[2]6-2-00 '!$B$22</f>
        <v>INAP</v>
      </c>
      <c r="D33" s="66"/>
      <c r="E33" s="263">
        <f>'[2]6-2-00 '!$C$22</f>
        <v>35.375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272">
        <f>'[2]6-2-00 '!$F$22</f>
        <v>61.4</v>
      </c>
      <c r="Y33" s="67"/>
      <c r="Z33" s="273">
        <f>'[2]6-2-00 '!$G$22</f>
        <v>77.326062703583062</v>
      </c>
      <c r="AA33" s="66"/>
      <c r="AB33" s="272">
        <f>'[2]6-2-00 '!$I$22</f>
        <v>142.6</v>
      </c>
      <c r="AC33" s="67"/>
      <c r="AD33" s="273">
        <f>'[2]6-2-00 '!$J$22</f>
        <v>33.294672159887796</v>
      </c>
      <c r="AE33" s="66"/>
      <c r="AF33" s="38"/>
      <c r="AG33" s="12"/>
      <c r="AH33" s="279">
        <f>'[2]6-2-00 '!$L$22</f>
        <v>0.38048780487804879</v>
      </c>
      <c r="AI33" s="266"/>
      <c r="AJ33" s="267">
        <f>'[2]6-2-00 '!$N$22</f>
        <v>-23.097999999999999</v>
      </c>
      <c r="AK33" s="12"/>
      <c r="AL33" s="280">
        <f>'[2]6-2-00 '!$O$22</f>
        <v>-59.103999999999999</v>
      </c>
      <c r="AM33" s="29"/>
      <c r="AN33" s="134">
        <f t="shared" si="10"/>
        <v>0</v>
      </c>
      <c r="AO33" s="29"/>
      <c r="AP33" s="148">
        <v>0</v>
      </c>
      <c r="AQ33" s="149"/>
      <c r="AR33" s="209"/>
      <c r="AS33" s="11"/>
    </row>
    <row r="34" spans="1:45" ht="15.6" x14ac:dyDescent="0.25">
      <c r="A34" s="180" t="str">
        <f>'[2]6-2-00 '!$A$33</f>
        <v>Williams Communications**</v>
      </c>
      <c r="B34" s="66"/>
      <c r="C34" s="114" t="str">
        <f>'[2]6-2-00 '!$B$33</f>
        <v>WCG</v>
      </c>
      <c r="D34" s="66"/>
      <c r="E34" s="263">
        <f>'[2]6-2-00 '!$C$33</f>
        <v>39.6875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274">
        <f>'[2]6-2-00 '!$I$33</f>
        <v>2567.6</v>
      </c>
      <c r="Y34" s="302"/>
      <c r="Z34" s="273">
        <f>'[2]6-2-00 '!$J$33</f>
        <v>7.1664873081866336</v>
      </c>
      <c r="AA34" s="66"/>
      <c r="AB34" s="272" t="s">
        <v>94</v>
      </c>
      <c r="AC34" s="67"/>
      <c r="AD34" s="273" t="s">
        <v>94</v>
      </c>
      <c r="AE34" s="66"/>
      <c r="AF34" s="38"/>
      <c r="AG34" s="12"/>
      <c r="AH34" s="279">
        <f>'[2]6-2-00 '!$L$33</f>
        <v>0.15454545454545454</v>
      </c>
      <c r="AI34" s="266"/>
      <c r="AJ34" s="267">
        <f>'[2]6-2-00 '!$N$33</f>
        <v>-23.494</v>
      </c>
      <c r="AK34" s="12"/>
      <c r="AL34" s="280">
        <f>'[2]6-2-00 '!$O$33</f>
        <v>37.149000000000001</v>
      </c>
      <c r="AM34" s="29"/>
      <c r="AN34" s="134">
        <f t="shared" si="10"/>
        <v>0</v>
      </c>
      <c r="AO34" s="29"/>
      <c r="AP34" s="148">
        <v>0</v>
      </c>
      <c r="AQ34" s="149"/>
      <c r="AR34" s="209"/>
      <c r="AS34" s="11"/>
    </row>
    <row r="35" spans="1:45" ht="15.6" x14ac:dyDescent="0.25">
      <c r="A35" s="180" t="str">
        <f>'[2]6-2-00 '!$A$34</f>
        <v>Level3**</v>
      </c>
      <c r="B35" s="66"/>
      <c r="C35" s="114" t="str">
        <f>'[2]6-2-00 '!$B$34</f>
        <v>LVLT</v>
      </c>
      <c r="D35" s="66"/>
      <c r="E35" s="263">
        <f>'[2]6-2-00 '!$C$34</f>
        <v>84.1875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274">
        <f>'[2]6-2-00 '!$I$34</f>
        <v>1076.5</v>
      </c>
      <c r="Y35" s="302"/>
      <c r="Z35" s="273">
        <f>'[2]6-2-00 '!$J$34</f>
        <v>28.600523165350676</v>
      </c>
      <c r="AA35" s="66"/>
      <c r="AB35" s="272" t="s">
        <v>94</v>
      </c>
      <c r="AC35" s="67"/>
      <c r="AD35" s="273" t="s">
        <v>94</v>
      </c>
      <c r="AE35" s="66"/>
      <c r="AF35" s="38"/>
      <c r="AG35" s="12"/>
      <c r="AH35" s="279">
        <f>'[2]6-2-00 '!$L$34</f>
        <v>0.23126142595978061</v>
      </c>
      <c r="AI35" s="266"/>
      <c r="AJ35" s="267">
        <f>'[2]6-2-00 '!$N$34</f>
        <v>-20.39</v>
      </c>
      <c r="AK35" s="12"/>
      <c r="AL35" s="280">
        <f>'[2]6-2-00 '!$O$34</f>
        <v>2.8239999999999998</v>
      </c>
      <c r="AM35" s="29"/>
      <c r="AN35" s="134">
        <f t="shared" si="10"/>
        <v>0</v>
      </c>
      <c r="AO35" s="29"/>
      <c r="AP35" s="148">
        <v>0</v>
      </c>
      <c r="AQ35" s="149"/>
      <c r="AR35" s="209"/>
      <c r="AS35" s="11"/>
    </row>
    <row r="36" spans="1:45" ht="15.6" x14ac:dyDescent="0.25">
      <c r="A36" s="180" t="str">
        <f>'[2]6-2-00 '!$A$35</f>
        <v>Global Crossing**</v>
      </c>
      <c r="B36" s="66"/>
      <c r="C36" s="114" t="str">
        <f>'[2]6-2-00 '!$B$35</f>
        <v>GBLX</v>
      </c>
      <c r="D36" s="66"/>
      <c r="E36" s="263">
        <f>'[2]6-2-00 '!$C$35</f>
        <v>29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274">
        <f>'[2]6-2-00 '!$I$35</f>
        <v>5672</v>
      </c>
      <c r="Y36" s="302"/>
      <c r="Z36" s="273">
        <f>'[2]6-2-00 '!$J$35</f>
        <v>4.1805299717912554</v>
      </c>
      <c r="AA36" s="66"/>
      <c r="AB36" s="272" t="s">
        <v>94</v>
      </c>
      <c r="AC36" s="67"/>
      <c r="AD36" s="273" t="s">
        <v>94</v>
      </c>
      <c r="AE36" s="66"/>
      <c r="AF36" s="38"/>
      <c r="AG36" s="12"/>
      <c r="AH36" s="279">
        <f>'[2]6-2-00 '!$L$35</f>
        <v>0.14567901234567901</v>
      </c>
      <c r="AI36" s="266"/>
      <c r="AJ36" s="267">
        <f>'[2]6-2-00 '!$N$35</f>
        <v>-29.16</v>
      </c>
      <c r="AK36" s="12"/>
      <c r="AL36" s="280">
        <f>'[2]6-2-00 '!$O$35</f>
        <v>-42</v>
      </c>
      <c r="AM36" s="29"/>
      <c r="AN36" s="134">
        <f t="shared" si="10"/>
        <v>0</v>
      </c>
      <c r="AO36" s="29"/>
      <c r="AP36" s="148">
        <v>0</v>
      </c>
      <c r="AQ36" s="149"/>
      <c r="AR36" s="209"/>
      <c r="AS36" s="11"/>
    </row>
    <row r="37" spans="1:45" ht="15.6" x14ac:dyDescent="0.25">
      <c r="A37" s="180" t="str">
        <f>'[2]6-2-00 '!$A$36</f>
        <v>Qwest</v>
      </c>
      <c r="B37" s="66"/>
      <c r="C37" s="114" t="str">
        <f>'[2]6-2-00 '!$B$36</f>
        <v>Q</v>
      </c>
      <c r="D37" s="66"/>
      <c r="E37" s="263">
        <f>'[2]6-2-00 '!$C$36</f>
        <v>45.125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274">
        <f>'[2]6-2-00 '!$I$36</f>
        <v>5156.2</v>
      </c>
      <c r="Y37" s="302"/>
      <c r="Z37" s="273">
        <f>'[2]6-2-00 '!$J$36</f>
        <v>6.6030822117062957</v>
      </c>
      <c r="AA37" s="66"/>
      <c r="AB37" s="272" t="s">
        <v>94</v>
      </c>
      <c r="AC37" s="67"/>
      <c r="AD37" s="273" t="s">
        <v>94</v>
      </c>
      <c r="AE37" s="66"/>
      <c r="AF37" s="38"/>
      <c r="AG37" s="12"/>
      <c r="AH37" s="279">
        <f>'[2]6-2-00 '!$L$36</f>
        <v>9.3939393939393934E-2</v>
      </c>
      <c r="AI37" s="266"/>
      <c r="AJ37" s="267">
        <f>'[2]6-2-00 '!$N$36</f>
        <v>-5.99</v>
      </c>
      <c r="AK37" s="12"/>
      <c r="AL37" s="280">
        <f>'[2]6-2-00 '!$O$36</f>
        <v>4.9420000000000002</v>
      </c>
      <c r="AM37" s="29"/>
      <c r="AN37" s="134">
        <f t="shared" si="10"/>
        <v>0</v>
      </c>
      <c r="AO37" s="29"/>
      <c r="AP37" s="148">
        <v>0</v>
      </c>
      <c r="AQ37" s="149"/>
      <c r="AR37" s="209"/>
      <c r="AS37" s="11"/>
    </row>
    <row r="38" spans="1:45" x14ac:dyDescent="0.25">
      <c r="A38" s="180" t="str">
        <f>'[2]6-2-00 '!$A$56</f>
        <v>Ariba</v>
      </c>
      <c r="B38" s="66"/>
      <c r="C38" s="114" t="str">
        <f>'[2]6-2-00 '!$B$56</f>
        <v>ARBA</v>
      </c>
      <c r="D38" s="66"/>
      <c r="E38" s="263">
        <f>'[2]6-2-00 '!$C$56</f>
        <v>70.5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272">
        <f>'[2]6-2-00 '!$F$56</f>
        <v>173.8</v>
      </c>
      <c r="Y38" s="67"/>
      <c r="Z38" s="273">
        <f>'[2]6-2-00 '!$G$56</f>
        <v>95.650814154200219</v>
      </c>
      <c r="AA38" s="66"/>
      <c r="AB38" s="272">
        <f>'[2]6-2-00 '!$I$56</f>
        <v>348.5</v>
      </c>
      <c r="AC38" s="67"/>
      <c r="AD38" s="273">
        <f>'[2]6-2-00 '!$J$56</f>
        <v>47.701898134863697</v>
      </c>
      <c r="AE38" s="66"/>
      <c r="AF38" s="38"/>
      <c r="AG38" s="12"/>
      <c r="AH38" s="279">
        <f>'[2]6-2-00 '!$L$56</f>
        <v>0.33491124260355032</v>
      </c>
      <c r="AI38" s="266"/>
      <c r="AJ38" s="267">
        <f>'[2]6-2-00 '!$N$56</f>
        <v>-32.737000000000002</v>
      </c>
      <c r="AK38" s="12"/>
      <c r="AL38" s="280">
        <f>'[2]6-2-00 '!$O$56</f>
        <v>-20.507000000000001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</row>
    <row r="39" spans="1:45" x14ac:dyDescent="0.25">
      <c r="A39" s="180" t="str">
        <f>'[2]6-2-00 '!$A$57</f>
        <v>Commerce One</v>
      </c>
      <c r="B39" s="66"/>
      <c r="C39" s="114" t="str">
        <f>'[2]6-2-00 '!$B$57</f>
        <v>CMRC</v>
      </c>
      <c r="D39" s="66"/>
      <c r="E39" s="263">
        <f>'[2]6-2-00 '!$C$57</f>
        <v>50.3125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272">
        <f>'[2]6-2-00 '!$F$57</f>
        <v>215.4</v>
      </c>
      <c r="Y39" s="67"/>
      <c r="Z39" s="273">
        <f>'[2]6-2-00 '!$G$57</f>
        <v>36.355336002785506</v>
      </c>
      <c r="AA39" s="66"/>
      <c r="AB39" s="272">
        <f>'[2]6-2-00 '!$I$57</f>
        <v>404.9</v>
      </c>
      <c r="AC39" s="67"/>
      <c r="AD39" s="273">
        <f>'[2]6-2-00 '!$J$57</f>
        <v>19.340428192146209</v>
      </c>
      <c r="AE39" s="66"/>
      <c r="AF39" s="38"/>
      <c r="AG39" s="12"/>
      <c r="AH39" s="279">
        <f>'[2]6-2-00 '!$L$57</f>
        <v>0.37372013651877134</v>
      </c>
      <c r="AI39" s="266"/>
      <c r="AJ39" s="267">
        <f>'[2]6-2-00 '!$N$57</f>
        <v>-32.58</v>
      </c>
      <c r="AK39" s="12"/>
      <c r="AL39" s="280">
        <f>'[2]6-2-00 '!$O$57</f>
        <v>-48.790999999999997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</row>
    <row r="40" spans="1:45" x14ac:dyDescent="0.25">
      <c r="A40" s="180" t="str">
        <f>'[2]6-2-00 '!$A$58</f>
        <v>i2</v>
      </c>
      <c r="B40" s="66"/>
      <c r="C40" s="114" t="str">
        <f>'[2]6-2-00 '!$B$58</f>
        <v>ITWO</v>
      </c>
      <c r="D40" s="66"/>
      <c r="E40" s="263">
        <f>'[2]6-2-00 '!$C$58</f>
        <v>129.125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272">
        <f>'[2]6-2-00 '!$F$58</f>
        <v>800.8</v>
      </c>
      <c r="Y40" s="67"/>
      <c r="Z40" s="273">
        <f>'[2]6-2-00 '!$G$58</f>
        <v>25.741636332417585</v>
      </c>
      <c r="AA40" s="66"/>
      <c r="AB40" s="272">
        <f>'[2]6-2-00 '!$I$58</f>
        <v>1091.3</v>
      </c>
      <c r="AC40" s="67"/>
      <c r="AD40" s="273">
        <f>'[2]6-2-00 '!$J$58</f>
        <v>18.889308508201228</v>
      </c>
      <c r="AE40" s="66"/>
      <c r="AF40" s="38"/>
      <c r="AG40" s="12"/>
      <c r="AH40" s="279">
        <f>'[2]6-2-00 '!$L$58</f>
        <v>0.35209424083769636</v>
      </c>
      <c r="AI40" s="266"/>
      <c r="AJ40" s="267">
        <f>'[2]6-2-00 '!$N$58</f>
        <v>5.7320000000000002</v>
      </c>
      <c r="AK40" s="12"/>
      <c r="AL40" s="280">
        <f>'[2]6-2-00 '!$O$58</f>
        <v>32.436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</row>
    <row r="41" spans="1:45" ht="15.6" x14ac:dyDescent="0.25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45" x14ac:dyDescent="0.25">
      <c r="A42" s="180" t="s">
        <v>107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0.30057441471612806</v>
      </c>
      <c r="AI42" s="282"/>
      <c r="AJ42" s="283">
        <f>AVERAGE(AJ31:AJ40)</f>
        <v>-26.401399999999995</v>
      </c>
      <c r="AK42" s="284"/>
      <c r="AL42" s="285">
        <f>AVERAGE(AL31:AL40)</f>
        <v>-23.875099999999996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45" x14ac:dyDescent="0.25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45" x14ac:dyDescent="0.25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3" t="s">
        <v>115</v>
      </c>
      <c r="Y44" s="324"/>
      <c r="Z44" s="324"/>
      <c r="AA44" s="324"/>
      <c r="AB44" s="325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45" ht="15.6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7" t="s">
        <v>113</v>
      </c>
      <c r="Y45" s="156"/>
      <c r="Z45" s="44"/>
      <c r="AA45" s="44"/>
      <c r="AB45" s="307" t="s">
        <v>114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45" x14ac:dyDescent="0.25">
      <c r="A46" s="147" t="s">
        <v>98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AVERAGE(X64:X87)</f>
        <v>1.401428571428571</v>
      </c>
      <c r="Y46" s="66"/>
      <c r="Z46" s="66"/>
      <c r="AA46" s="66"/>
      <c r="AB46" s="299">
        <f>AVERAGE(AB64:AB87)</f>
        <v>1.6376190476190473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45" x14ac:dyDescent="0.25">
      <c r="A47" s="147" t="s">
        <v>99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MAX(X64:X87)</f>
        <v>1.5</v>
      </c>
      <c r="Y47" s="66"/>
      <c r="Z47" s="66"/>
      <c r="AA47" s="66"/>
      <c r="AB47" s="299">
        <f>MAX(AB64:AB87)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45" x14ac:dyDescent="0.25">
      <c r="A48" s="147" t="s">
        <v>100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MIN(X64:X87)</f>
        <v>1.35</v>
      </c>
      <c r="Y48" s="66"/>
      <c r="Z48" s="66"/>
      <c r="AA48" s="66"/>
      <c r="AB48" s="300">
        <f>MIN(AB64:AB87)</f>
        <v>1.55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5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5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6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5">
      <c r="A50" s="301" t="s">
        <v>110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5">
      <c r="A51" s="301" t="s">
        <v>108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5">
      <c r="A52" s="301" t="s">
        <v>119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5"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5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5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5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5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5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5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5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3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6" x14ac:dyDescent="0.3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72</v>
      </c>
      <c r="Y62" s="154"/>
      <c r="Z62" s="191"/>
      <c r="AA62" s="191"/>
      <c r="AB62" s="193" t="s">
        <v>84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3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6" x14ac:dyDescent="0.3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6" x14ac:dyDescent="0.3">
      <c r="A65" s="158" t="s">
        <v>116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/>
      <c r="T65" s="44"/>
      <c r="U65" s="44"/>
      <c r="V65" s="44"/>
      <c r="W65" s="44"/>
      <c r="X65" s="222">
        <v>1.4</v>
      </c>
      <c r="Y65" s="189"/>
      <c r="Z65" s="44"/>
      <c r="AA65" s="44"/>
      <c r="AB65" s="160">
        <v>1.65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6" x14ac:dyDescent="0.3">
      <c r="A66" s="158" t="s">
        <v>75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1.35</v>
      </c>
      <c r="Y66" s="190"/>
      <c r="Z66" s="44"/>
      <c r="AA66" s="44"/>
      <c r="AB66" s="160">
        <v>1.55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6" x14ac:dyDescent="0.3">
      <c r="A67" s="158" t="s">
        <v>12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>
        <v>2</v>
      </c>
      <c r="T67" s="44"/>
      <c r="U67" s="44"/>
      <c r="V67" s="44"/>
      <c r="W67" s="44"/>
      <c r="X67" s="190">
        <v>1.38</v>
      </c>
      <c r="Y67" s="190"/>
      <c r="Z67" s="44"/>
      <c r="AA67" s="44"/>
      <c r="AB67" s="160">
        <v>1.58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6" x14ac:dyDescent="0.3">
      <c r="A68" s="158" t="s">
        <v>76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/>
      <c r="T68" s="44"/>
      <c r="U68" s="44"/>
      <c r="V68" s="44"/>
      <c r="W68" s="44"/>
      <c r="X68" s="304">
        <v>1.4</v>
      </c>
      <c r="Y68" s="190"/>
      <c r="Z68" s="44"/>
      <c r="AA68" s="44"/>
      <c r="AB68" s="236">
        <v>1.6</v>
      </c>
      <c r="AC68" s="190"/>
      <c r="AD68" s="48"/>
      <c r="AE68" s="48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6" x14ac:dyDescent="0.3">
      <c r="A69" s="158" t="s">
        <v>13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>
        <v>1.95</v>
      </c>
      <c r="T69" s="161"/>
      <c r="U69" s="44"/>
      <c r="V69" s="44"/>
      <c r="W69" s="44"/>
      <c r="X69" s="190">
        <v>1.35</v>
      </c>
      <c r="Y69" s="190"/>
      <c r="Z69" s="161"/>
      <c r="AA69" s="161"/>
      <c r="AB69" s="236">
        <v>1.75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6" x14ac:dyDescent="0.3">
      <c r="A70" s="158" t="s">
        <v>81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1.5</v>
      </c>
      <c r="Y70" s="190"/>
      <c r="Z70" s="161"/>
      <c r="AA70" s="161"/>
      <c r="AB70" s="236">
        <v>1.7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6" x14ac:dyDescent="0.3">
      <c r="A71" s="158" t="s">
        <v>74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/>
      <c r="T71" s="161"/>
      <c r="U71" s="44"/>
      <c r="V71" s="44"/>
      <c r="W71" s="44"/>
      <c r="X71" s="190">
        <v>1.37</v>
      </c>
      <c r="Y71" s="190"/>
      <c r="Z71" s="161"/>
      <c r="AA71" s="161"/>
      <c r="AB71" s="236">
        <v>1.6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6" x14ac:dyDescent="0.3">
      <c r="A72" s="158" t="s">
        <v>68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1.5</v>
      </c>
      <c r="Y72" s="190"/>
      <c r="Z72" s="161"/>
      <c r="AA72" s="161"/>
      <c r="AB72" s="236">
        <v>1.71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ht="15.6" x14ac:dyDescent="0.3">
      <c r="A73" s="158" t="s">
        <v>112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1"/>
      <c r="U73" s="44"/>
      <c r="V73" s="44"/>
      <c r="W73" s="44"/>
      <c r="X73" s="190">
        <v>1.4</v>
      </c>
      <c r="Y73" s="190"/>
      <c r="Z73" s="161"/>
      <c r="AA73" s="161"/>
      <c r="AB73" s="236">
        <v>1.59</v>
      </c>
      <c r="AC73" s="190"/>
      <c r="AD73" s="162"/>
      <c r="AE73" s="162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4" s="6" customFormat="1" ht="15.6" x14ac:dyDescent="0.3">
      <c r="A74" s="163" t="s">
        <v>14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>
        <v>2</v>
      </c>
      <c r="T74" s="164"/>
      <c r="U74" s="165"/>
      <c r="V74" s="165"/>
      <c r="W74" s="165"/>
      <c r="X74" s="190">
        <v>1.4</v>
      </c>
      <c r="Y74" s="190"/>
      <c r="Z74" s="164"/>
      <c r="AA74" s="164"/>
      <c r="AB74" s="236">
        <v>1.65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6" x14ac:dyDescent="0.3">
      <c r="A75" s="163" t="s">
        <v>73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1.69</v>
      </c>
      <c r="AC75" s="190"/>
      <c r="AD75" s="167"/>
      <c r="AE75" s="167"/>
      <c r="AF75" s="166"/>
      <c r="AG75" s="165"/>
      <c r="AH75" s="165"/>
      <c r="AI75" s="45"/>
      <c r="AJ75" s="46"/>
      <c r="AK75" s="45"/>
      <c r="AL75" s="46"/>
      <c r="AM75" s="46"/>
      <c r="AN75" s="46"/>
      <c r="AQ75" s="19"/>
      <c r="AR75" s="211"/>
    </row>
    <row r="76" spans="1:44" s="6" customFormat="1" ht="15.6" x14ac:dyDescent="0.3">
      <c r="A76" s="163" t="s">
        <v>15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1.7</v>
      </c>
      <c r="AC76" s="190"/>
      <c r="AD76" s="167"/>
      <c r="AE76" s="167"/>
      <c r="AF76" s="166"/>
      <c r="AG76" s="165"/>
      <c r="AH76" s="165"/>
      <c r="AI76" s="45"/>
      <c r="AJ76" s="46"/>
      <c r="AK76" s="45"/>
      <c r="AL76" s="46"/>
      <c r="AM76" s="46"/>
      <c r="AN76" s="46"/>
      <c r="AQ76" s="19"/>
      <c r="AR76" s="211"/>
    </row>
    <row r="77" spans="1:44" s="6" customFormat="1" ht="15.6" x14ac:dyDescent="0.3">
      <c r="A77" s="163" t="s">
        <v>16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/>
      <c r="T77" s="164"/>
      <c r="U77" s="165"/>
      <c r="V77" s="165"/>
      <c r="W77" s="165"/>
      <c r="X77" s="190">
        <v>1.41</v>
      </c>
      <c r="Y77" s="190"/>
      <c r="Z77" s="164"/>
      <c r="AA77" s="164"/>
      <c r="AB77" s="160">
        <v>1.6</v>
      </c>
      <c r="AC77" s="190"/>
      <c r="AD77" s="167"/>
      <c r="AE77" s="167"/>
      <c r="AF77" s="166"/>
      <c r="AG77" s="165"/>
      <c r="AH77" s="165"/>
      <c r="AI77" s="45"/>
      <c r="AJ77" s="45"/>
      <c r="AK77" s="45"/>
      <c r="AL77" s="46"/>
      <c r="AM77" s="46"/>
      <c r="AN77" s="46"/>
      <c r="AQ77" s="19"/>
      <c r="AR77" s="211"/>
    </row>
    <row r="78" spans="1:44" s="6" customFormat="1" ht="15.6" x14ac:dyDescent="0.3">
      <c r="A78" s="163" t="s">
        <v>17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4"/>
      <c r="U78" s="165"/>
      <c r="V78" s="165"/>
      <c r="W78" s="165"/>
      <c r="X78" s="190">
        <v>1.37</v>
      </c>
      <c r="Y78" s="190"/>
      <c r="Z78" s="164"/>
      <c r="AA78" s="164"/>
      <c r="AB78" s="160">
        <v>1.55</v>
      </c>
      <c r="AC78" s="190"/>
      <c r="AD78" s="167"/>
      <c r="AE78" s="167"/>
      <c r="AF78" s="166"/>
      <c r="AG78" s="165"/>
      <c r="AH78" s="165"/>
      <c r="AI78" s="45"/>
      <c r="AJ78" s="45"/>
      <c r="AK78" s="45"/>
      <c r="AL78" s="46"/>
      <c r="AM78" s="46"/>
      <c r="AN78" s="46"/>
      <c r="AQ78" s="19"/>
      <c r="AR78" s="211"/>
    </row>
    <row r="79" spans="1:44" ht="15.6" x14ac:dyDescent="0.3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1.98</v>
      </c>
      <c r="T79" s="161"/>
      <c r="U79" s="168"/>
      <c r="V79" s="168"/>
      <c r="W79" s="168"/>
      <c r="X79" s="190">
        <v>1.38</v>
      </c>
      <c r="Y79" s="190"/>
      <c r="Z79" s="161"/>
      <c r="AA79" s="161"/>
      <c r="AB79" s="160">
        <v>1.55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6" x14ac:dyDescent="0.3">
      <c r="A80" s="163" t="s">
        <v>109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>
        <v>2</v>
      </c>
      <c r="T80" s="161"/>
      <c r="U80" s="168"/>
      <c r="V80" s="168"/>
      <c r="W80" s="168"/>
      <c r="X80" s="190">
        <v>1.4</v>
      </c>
      <c r="Y80" s="190"/>
      <c r="Z80" s="161"/>
      <c r="AA80" s="161"/>
      <c r="AB80" s="160">
        <v>1.65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6" x14ac:dyDescent="0.3">
      <c r="A81" s="163" t="s">
        <v>19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2.0099999999999998</v>
      </c>
      <c r="T81" s="161"/>
      <c r="U81" s="168"/>
      <c r="V81" s="168"/>
      <c r="W81" s="168"/>
      <c r="X81" s="190">
        <v>1.4</v>
      </c>
      <c r="Y81" s="190"/>
      <c r="Z81" s="161"/>
      <c r="AA81" s="161"/>
      <c r="AB81" s="236">
        <v>1.7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6" x14ac:dyDescent="0.3">
      <c r="A82" s="163" t="s">
        <v>80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304" t="s">
        <v>85</v>
      </c>
      <c r="Y82" s="190"/>
      <c r="Z82" s="161"/>
      <c r="AA82" s="161"/>
      <c r="AB82" s="236" t="s">
        <v>94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6" x14ac:dyDescent="0.3">
      <c r="A83" s="163" t="s">
        <v>117</v>
      </c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>
        <v>1.43</v>
      </c>
      <c r="Y83" s="190"/>
      <c r="Z83" s="161"/>
      <c r="AA83" s="161"/>
      <c r="AB83" s="160">
        <v>1.7</v>
      </c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"/>
      <c r="AQ83" s="2"/>
      <c r="AR83" s="212"/>
    </row>
    <row r="84" spans="1:44" ht="15.6" x14ac:dyDescent="0.3">
      <c r="A84" s="163" t="s">
        <v>65</v>
      </c>
      <c r="B84" s="187"/>
      <c r="C84" s="187"/>
      <c r="D84" s="187"/>
      <c r="E84" s="187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9">
        <v>2</v>
      </c>
      <c r="T84" s="161"/>
      <c r="U84" s="168"/>
      <c r="V84" s="168"/>
      <c r="W84" s="168"/>
      <c r="X84" s="190">
        <v>1.38</v>
      </c>
      <c r="Y84" s="190"/>
      <c r="Z84" s="161"/>
      <c r="AA84" s="161"/>
      <c r="AB84" s="236">
        <v>1.57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"/>
      <c r="AQ84" s="2"/>
      <c r="AR84" s="212"/>
    </row>
    <row r="85" spans="1:44" ht="15.6" x14ac:dyDescent="0.3">
      <c r="A85" s="163" t="s">
        <v>70</v>
      </c>
      <c r="B85" s="187"/>
      <c r="C85" s="187"/>
      <c r="D85" s="187"/>
      <c r="E85" s="187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9"/>
      <c r="T85" s="161"/>
      <c r="U85" s="168"/>
      <c r="V85" s="168"/>
      <c r="W85" s="168"/>
      <c r="X85" s="304" t="s">
        <v>85</v>
      </c>
      <c r="Y85" s="190"/>
      <c r="Z85" s="161"/>
      <c r="AA85" s="161"/>
      <c r="AB85" s="236" t="s">
        <v>85</v>
      </c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"/>
      <c r="AQ85" s="2"/>
      <c r="AR85" s="212"/>
    </row>
    <row r="86" spans="1:44" ht="15.6" x14ac:dyDescent="0.3">
      <c r="A86" s="163" t="s">
        <v>97</v>
      </c>
      <c r="B86" s="187"/>
      <c r="C86" s="187"/>
      <c r="D86" s="187"/>
      <c r="E86" s="187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9"/>
      <c r="T86" s="161"/>
      <c r="U86" s="168"/>
      <c r="V86" s="168"/>
      <c r="W86" s="168"/>
      <c r="X86" s="190">
        <v>1.4</v>
      </c>
      <c r="Y86" s="190"/>
      <c r="Z86" s="161"/>
      <c r="AA86" s="161"/>
      <c r="AB86" s="160">
        <v>1.65</v>
      </c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"/>
      <c r="AQ86" s="2"/>
      <c r="AR86" s="212"/>
    </row>
    <row r="87" spans="1:44" ht="15.6" x14ac:dyDescent="0.3">
      <c r="A87" s="163" t="s">
        <v>77</v>
      </c>
      <c r="B87" s="187"/>
      <c r="C87" s="187"/>
      <c r="D87" s="187"/>
      <c r="E87" s="187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9"/>
      <c r="T87" s="161"/>
      <c r="U87" s="168"/>
      <c r="V87" s="168"/>
      <c r="W87" s="168"/>
      <c r="X87" s="304" t="s">
        <v>85</v>
      </c>
      <c r="Y87" s="190"/>
      <c r="Z87" s="161"/>
      <c r="AA87" s="161"/>
      <c r="AB87" s="236" t="s">
        <v>85</v>
      </c>
      <c r="AC87" s="190"/>
      <c r="AD87" s="162"/>
      <c r="AE87" s="162"/>
      <c r="AF87" s="169"/>
      <c r="AG87" s="168"/>
      <c r="AH87" s="168"/>
      <c r="AI87" s="47"/>
      <c r="AJ87" s="47"/>
      <c r="AK87" s="47"/>
      <c r="AL87" s="49"/>
      <c r="AM87" s="49"/>
      <c r="AN87" s="49"/>
      <c r="AP87" s="1"/>
      <c r="AQ87" s="2"/>
      <c r="AR87" s="212"/>
    </row>
    <row r="88" spans="1:44" ht="15.6" x14ac:dyDescent="0.3">
      <c r="A88" s="170"/>
      <c r="B88" s="187"/>
      <c r="C88" s="187"/>
      <c r="D88" s="187"/>
      <c r="E88" s="187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9"/>
      <c r="T88" s="161"/>
      <c r="U88" s="168"/>
      <c r="V88" s="168"/>
      <c r="W88" s="168"/>
      <c r="X88" s="190"/>
      <c r="Y88" s="190"/>
      <c r="Z88" s="161"/>
      <c r="AA88" s="161"/>
      <c r="AB88" s="160"/>
      <c r="AC88" s="190"/>
      <c r="AD88" s="162"/>
      <c r="AE88" s="162"/>
      <c r="AF88" s="169"/>
      <c r="AG88" s="168"/>
      <c r="AH88" s="168"/>
      <c r="AI88" s="47"/>
      <c r="AJ88" s="47"/>
      <c r="AK88" s="47"/>
      <c r="AL88" s="49"/>
      <c r="AM88" s="49"/>
      <c r="AN88" s="49"/>
      <c r="AP88" s="148"/>
      <c r="AQ88" s="149"/>
      <c r="AR88" s="209"/>
    </row>
    <row r="89" spans="1:44" ht="15.6" x14ac:dyDescent="0.3">
      <c r="A89" s="171" t="s">
        <v>20</v>
      </c>
      <c r="B89" s="172"/>
      <c r="C89" s="172"/>
      <c r="D89" s="172"/>
      <c r="E89" s="172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92">
        <f>AVERAGE(S64:S87)</f>
        <v>1.9953846153846153</v>
      </c>
      <c r="T89" s="174"/>
      <c r="U89" s="175"/>
      <c r="V89" s="175"/>
      <c r="W89" s="175"/>
      <c r="X89" s="197">
        <f>AVERAGE(X64:X87)</f>
        <v>1.401428571428571</v>
      </c>
      <c r="Y89" s="197"/>
      <c r="Z89" s="174"/>
      <c r="AA89" s="174"/>
      <c r="AB89" s="262">
        <f>AVERAGE(AB64:AB87)</f>
        <v>1.6376190476190473</v>
      </c>
      <c r="AC89" s="190"/>
      <c r="AD89" s="162"/>
      <c r="AE89" s="162"/>
      <c r="AF89" s="169"/>
      <c r="AG89" s="168"/>
      <c r="AH89" s="168"/>
      <c r="AI89" s="47"/>
      <c r="AJ89" s="47"/>
      <c r="AK89" s="47"/>
      <c r="AL89" s="49"/>
      <c r="AM89" s="49"/>
      <c r="AN89" s="49"/>
      <c r="AP89" s="148"/>
      <c r="AQ89" s="149"/>
      <c r="AR89" s="209"/>
    </row>
    <row r="90" spans="1:44" ht="15.6" x14ac:dyDescent="0.3">
      <c r="C90" s="1"/>
      <c r="U90" s="1"/>
      <c r="W90" s="1"/>
      <c r="AC90" s="190"/>
      <c r="AD90" s="162"/>
      <c r="AE90" s="162"/>
      <c r="AF90" s="169"/>
      <c r="AG90" s="168"/>
      <c r="AH90" s="168"/>
      <c r="AI90" s="47"/>
      <c r="AJ90" s="47"/>
      <c r="AK90" s="47"/>
      <c r="AL90" s="49"/>
      <c r="AM90" s="49"/>
      <c r="AN90" s="49"/>
      <c r="AP90" s="148"/>
      <c r="AQ90" s="149"/>
      <c r="AR90" s="209"/>
    </row>
    <row r="91" spans="1:44" ht="15.6" x14ac:dyDescent="0.3">
      <c r="A91" s="4"/>
      <c r="C91" s="1"/>
      <c r="U91" s="1"/>
      <c r="W91" s="1"/>
      <c r="AC91" s="190"/>
      <c r="AD91" s="162"/>
      <c r="AE91" s="162"/>
      <c r="AF91" s="169"/>
      <c r="AG91" s="168"/>
      <c r="AH91" s="168"/>
      <c r="AI91" s="47"/>
      <c r="AJ91" s="47"/>
      <c r="AK91" s="47"/>
      <c r="AL91" s="49"/>
      <c r="AM91" s="49"/>
      <c r="AN91" s="49"/>
      <c r="AP91" s="148"/>
      <c r="AQ91" s="149"/>
      <c r="AR91" s="209"/>
    </row>
    <row r="92" spans="1:44" ht="15.6" x14ac:dyDescent="0.3">
      <c r="A92" s="4"/>
      <c r="B92" s="4"/>
      <c r="C92" s="17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7"/>
      <c r="T92" s="177"/>
      <c r="U92" s="178"/>
      <c r="V92" s="179"/>
      <c r="W92" s="178"/>
      <c r="X92" s="177"/>
      <c r="Y92" s="177"/>
      <c r="Z92" s="177"/>
      <c r="AA92" s="177"/>
      <c r="AB92" s="177"/>
      <c r="AC92" s="177"/>
      <c r="AD92" s="177"/>
      <c r="AE92" s="177"/>
      <c r="AF92" s="179"/>
      <c r="AG92" s="178"/>
      <c r="AH92" s="178"/>
      <c r="AP92" s="148"/>
      <c r="AQ92" s="149"/>
      <c r="AR92" s="209"/>
    </row>
    <row r="93" spans="1:44" ht="15.6" hidden="1" x14ac:dyDescent="0.3">
      <c r="A93" s="180" t="s">
        <v>64</v>
      </c>
      <c r="B93" s="4"/>
      <c r="C93" s="17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7"/>
      <c r="T93" s="177"/>
      <c r="U93" s="178"/>
      <c r="V93" s="179"/>
      <c r="W93" s="178"/>
      <c r="X93" s="177"/>
      <c r="Y93" s="177"/>
      <c r="Z93" s="177"/>
      <c r="AA93" s="177"/>
      <c r="AB93" s="177"/>
      <c r="AC93" s="177"/>
      <c r="AD93" s="177"/>
      <c r="AE93" s="177"/>
      <c r="AF93" s="179"/>
      <c r="AG93" s="178"/>
      <c r="AH93" s="178"/>
    </row>
    <row r="94" spans="1:44" ht="15.6" x14ac:dyDescent="0.3">
      <c r="B94" s="4"/>
      <c r="C94" s="17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8"/>
      <c r="V94" s="179"/>
      <c r="W94" s="178"/>
      <c r="X94" s="4"/>
      <c r="Y94" s="4"/>
      <c r="Z94" s="4"/>
      <c r="AA94" s="4"/>
      <c r="AB94" s="4"/>
      <c r="AC94" s="4"/>
      <c r="AD94" s="4"/>
      <c r="AE94" s="4"/>
      <c r="AF94" s="179"/>
      <c r="AG94" s="178"/>
      <c r="AH94" s="178"/>
    </row>
    <row r="95" spans="1:44" ht="15.6" x14ac:dyDescent="0.3">
      <c r="A95" s="4"/>
      <c r="B95" s="4"/>
      <c r="C95" s="17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8"/>
      <c r="V95" s="179"/>
      <c r="W95" s="178"/>
      <c r="X95" s="4"/>
      <c r="Y95" s="4"/>
      <c r="Z95" s="4"/>
      <c r="AA95" s="4"/>
      <c r="AB95" s="4"/>
      <c r="AC95" s="4"/>
      <c r="AD95" s="4"/>
      <c r="AE95" s="4"/>
      <c r="AF95" s="179"/>
      <c r="AG95" s="178"/>
      <c r="AH95" s="178"/>
    </row>
    <row r="96" spans="1:44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5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5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5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5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9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2000-06-02T20:25:54Z</cp:lastPrinted>
  <dcterms:created xsi:type="dcterms:W3CDTF">1997-07-25T21:14:12Z</dcterms:created>
  <dcterms:modified xsi:type="dcterms:W3CDTF">2023-09-10T11:12:25Z</dcterms:modified>
</cp:coreProperties>
</file>