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0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E13" i="1"/>
  <c r="G13" i="1"/>
  <c r="I13" i="1"/>
  <c r="K13" i="1"/>
  <c r="M13" i="1"/>
  <c r="O13" i="1"/>
  <c r="Q13" i="1"/>
  <c r="S13" i="1"/>
  <c r="U13" i="1"/>
  <c r="AJ13" i="1"/>
  <c r="AL13" i="1"/>
  <c r="AN13" i="1"/>
  <c r="E14" i="1"/>
  <c r="G14" i="1"/>
  <c r="I14" i="1"/>
  <c r="K14" i="1"/>
  <c r="M14" i="1"/>
  <c r="O14" i="1"/>
  <c r="Q14" i="1"/>
  <c r="S14" i="1"/>
  <c r="U14" i="1"/>
  <c r="AJ14" i="1"/>
  <c r="AL14" i="1"/>
  <c r="AN14" i="1"/>
  <c r="AO14" i="1"/>
  <c r="E15" i="1"/>
  <c r="G15" i="1"/>
  <c r="I15" i="1"/>
  <c r="K15" i="1"/>
  <c r="M15" i="1"/>
  <c r="O15" i="1"/>
  <c r="Q15" i="1"/>
  <c r="S15" i="1"/>
  <c r="U15" i="1"/>
  <c r="AJ15" i="1"/>
  <c r="AL15" i="1"/>
  <c r="AN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E18" i="1"/>
  <c r="G18" i="1"/>
  <c r="I18" i="1"/>
  <c r="K18" i="1"/>
  <c r="M18" i="1"/>
  <c r="O18" i="1"/>
  <c r="Q18" i="1"/>
  <c r="S18" i="1"/>
  <c r="U18" i="1"/>
  <c r="AJ18" i="1"/>
  <c r="AL18" i="1"/>
  <c r="AN18" i="1"/>
  <c r="E19" i="1"/>
  <c r="G19" i="1"/>
  <c r="I19" i="1"/>
  <c r="K19" i="1"/>
  <c r="M19" i="1"/>
  <c r="O19" i="1"/>
  <c r="Q19" i="1"/>
  <c r="S19" i="1"/>
  <c r="U19" i="1"/>
  <c r="AJ19" i="1"/>
  <c r="AL19" i="1"/>
  <c r="AN19" i="1"/>
  <c r="E20" i="1"/>
  <c r="G20" i="1"/>
  <c r="I20" i="1"/>
  <c r="K20" i="1"/>
  <c r="M20" i="1"/>
  <c r="O20" i="1"/>
  <c r="Q20" i="1"/>
  <c r="S20" i="1"/>
  <c r="U20" i="1"/>
  <c r="AJ20" i="1"/>
  <c r="AL20" i="1"/>
  <c r="AN20" i="1"/>
  <c r="E21" i="1"/>
  <c r="G21" i="1"/>
  <c r="I21" i="1"/>
  <c r="K21" i="1"/>
  <c r="M21" i="1"/>
  <c r="O21" i="1"/>
  <c r="Q21" i="1"/>
  <c r="S21" i="1"/>
  <c r="U21" i="1"/>
  <c r="AJ21" i="1"/>
  <c r="AL21" i="1"/>
  <c r="E22" i="1"/>
  <c r="G22" i="1"/>
  <c r="I22" i="1"/>
  <c r="K22" i="1"/>
  <c r="M22" i="1"/>
  <c r="O22" i="1"/>
  <c r="Q22" i="1"/>
  <c r="S22" i="1"/>
  <c r="U22" i="1"/>
  <c r="AJ22" i="1"/>
  <c r="AL22" i="1"/>
  <c r="E23" i="1"/>
  <c r="G23" i="1"/>
  <c r="I23" i="1"/>
  <c r="K23" i="1"/>
  <c r="M23" i="1"/>
  <c r="O23" i="1"/>
  <c r="Q23" i="1"/>
  <c r="S23" i="1"/>
  <c r="U23" i="1"/>
  <c r="AJ23" i="1"/>
  <c r="AL23" i="1"/>
  <c r="AN23" i="1"/>
  <c r="AO23" i="1"/>
  <c r="I25" i="1"/>
  <c r="K25" i="1"/>
  <c r="M25" i="1"/>
  <c r="O25" i="1"/>
  <c r="Q25" i="1"/>
  <c r="S25" i="1"/>
  <c r="U25" i="1"/>
  <c r="E26" i="1"/>
  <c r="AK26" i="1"/>
  <c r="AL26" i="1"/>
  <c r="E27" i="1"/>
  <c r="M27" i="1"/>
  <c r="Q27" i="1"/>
  <c r="S27" i="1"/>
  <c r="U27" i="1"/>
  <c r="G52" i="1"/>
  <c r="I52" i="1"/>
  <c r="K52" i="1"/>
  <c r="S52" i="1"/>
  <c r="U52" i="1"/>
  <c r="W52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<sst xmlns="http://schemas.openxmlformats.org/spreadsheetml/2006/main" count="157" uniqueCount="117">
  <si>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</si>
  <si>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</si>
  <si>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</si>
  <si>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</si>
  <si>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</si>
  <si>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</si>
  <si>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</si>
  <si>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</si>
  <si>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</si>
  <si>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</si>
  <si>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</si>
  <si>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</si>
  <si>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</si>
  <si>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</si>
  <si>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</si>
  <si>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</si>
  <si>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</si>
  <si>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</si>
  <si>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</si>
  <si>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</si>
  <si>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</si>
  <si>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</si>
  <si>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</si>
  <si>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</si>
  <si>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</si>
  <si>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</si>
  <si>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</si>
  <si>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</si>
  <si>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</si>
  <si>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</si>
  <si>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</si>
  <si>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</si>
  <si>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</si>
  <si>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</si>
  <si>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</si>
  <si>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</si>
  <si>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</si>
  <si>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</si>
  <si>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</si>
  <si>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</si>
  <si>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</si>
  <si>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</si>
  <si>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</si>
  <si>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</si>
  <si>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</si>
  <si>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</si>
  <si>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</si>
  <si>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</si>
  <si>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</si>
  <si>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</si>
  <si>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</si>
  <si>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</si>
  <si>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</si>
  <si>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</si>
  <si>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</si>
  <si>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</si>
  <si>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</si>
  <si>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</si>
  <si>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</si>
  <si>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</si>
  <si>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</si>
  <si>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</si>
  <si>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</si>
  <si>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</si>
  <si>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</si>
  <si>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</si>
  <si>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</si>
  <si>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</si>
  <si>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</si>
  <si>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</si>
  <si>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</si>
  <si>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</si>
  <si>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</si>
  <si>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</si>
  <si>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</si>
  <si>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</si>
  <si>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</si>
  <si>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</si>
  <si>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</si>
  <si>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</si>
  <si>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</si>
  <si>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</si>
  <si>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</si>
  <si>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</si>
  <si>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</si>
  <si>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</si>
  <si>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</si>
  <si>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</si>
  <si>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</si>
  <si>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</si>
  <si>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</si>
  <si>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</si>
  <si>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</si>
  <si>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</si>
  <si>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</si>
  <si>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</si>
  <si>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</si>
  <si>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</si>
  <si>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</si>
  <si>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</si>
  <si>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</si>
  <si>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</si>
  <si>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</si>
  <si>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PaineWebber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</si>
  <si>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</si>
  <si>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</si>
  <si>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</si>
  <si>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</si>
  <si>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</si>
  <si>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</si>
  <si>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</si>
  <si>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</si>
  <si>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</si>
  <si>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(3) Proposed restructuring would reduce distribution to $0.80 per year.</t>
  </si>
  <si>
    <t>Donato Eassey (NBP) Andrew Fairbanks (EOT)</t>
  </si>
  <si>
    <t>???</t>
  </si>
  <si>
    <t>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</si>
</sst>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5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8" fillId="0" borderId="6" xfId="0" applyNumberFormat="1" applyFont="1" applyFill="1" applyBorder="1" applyAlignment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16.125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26.625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14.1875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24.25</val>
          </value>
        </values>
      </ddeItem>
      <ddeItem name="EPN,DIVIDEND" advise="1">
        <values>
          <value>
            <val>2.15</val>
          </value>
        </values>
      </ddeItem>
      <ddeItem name="FGP">
        <values>
          <value>
            <val>13.625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5.8125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39</val>
          </value>
        </values>
      </ddeItem>
      <ddeItem name="KMP,DIVIDEND" advise="1">
        <values>
          <value>
            <val>3.1</val>
          </value>
        </values>
      </ddeItem>
      <ddeItem name="KPP">
        <values>
          <value>
            <val>26.3125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37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26.4375</val>
          </value>
        </values>
      </ddeItem>
      <ddeItem name="NBP,DIVIDEND">
        <values>
          <value>
            <val>2.6</val>
          </value>
        </values>
      </ddeItem>
      <ddeItem name="PAA">
        <values>
          <value>
            <val>17.625</val>
          </value>
        </values>
      </ddeItem>
      <ddeItem name="PAA,DIVIDEND" advise="1">
        <values>
          <value>
            <val>1.8</val>
          </value>
        </values>
      </ddeItem>
      <ddeItem name="TCLPZ.O" advise="1">
        <values>
          <value>
            <val>14.8125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22.625</val>
          </value>
        </values>
      </ddeItem>
      <ddeItem name="TPP,DIVIDEND">
        <values>
          <value>
            <val>2</val>
          </value>
        </values>
      </ddeItem>
      <ddeItem name="US30YT=RR,RT YIELD 1" advise="1">
        <values>
          <value>
            <val>5.9420000000000002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A124"/>
  <sheetViews>
    <sheetView showGridLines="0" tabSelected="1" zoomScale="50" workbookViewId="0">
      <pane xSplit="3" topLeftCell="D1" activePane="topRight" state="frozen"/>
      <selection pane="topRight" activeCell="I30" sqref="I30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1.3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5" width="15" style="22" customWidth="1"/>
    <col min="36" max="36" width="10.453125" style="22" customWidth="1"/>
    <col min="37" max="39" width="15.453125" style="22" customWidth="1"/>
    <col min="40" max="40" width="12.90625" style="7" customWidth="1"/>
    <col min="41" max="41" width="16.453125" style="7" customWidth="1"/>
    <col min="42" max="52" width="11.36328125" style="7" customWidth="1"/>
    <col min="53" max="16384" width="9.81640625" style="7"/>
  </cols>
  <sheetData>
    <row r="1" spans="1:52" s="85" customFormat="1" ht="22.8" x14ac:dyDescent="0.4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111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2.8" x14ac:dyDescent="0.4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36679</v>
      </c>
      <c r="V2" s="135"/>
      <c r="W2" s="312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2.8" x14ac:dyDescent="0.4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2.8" x14ac:dyDescent="0.4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2.8" x14ac:dyDescent="0.4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20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2.8" x14ac:dyDescent="0.4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1" t="s">
        <v>82</v>
      </c>
      <c r="AG6" s="172">
        <v>36672</v>
      </c>
      <c r="AH6" s="301" t="s">
        <v>82</v>
      </c>
      <c r="AI6" s="173">
        <v>36616</v>
      </c>
      <c r="AJ6" s="301" t="s">
        <v>82</v>
      </c>
      <c r="AK6" s="173">
        <v>36525</v>
      </c>
      <c r="AL6" s="321" t="s">
        <v>105</v>
      </c>
      <c r="AM6" s="175">
        <v>36160</v>
      </c>
      <c r="AN6" s="174">
        <v>1998</v>
      </c>
      <c r="AO6" s="175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4" x14ac:dyDescent="0.4">
      <c r="A7" s="176" t="s">
        <v>20</v>
      </c>
      <c r="B7" s="78"/>
      <c r="C7" s="176" t="s">
        <v>21</v>
      </c>
      <c r="D7" s="78"/>
      <c r="E7" s="177" t="s">
        <v>22</v>
      </c>
      <c r="F7" s="178"/>
      <c r="G7" s="176" t="s">
        <v>23</v>
      </c>
      <c r="H7" s="109"/>
      <c r="I7" s="179" t="s">
        <v>24</v>
      </c>
      <c r="J7" s="180"/>
      <c r="K7" s="181" t="s">
        <v>25</v>
      </c>
      <c r="L7" s="109"/>
      <c r="M7" s="179" t="s">
        <v>71</v>
      </c>
      <c r="N7" s="109"/>
      <c r="O7" s="182" t="s">
        <v>26</v>
      </c>
      <c r="P7" s="166"/>
      <c r="Q7" s="182" t="s">
        <v>27</v>
      </c>
      <c r="R7" s="166"/>
      <c r="S7" s="183" t="s">
        <v>15</v>
      </c>
      <c r="T7" s="109"/>
      <c r="U7" s="183" t="s">
        <v>15</v>
      </c>
      <c r="V7" s="167"/>
      <c r="W7" s="131"/>
      <c r="X7" s="150"/>
      <c r="Y7" s="184" t="s">
        <v>28</v>
      </c>
      <c r="Z7" s="185" t="s">
        <v>28</v>
      </c>
      <c r="AA7" s="186" t="s">
        <v>29</v>
      </c>
      <c r="AB7" s="186" t="s">
        <v>29</v>
      </c>
      <c r="AC7" s="187"/>
      <c r="AD7" s="188" t="s">
        <v>30</v>
      </c>
      <c r="AE7" s="189" t="s">
        <v>31</v>
      </c>
      <c r="AF7" s="190" t="s">
        <v>27</v>
      </c>
      <c r="AG7" s="191" t="s">
        <v>32</v>
      </c>
      <c r="AH7" s="190" t="s">
        <v>33</v>
      </c>
      <c r="AI7" s="191" t="s">
        <v>32</v>
      </c>
      <c r="AJ7" s="192" t="s">
        <v>106</v>
      </c>
      <c r="AK7" s="191" t="s">
        <v>32</v>
      </c>
      <c r="AL7" s="191" t="s">
        <v>34</v>
      </c>
      <c r="AM7" s="194" t="s">
        <v>32</v>
      </c>
      <c r="AN7" s="193" t="s">
        <v>34</v>
      </c>
      <c r="AO7" s="194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2.8" x14ac:dyDescent="0.4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5"/>
      <c r="W8" s="131"/>
      <c r="X8" s="150"/>
      <c r="Y8" s="196"/>
      <c r="Z8" s="197"/>
      <c r="AA8" s="198"/>
      <c r="AB8" s="197"/>
      <c r="AC8" s="78"/>
      <c r="AD8" s="199"/>
      <c r="AE8" s="200"/>
      <c r="AF8" s="201"/>
      <c r="AG8" s="200"/>
      <c r="AH8" s="201"/>
      <c r="AI8" s="200"/>
      <c r="AJ8" s="201"/>
      <c r="AK8" s="201"/>
      <c r="AL8" s="201"/>
      <c r="AM8" s="201"/>
      <c r="AN8" s="295"/>
      <c r="AO8" s="266"/>
      <c r="AP8" s="202"/>
      <c r="AQ8" s="202"/>
      <c r="AR8" s="202"/>
      <c r="AS8" s="203"/>
      <c r="AT8" s="203"/>
      <c r="AU8" s="203"/>
      <c r="AV8" s="203"/>
      <c r="AW8" s="107"/>
      <c r="AX8" s="164"/>
    </row>
    <row r="9" spans="1:52" s="85" customFormat="1" ht="23.4" thickBot="1" x14ac:dyDescent="0.45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4"/>
      <c r="Z9" s="205"/>
      <c r="AA9" s="150"/>
      <c r="AB9" s="205"/>
      <c r="AD9" s="199"/>
      <c r="AE9" s="200"/>
      <c r="AF9" s="201"/>
      <c r="AG9" s="201"/>
      <c r="AH9" s="323"/>
      <c r="AI9" s="200"/>
      <c r="AJ9" s="201"/>
      <c r="AK9" s="201"/>
      <c r="AL9" s="201"/>
      <c r="AM9" s="201"/>
      <c r="AN9" s="296"/>
      <c r="AO9" s="266"/>
    </row>
    <row r="10" spans="1:52" s="85" customFormat="1" ht="22.8" x14ac:dyDescent="0.4">
      <c r="A10" s="206" t="s">
        <v>35</v>
      </c>
      <c r="B10" s="207"/>
      <c r="C10" s="208" t="s">
        <v>36</v>
      </c>
      <c r="D10" s="207"/>
      <c r="E10" s="209">
        <f>[1]!NBP</f>
        <v>26.4375</v>
      </c>
      <c r="F10" s="210"/>
      <c r="G10" s="209">
        <f>[1]!'NBP,DIVIDEND'</f>
        <v>2.6</v>
      </c>
      <c r="H10" s="211"/>
      <c r="I10" s="212">
        <f>+G10/E10</f>
        <v>9.8345153664302604E-2</v>
      </c>
      <c r="J10" s="212"/>
      <c r="K10" s="213">
        <f>(+I10-E$27)*10000</f>
        <v>389.25153664302604</v>
      </c>
      <c r="L10" s="208"/>
      <c r="M10" s="212">
        <f>(I10*AA10)+((I10*(1-AA10))*(1-0.3))</f>
        <v>9.686997635933807E-2</v>
      </c>
      <c r="N10" s="208"/>
      <c r="O10" s="214">
        <f>+G10/Z10</f>
        <v>0.98113207547169823</v>
      </c>
      <c r="P10" s="215"/>
      <c r="Q10" s="214">
        <f>(AF10+$E10-AG10)/AG10</f>
        <v>9.585492227979274E-2</v>
      </c>
      <c r="R10" s="215"/>
      <c r="S10" s="214">
        <f>(AH10+$E10-AI10)/AI10</f>
        <v>-1.3824884792627253E-3</v>
      </c>
      <c r="T10" s="211"/>
      <c r="U10" s="216">
        <f>(AJ10+$E10-AK10)/AK10</f>
        <v>0.20597826086956525</v>
      </c>
      <c r="V10" s="217"/>
      <c r="W10" s="131"/>
      <c r="X10" s="150"/>
      <c r="Y10" s="328">
        <f>ROUND(G52,2)</f>
        <v>2.54</v>
      </c>
      <c r="Z10" s="329">
        <f>ROUND(I52,2)</f>
        <v>2.65</v>
      </c>
      <c r="AA10" s="218">
        <v>0.95</v>
      </c>
      <c r="AB10" s="219"/>
      <c r="AC10" s="78"/>
      <c r="AD10" s="220">
        <v>36642</v>
      </c>
      <c r="AE10" s="221">
        <v>0.65</v>
      </c>
      <c r="AF10" s="222"/>
      <c r="AG10" s="209">
        <v>24.125</v>
      </c>
      <c r="AH10" s="324">
        <v>0.65</v>
      </c>
      <c r="AI10" s="209">
        <v>27.125</v>
      </c>
      <c r="AJ10" s="324">
        <f>0.65*2</f>
        <v>1.3</v>
      </c>
      <c r="AK10" s="221">
        <v>23</v>
      </c>
      <c r="AL10" s="222">
        <f>0.61*4</f>
        <v>2.44</v>
      </c>
      <c r="AM10" s="221">
        <v>32.5625</v>
      </c>
      <c r="AN10" s="297">
        <f>0.575+0.575+0.575+0.575</f>
        <v>2.2999999999999998</v>
      </c>
      <c r="AO10" s="223">
        <v>34</v>
      </c>
      <c r="AP10" s="202"/>
      <c r="AQ10" s="203"/>
      <c r="AR10" s="203"/>
      <c r="AS10" s="203"/>
      <c r="AT10" s="203"/>
      <c r="AU10" s="84"/>
      <c r="AV10" s="225"/>
      <c r="AW10" s="226"/>
    </row>
    <row r="11" spans="1:52" s="85" customFormat="1" ht="23.4" thickBot="1" x14ac:dyDescent="0.45">
      <c r="A11" s="227" t="s">
        <v>37</v>
      </c>
      <c r="B11" s="228"/>
      <c r="C11" s="229" t="s">
        <v>38</v>
      </c>
      <c r="D11" s="228"/>
      <c r="E11" s="230">
        <f>[1]!EOT</f>
        <v>14.1875</v>
      </c>
      <c r="F11" s="231"/>
      <c r="G11" s="230">
        <f>[1]!'EOT,DIVIDEND'</f>
        <v>1.9</v>
      </c>
      <c r="H11" s="232"/>
      <c r="I11" s="233">
        <f>+G11/E11</f>
        <v>0.13392070484581498</v>
      </c>
      <c r="J11" s="233"/>
      <c r="K11" s="234">
        <f>(+I11-E$27)*10000</f>
        <v>745.00704845814971</v>
      </c>
      <c r="L11" s="229"/>
      <c r="M11" s="233">
        <f>(I11*AA11)+((I11*(1-AA11))*(1-0.3))</f>
        <v>0.13191189427312774</v>
      </c>
      <c r="N11" s="229"/>
      <c r="O11" s="235">
        <f>+G11/Z11</f>
        <v>2.9320987654320989</v>
      </c>
      <c r="P11" s="236"/>
      <c r="Q11" s="235">
        <f>(AF11+$E11-AG11)/AG11</f>
        <v>4.1284403669724773E-2</v>
      </c>
      <c r="R11" s="236"/>
      <c r="S11" s="235">
        <f>(AH11+$E11-AI11)/AI11</f>
        <v>4.7321428571428549E-2</v>
      </c>
      <c r="T11" s="232"/>
      <c r="U11" s="237">
        <f>(AJ11+E11-AK11)/AK11</f>
        <v>0.16442307692307687</v>
      </c>
      <c r="V11" s="217"/>
      <c r="W11" s="131"/>
      <c r="X11" s="150"/>
      <c r="Y11" s="328">
        <f>S52</f>
        <v>0.57000000000000006</v>
      </c>
      <c r="Z11" s="329">
        <f>U52</f>
        <v>0.64799999999999991</v>
      </c>
      <c r="AA11" s="218">
        <v>0.95</v>
      </c>
      <c r="AB11" s="219"/>
      <c r="AD11" s="220">
        <v>36642</v>
      </c>
      <c r="AE11" s="221">
        <v>0.47499999999999998</v>
      </c>
      <c r="AF11" s="222"/>
      <c r="AG11" s="230">
        <v>13.625</v>
      </c>
      <c r="AH11" s="324">
        <v>0.47499999999999998</v>
      </c>
      <c r="AI11" s="230">
        <v>14</v>
      </c>
      <c r="AJ11" s="324">
        <f>0.475*2</f>
        <v>0.95</v>
      </c>
      <c r="AK11" s="221">
        <v>13</v>
      </c>
      <c r="AL11" s="222">
        <f>0.475*4</f>
        <v>1.9</v>
      </c>
      <c r="AM11" s="221">
        <v>15.75</v>
      </c>
      <c r="AN11" s="224">
        <f>0.475+0.475+0.475+0.475</f>
        <v>1.9</v>
      </c>
      <c r="AO11" s="223">
        <v>17.125</v>
      </c>
      <c r="AP11" s="202"/>
      <c r="AQ11" s="203"/>
      <c r="AR11" s="84"/>
      <c r="AS11" s="203"/>
      <c r="AT11" s="203"/>
      <c r="AU11" s="84"/>
      <c r="AV11" s="225"/>
      <c r="AW11" s="226"/>
      <c r="AX11" s="80"/>
      <c r="AY11" s="80"/>
    </row>
    <row r="12" spans="1:52" s="85" customFormat="1" ht="22.8" x14ac:dyDescent="0.4">
      <c r="A12" s="78"/>
      <c r="B12" s="78"/>
      <c r="C12" s="128"/>
      <c r="D12" s="78"/>
      <c r="E12" s="238"/>
      <c r="F12" s="239"/>
      <c r="G12" s="238"/>
      <c r="H12" s="109"/>
      <c r="I12" s="110"/>
      <c r="J12" s="110"/>
      <c r="K12" s="240"/>
      <c r="L12" s="107"/>
      <c r="M12" s="110"/>
      <c r="N12" s="107"/>
      <c r="O12" s="166"/>
      <c r="P12" s="241"/>
      <c r="Q12" s="166"/>
      <c r="R12" s="241"/>
      <c r="S12" s="166"/>
      <c r="T12" s="109"/>
      <c r="U12" s="242"/>
      <c r="V12" s="217"/>
      <c r="W12" s="131"/>
      <c r="X12" s="150"/>
      <c r="Y12" s="328"/>
      <c r="Z12" s="329"/>
      <c r="AA12" s="218"/>
      <c r="AB12" s="219"/>
      <c r="AC12" s="78"/>
      <c r="AD12" s="243"/>
      <c r="AE12" s="221"/>
      <c r="AF12" s="222"/>
      <c r="AG12" s="238"/>
      <c r="AH12" s="324"/>
      <c r="AI12" s="238"/>
      <c r="AJ12" s="324"/>
      <c r="AK12" s="221"/>
      <c r="AL12" s="222"/>
      <c r="AM12" s="221"/>
      <c r="AN12" s="297"/>
      <c r="AO12" s="244"/>
      <c r="AP12" s="202"/>
      <c r="AQ12" s="203"/>
      <c r="AR12" s="84"/>
      <c r="AS12" s="203"/>
      <c r="AT12" s="203"/>
      <c r="AU12" s="84"/>
      <c r="AV12" s="225"/>
      <c r="AW12" s="226"/>
      <c r="AX12" s="80"/>
      <c r="AY12" s="80"/>
    </row>
    <row r="13" spans="1:52" s="85" customFormat="1" ht="26.4" x14ac:dyDescent="0.4">
      <c r="A13" s="127" t="s">
        <v>72</v>
      </c>
      <c r="B13" s="78"/>
      <c r="C13" s="144" t="s">
        <v>39</v>
      </c>
      <c r="D13" s="78"/>
      <c r="E13" s="238">
        <f>[1]!APU</f>
        <v>16.125</v>
      </c>
      <c r="F13" s="239"/>
      <c r="G13" s="238">
        <f>[1]!'APU,DIVIDEND'</f>
        <v>2.2000000000000002</v>
      </c>
      <c r="H13" s="109"/>
      <c r="I13" s="180">
        <f>+G13/E13</f>
        <v>0.13643410852713178</v>
      </c>
      <c r="J13" s="180"/>
      <c r="K13" s="245">
        <f t="shared" ref="K13:K23" si="0">(+I13-E$27)*10000</f>
        <v>770.14108527131782</v>
      </c>
      <c r="L13" s="107"/>
      <c r="M13" s="180">
        <f t="shared" ref="M13:M23" si="1">(I13*AA13)+((I13*(1-AA13))*(1-0.3))</f>
        <v>0.12415503875968992</v>
      </c>
      <c r="N13" s="107"/>
      <c r="O13" s="166">
        <f>+G13/Y13</f>
        <v>3.859649122807018</v>
      </c>
      <c r="P13" s="241"/>
      <c r="Q13" s="166">
        <f t="shared" ref="Q13:Q23" si="2">(AF13+$E13-AG13)/AG13</f>
        <v>2.3809523809523808E-2</v>
      </c>
      <c r="R13" s="241"/>
      <c r="S13" s="166">
        <f t="shared" ref="S13:S23" si="3">(AH13+$E13-AI13)/AI13</f>
        <v>9.3442622950819718E-2</v>
      </c>
      <c r="T13" s="109"/>
      <c r="U13" s="246">
        <f t="shared" ref="U13:U23" si="4">(AJ13+E13-AK13)/AK13</f>
        <v>0.15798319327731103</v>
      </c>
      <c r="V13" s="217"/>
      <c r="W13" s="131"/>
      <c r="X13" s="150"/>
      <c r="Y13" s="328">
        <v>0.56999999999999995</v>
      </c>
      <c r="Z13" s="329">
        <v>1.05</v>
      </c>
      <c r="AA13" s="218">
        <v>0.7</v>
      </c>
      <c r="AB13" s="247"/>
      <c r="AC13" s="78"/>
      <c r="AD13" s="220">
        <v>36654</v>
      </c>
      <c r="AE13" s="221">
        <v>0.55000000000000004</v>
      </c>
      <c r="AF13" s="222"/>
      <c r="AG13" s="238">
        <v>15.75</v>
      </c>
      <c r="AH13" s="324">
        <v>0.55000000000000004</v>
      </c>
      <c r="AI13" s="238">
        <v>15.25</v>
      </c>
      <c r="AJ13" s="324">
        <f>0.55*2</f>
        <v>1.1000000000000001</v>
      </c>
      <c r="AK13" s="221">
        <v>14.875</v>
      </c>
      <c r="AL13" s="222">
        <f>0.55*4</f>
        <v>2.2000000000000002</v>
      </c>
      <c r="AM13" s="221">
        <v>22.875</v>
      </c>
      <c r="AN13" s="224">
        <f>0.55+0.55+0.55+0.55</f>
        <v>2.2000000000000002</v>
      </c>
      <c r="AO13" s="248">
        <v>25.1875</v>
      </c>
      <c r="AP13" s="202"/>
      <c r="AQ13" s="203"/>
      <c r="AR13" s="84"/>
      <c r="AS13" s="203"/>
      <c r="AT13" s="203"/>
      <c r="AU13" s="84"/>
      <c r="AV13" s="249"/>
      <c r="AW13" s="226"/>
    </row>
    <row r="14" spans="1:52" s="85" customFormat="1" ht="22.8" x14ac:dyDescent="0.4">
      <c r="A14" s="127" t="s">
        <v>40</v>
      </c>
      <c r="B14" s="78"/>
      <c r="C14" s="144" t="s">
        <v>41</v>
      </c>
      <c r="D14" s="78"/>
      <c r="E14" s="238">
        <f>[1]!BPL</f>
        <v>26.625</v>
      </c>
      <c r="F14" s="239"/>
      <c r="G14" s="238">
        <f>[1]!'BPL,DIVIDEND'</f>
        <v>2.4</v>
      </c>
      <c r="H14" s="109"/>
      <c r="I14" s="180">
        <f t="shared" ref="I14:I20" si="5">+G14/E14</f>
        <v>9.0140845070422526E-2</v>
      </c>
      <c r="J14" s="180"/>
      <c r="K14" s="245">
        <f t="shared" si="0"/>
        <v>307.20845070422524</v>
      </c>
      <c r="L14" s="107"/>
      <c r="M14" s="180">
        <f t="shared" si="1"/>
        <v>8.3380281690140834E-2</v>
      </c>
      <c r="N14" s="107"/>
      <c r="O14" s="166">
        <f t="shared" ref="O14:O23" si="6">+G14/Z14</f>
        <v>0.90566037735849059</v>
      </c>
      <c r="P14" s="241"/>
      <c r="Q14" s="166">
        <f t="shared" si="2"/>
        <v>2.8985507246376812E-2</v>
      </c>
      <c r="R14" s="241"/>
      <c r="S14" s="166">
        <f t="shared" si="3"/>
        <v>4.711538461538467E-2</v>
      </c>
      <c r="T14" s="109"/>
      <c r="U14" s="246">
        <f t="shared" si="4"/>
        <v>7.0192307692307665E-2</v>
      </c>
      <c r="V14" s="217"/>
      <c r="W14" s="131"/>
      <c r="X14" s="150"/>
      <c r="Y14" s="328">
        <v>2.54</v>
      </c>
      <c r="Z14" s="329">
        <v>2.65</v>
      </c>
      <c r="AA14" s="218">
        <v>0.75</v>
      </c>
      <c r="AB14" s="219"/>
      <c r="AC14" s="78"/>
      <c r="AD14" s="220">
        <v>36648</v>
      </c>
      <c r="AE14" s="221">
        <v>0.6</v>
      </c>
      <c r="AF14" s="222"/>
      <c r="AG14" s="238">
        <v>25.875</v>
      </c>
      <c r="AH14" s="324">
        <v>0.6</v>
      </c>
      <c r="AI14" s="238">
        <v>26</v>
      </c>
      <c r="AJ14" s="324">
        <f>0.6*2</f>
        <v>1.2</v>
      </c>
      <c r="AK14" s="221">
        <v>26</v>
      </c>
      <c r="AL14" s="222">
        <f>0.525+0.55*3</f>
        <v>2.1750000000000003</v>
      </c>
      <c r="AM14" s="221">
        <v>29</v>
      </c>
      <c r="AN14" s="224">
        <f>0.525+0.525+0.525+0.525</f>
        <v>2.1</v>
      </c>
      <c r="AO14" s="248">
        <f>57.9375/2</f>
        <v>28.96875</v>
      </c>
      <c r="AP14" s="202"/>
      <c r="AQ14" s="203"/>
      <c r="AR14" s="84"/>
      <c r="AS14" s="203"/>
      <c r="AT14" s="203"/>
      <c r="AU14" s="84"/>
      <c r="AV14" s="225"/>
      <c r="AW14" s="226"/>
    </row>
    <row r="15" spans="1:52" s="85" customFormat="1" ht="22.8" x14ac:dyDescent="0.4">
      <c r="A15" s="127" t="s">
        <v>101</v>
      </c>
      <c r="B15" s="78"/>
      <c r="C15" s="144" t="s">
        <v>102</v>
      </c>
      <c r="D15" s="78"/>
      <c r="E15" s="238">
        <f>[1]!EPN</f>
        <v>24.25</v>
      </c>
      <c r="F15" s="239"/>
      <c r="G15" s="238">
        <f>[1]!'EPN,DIVIDEND'</f>
        <v>2.15</v>
      </c>
      <c r="H15" s="109"/>
      <c r="I15" s="180">
        <f>+G15/E15</f>
        <v>8.865979381443298E-2</v>
      </c>
      <c r="J15" s="180"/>
      <c r="K15" s="245">
        <f t="shared" si="0"/>
        <v>292.39793814432977</v>
      </c>
      <c r="L15" s="107"/>
      <c r="M15" s="180">
        <f>(I15*AA15)+((I15*(1-AA15))*(1-0.3))</f>
        <v>8.7595876288659794E-2</v>
      </c>
      <c r="N15" s="107"/>
      <c r="O15" s="166">
        <f>+G15/Z15</f>
        <v>2.8289473684210527</v>
      </c>
      <c r="P15" s="241"/>
      <c r="Q15" s="166">
        <f>(AF15+$E15-AG15)/AG15</f>
        <v>1.5706806282722512E-2</v>
      </c>
      <c r="R15" s="241"/>
      <c r="S15" s="166">
        <f>(AH15+$E15-AI15)/AI15</f>
        <v>0.27935483870967748</v>
      </c>
      <c r="T15" s="109"/>
      <c r="U15" s="246">
        <f>(AJ15+E15-AK15)/AK15</f>
        <v>0.33223684210526316</v>
      </c>
      <c r="V15" s="253"/>
      <c r="W15" s="131"/>
      <c r="X15" s="150"/>
      <c r="Y15" s="330">
        <v>0.37</v>
      </c>
      <c r="Z15" s="331">
        <v>0.76</v>
      </c>
      <c r="AA15" s="254">
        <v>0.96</v>
      </c>
      <c r="AB15" s="256"/>
      <c r="AC15" s="78"/>
      <c r="AD15" s="220">
        <v>36642</v>
      </c>
      <c r="AE15" s="251">
        <v>0.53749999999999998</v>
      </c>
      <c r="AF15" s="252"/>
      <c r="AG15" s="238">
        <v>23.875</v>
      </c>
      <c r="AH15" s="325">
        <v>0.53749999999999998</v>
      </c>
      <c r="AI15" s="238">
        <v>19.375</v>
      </c>
      <c r="AJ15" s="325">
        <f>0.525+0.5375</f>
        <v>1.0625</v>
      </c>
      <c r="AK15" s="251">
        <v>19</v>
      </c>
      <c r="AL15" s="252">
        <f>0.525*4</f>
        <v>2.1</v>
      </c>
      <c r="AM15" s="251">
        <v>20.125</v>
      </c>
      <c r="AN15" s="224">
        <f>0.5+0.525+0.525+0.525</f>
        <v>2.0749999999999997</v>
      </c>
      <c r="AO15" s="248">
        <v>30.625</v>
      </c>
      <c r="AP15" s="202"/>
      <c r="AQ15" s="203"/>
      <c r="AR15" s="84"/>
      <c r="AS15" s="203"/>
      <c r="AT15" s="203"/>
      <c r="AU15" s="84"/>
      <c r="AV15" s="225"/>
      <c r="AW15" s="226"/>
    </row>
    <row r="16" spans="1:52" s="85" customFormat="1" ht="26.4" x14ac:dyDescent="0.4">
      <c r="A16" s="127" t="s">
        <v>73</v>
      </c>
      <c r="B16" s="78"/>
      <c r="C16" s="144" t="s">
        <v>42</v>
      </c>
      <c r="D16" s="78"/>
      <c r="E16" s="238">
        <f>[1]!FGP</f>
        <v>13.625</v>
      </c>
      <c r="F16" s="239"/>
      <c r="G16" s="238">
        <f>[1]!'FGP,DIVIDEND'</f>
        <v>2</v>
      </c>
      <c r="H16" s="109"/>
      <c r="I16" s="180">
        <f>+G16/E16</f>
        <v>0.14678899082568808</v>
      </c>
      <c r="J16" s="180"/>
      <c r="K16" s="245">
        <f t="shared" si="0"/>
        <v>873.68990825688081</v>
      </c>
      <c r="L16" s="107"/>
      <c r="M16" s="180">
        <f t="shared" si="1"/>
        <v>0.14590825688073394</v>
      </c>
      <c r="N16" s="107"/>
      <c r="O16" s="166">
        <f t="shared" si="6"/>
        <v>4.8780487804878048</v>
      </c>
      <c r="P16" s="250"/>
      <c r="Q16" s="166">
        <f t="shared" si="2"/>
        <v>1.3953488372093023E-2</v>
      </c>
      <c r="R16" s="250"/>
      <c r="S16" s="166">
        <f t="shared" si="3"/>
        <v>2.7272727272727271E-2</v>
      </c>
      <c r="T16" s="109"/>
      <c r="U16" s="246">
        <f t="shared" si="4"/>
        <v>0.15841584158415842</v>
      </c>
      <c r="V16" s="217"/>
      <c r="W16" s="131"/>
      <c r="X16" s="150"/>
      <c r="Y16" s="328">
        <v>-0.31</v>
      </c>
      <c r="Z16" s="329">
        <v>0.41</v>
      </c>
      <c r="AA16" s="218">
        <v>0.98</v>
      </c>
      <c r="AB16" s="219"/>
      <c r="AC16" s="78"/>
      <c r="AD16" s="220">
        <v>36672</v>
      </c>
      <c r="AE16" s="221">
        <v>0.5</v>
      </c>
      <c r="AF16" s="222"/>
      <c r="AG16" s="238">
        <v>13.4375</v>
      </c>
      <c r="AH16" s="324">
        <v>0.5</v>
      </c>
      <c r="AI16" s="238">
        <v>13.75</v>
      </c>
      <c r="AJ16" s="324">
        <f>0.5+0.5</f>
        <v>1</v>
      </c>
      <c r="AK16" s="221">
        <v>12.625</v>
      </c>
      <c r="AL16" s="222">
        <f>0.5*4</f>
        <v>2</v>
      </c>
      <c r="AM16" s="221">
        <v>17.25</v>
      </c>
      <c r="AN16" s="224">
        <f>0.5+0.5+0.5+0.5</f>
        <v>2</v>
      </c>
      <c r="AO16" s="248">
        <v>22.375</v>
      </c>
      <c r="AP16" s="202"/>
      <c r="AQ16" s="203"/>
      <c r="AR16" s="84"/>
      <c r="AS16" s="203"/>
      <c r="AT16" s="203"/>
      <c r="AU16" s="84"/>
      <c r="AV16" s="225"/>
      <c r="AW16" s="226"/>
    </row>
    <row r="17" spans="1:52" s="85" customFormat="1" ht="22.8" x14ac:dyDescent="0.4">
      <c r="A17" s="127" t="s">
        <v>112</v>
      </c>
      <c r="B17" s="78"/>
      <c r="C17" s="144" t="s">
        <v>43</v>
      </c>
      <c r="D17" s="78"/>
      <c r="E17" s="238">
        <f>[1]!GEL</f>
        <v>5.8125</v>
      </c>
      <c r="F17" s="239"/>
      <c r="G17" s="238">
        <f>[1]!'GEL,DIVIDEND'</f>
        <v>2</v>
      </c>
      <c r="H17" s="332" t="s">
        <v>116</v>
      </c>
      <c r="I17" s="180">
        <f>+G17/E17</f>
        <v>0.34408602150537637</v>
      </c>
      <c r="J17" s="180"/>
      <c r="K17" s="245">
        <f t="shared" si="0"/>
        <v>2846.6602150537633</v>
      </c>
      <c r="L17" s="107"/>
      <c r="M17" s="180">
        <f t="shared" si="1"/>
        <v>0.34408602150537637</v>
      </c>
      <c r="N17" s="107"/>
      <c r="O17" s="166">
        <f t="shared" si="6"/>
        <v>8.695652173913043</v>
      </c>
      <c r="P17" s="241"/>
      <c r="Q17" s="166">
        <f t="shared" si="2"/>
        <v>0.13414634146341464</v>
      </c>
      <c r="R17" s="241"/>
      <c r="S17" s="166">
        <f t="shared" si="3"/>
        <v>-0.31756756756756754</v>
      </c>
      <c r="T17" s="109"/>
      <c r="U17" s="246">
        <f t="shared" si="4"/>
        <v>-0.15503875968992248</v>
      </c>
      <c r="V17" s="217"/>
      <c r="W17" s="131"/>
      <c r="X17" s="150"/>
      <c r="Y17" s="328">
        <v>0.04</v>
      </c>
      <c r="Z17" s="329">
        <v>0.23</v>
      </c>
      <c r="AA17" s="218">
        <v>1</v>
      </c>
      <c r="AB17" s="219"/>
      <c r="AC17" s="78"/>
      <c r="AD17" s="220">
        <v>36643</v>
      </c>
      <c r="AE17" s="251">
        <v>0.5</v>
      </c>
      <c r="AF17" s="252"/>
      <c r="AG17" s="238">
        <v>5.125</v>
      </c>
      <c r="AH17" s="325">
        <v>0.5</v>
      </c>
      <c r="AI17" s="238">
        <v>9.25</v>
      </c>
      <c r="AJ17" s="325">
        <f>0.5*2</f>
        <v>1</v>
      </c>
      <c r="AK17" s="251">
        <v>8.0625</v>
      </c>
      <c r="AL17" s="252">
        <f>0.5*4</f>
        <v>2</v>
      </c>
      <c r="AM17" s="251">
        <v>14.4375</v>
      </c>
      <c r="AN17" s="298">
        <f>0.5+0.5+0.5+0.5</f>
        <v>2</v>
      </c>
      <c r="AO17" s="248">
        <v>16.375</v>
      </c>
      <c r="AP17" s="202"/>
      <c r="AQ17" s="203"/>
      <c r="AR17" s="84"/>
      <c r="AS17" s="203"/>
      <c r="AT17" s="203"/>
      <c r="AU17" s="84"/>
      <c r="AV17" s="225"/>
      <c r="AW17" s="226"/>
    </row>
    <row r="18" spans="1:52" s="85" customFormat="1" ht="22.8" x14ac:dyDescent="0.4">
      <c r="A18" s="127" t="s">
        <v>44</v>
      </c>
      <c r="B18" s="78"/>
      <c r="C18" s="144" t="s">
        <v>45</v>
      </c>
      <c r="D18" s="78"/>
      <c r="E18" s="238">
        <f>[1]!KPP</f>
        <v>26.3125</v>
      </c>
      <c r="F18" s="239"/>
      <c r="G18" s="238">
        <f>[1]!'KPP,DIVIDEND'</f>
        <v>2.8</v>
      </c>
      <c r="H18" s="109"/>
      <c r="I18" s="180">
        <f t="shared" si="5"/>
        <v>0.10641330166270783</v>
      </c>
      <c r="J18" s="180"/>
      <c r="K18" s="245">
        <f t="shared" si="0"/>
        <v>469.93301662707836</v>
      </c>
      <c r="L18" s="107"/>
      <c r="M18" s="180">
        <f t="shared" si="1"/>
        <v>0.10002850356294538</v>
      </c>
      <c r="N18" s="107"/>
      <c r="O18" s="166">
        <f t="shared" si="6"/>
        <v>0.95563139931740604</v>
      </c>
      <c r="P18" s="241"/>
      <c r="Q18" s="166">
        <f t="shared" si="2"/>
        <v>5.7788944723618091E-2</v>
      </c>
      <c r="R18" s="241"/>
      <c r="S18" s="166">
        <f t="shared" si="3"/>
        <v>7.7805486284289252E-2</v>
      </c>
      <c r="T18" s="109"/>
      <c r="U18" s="246">
        <f t="shared" si="4"/>
        <v>0.12253164556962019</v>
      </c>
      <c r="V18" s="253"/>
      <c r="W18" s="131"/>
      <c r="X18" s="150"/>
      <c r="Y18" s="328">
        <v>2.65</v>
      </c>
      <c r="Z18" s="329">
        <v>2.93</v>
      </c>
      <c r="AA18" s="218">
        <v>0.8</v>
      </c>
      <c r="AB18" s="219"/>
      <c r="AC18" s="78"/>
      <c r="AD18" s="220">
        <v>36642</v>
      </c>
      <c r="AE18" s="251">
        <v>0.7</v>
      </c>
      <c r="AF18" s="252"/>
      <c r="AG18" s="238">
        <v>24.875</v>
      </c>
      <c r="AH18" s="325">
        <v>0.7</v>
      </c>
      <c r="AI18" s="238">
        <v>25.0625</v>
      </c>
      <c r="AJ18" s="325">
        <f>0.7*2</f>
        <v>1.4</v>
      </c>
      <c r="AK18" s="251">
        <v>24.6875</v>
      </c>
      <c r="AL18" s="252">
        <f>0.65*2+0.7*2</f>
        <v>2.7</v>
      </c>
      <c r="AM18" s="251">
        <v>33</v>
      </c>
      <c r="AN18" s="224">
        <f>0.65+0.65+0.65+0.65</f>
        <v>2.6</v>
      </c>
      <c r="AO18" s="248">
        <v>35.75</v>
      </c>
      <c r="AP18" s="202"/>
      <c r="AQ18" s="80"/>
      <c r="AR18" s="80"/>
      <c r="AS18" s="80"/>
      <c r="AT18" s="80"/>
      <c r="AU18" s="84"/>
      <c r="AV18" s="225"/>
      <c r="AW18" s="226"/>
    </row>
    <row r="19" spans="1:52" s="85" customFormat="1" ht="26.4" x14ac:dyDescent="0.4">
      <c r="A19" s="127" t="s">
        <v>46</v>
      </c>
      <c r="B19" s="78"/>
      <c r="C19" s="144" t="s">
        <v>104</v>
      </c>
      <c r="D19" s="78"/>
      <c r="E19" s="238">
        <f>[1]!KMP</f>
        <v>39</v>
      </c>
      <c r="F19" s="239"/>
      <c r="G19" s="238">
        <f>[1]!'KMP,DIVIDEND'</f>
        <v>3.1</v>
      </c>
      <c r="H19" s="322"/>
      <c r="I19" s="180">
        <f>+G19/E19</f>
        <v>7.9487179487179496E-2</v>
      </c>
      <c r="J19" s="180"/>
      <c r="K19" s="245">
        <f t="shared" si="0"/>
        <v>200.67179487179496</v>
      </c>
      <c r="L19" s="107"/>
      <c r="M19" s="180">
        <f t="shared" si="1"/>
        <v>7.7102564102564108E-2</v>
      </c>
      <c r="N19" s="107"/>
      <c r="O19" s="166">
        <f t="shared" si="6"/>
        <v>1.0616438356164384</v>
      </c>
      <c r="P19" s="241"/>
      <c r="Q19" s="166">
        <f t="shared" si="2"/>
        <v>3.3112582781456956E-2</v>
      </c>
      <c r="R19" s="241"/>
      <c r="S19" s="166">
        <f t="shared" si="3"/>
        <v>2.204724409448783E-3</v>
      </c>
      <c r="T19" s="109"/>
      <c r="U19" s="246">
        <f t="shared" si="4"/>
        <v>-2.2624434389140271E-2</v>
      </c>
      <c r="V19" s="253"/>
      <c r="W19" s="131"/>
      <c r="X19" s="150"/>
      <c r="Y19" s="330">
        <v>2.64</v>
      </c>
      <c r="Z19" s="331">
        <v>2.92</v>
      </c>
      <c r="AA19" s="254">
        <v>0.9</v>
      </c>
      <c r="AB19" s="255"/>
      <c r="AC19" s="78"/>
      <c r="AD19" s="220">
        <v>36643</v>
      </c>
      <c r="AE19" s="221">
        <v>0.77500000000000002</v>
      </c>
      <c r="AF19" s="222"/>
      <c r="AG19" s="238">
        <v>37.75</v>
      </c>
      <c r="AH19" s="324">
        <v>0.77500000000000002</v>
      </c>
      <c r="AI19" s="238">
        <v>39.6875</v>
      </c>
      <c r="AJ19" s="324">
        <f>0.725+0.775</f>
        <v>1.5</v>
      </c>
      <c r="AK19" s="221">
        <v>41.4375</v>
      </c>
      <c r="AL19" s="222">
        <f>0.65+0.7*2+0.725</f>
        <v>2.7749999999999999</v>
      </c>
      <c r="AM19" s="221">
        <v>36.25</v>
      </c>
      <c r="AN19" s="224">
        <f>0.5625+0.5625+0.63+0.63</f>
        <v>2.3849999999999998</v>
      </c>
      <c r="AO19" s="248">
        <v>33.875</v>
      </c>
      <c r="AP19" s="202"/>
      <c r="AQ19" s="80"/>
      <c r="AR19" s="84"/>
      <c r="AS19" s="84"/>
      <c r="AT19" s="84"/>
      <c r="AU19" s="84"/>
      <c r="AV19" s="84"/>
      <c r="AW19" s="226"/>
    </row>
    <row r="20" spans="1:52" s="85" customFormat="1" ht="22.8" x14ac:dyDescent="0.4">
      <c r="A20" s="127" t="s">
        <v>47</v>
      </c>
      <c r="B20" s="78"/>
      <c r="C20" s="144" t="s">
        <v>48</v>
      </c>
      <c r="D20" s="78"/>
      <c r="E20" s="238">
        <f>[1]!LHP</f>
        <v>37</v>
      </c>
      <c r="F20" s="239"/>
      <c r="G20" s="238">
        <f>[1]!'LHP,DIVIDEND'</f>
        <v>3.5</v>
      </c>
      <c r="H20" s="109"/>
      <c r="I20" s="180">
        <f t="shared" si="5"/>
        <v>9.45945945945946E-2</v>
      </c>
      <c r="J20" s="180"/>
      <c r="K20" s="245">
        <f t="shared" si="0"/>
        <v>351.745945945946</v>
      </c>
      <c r="L20" s="107"/>
      <c r="M20" s="180">
        <f t="shared" si="1"/>
        <v>9.3175675675675682E-2</v>
      </c>
      <c r="N20" s="107"/>
      <c r="O20" s="166">
        <f t="shared" si="6"/>
        <v>1.2323943661971832</v>
      </c>
      <c r="P20" s="241"/>
      <c r="Q20" s="166">
        <f t="shared" si="2"/>
        <v>5.0933786078098476E-3</v>
      </c>
      <c r="R20" s="241"/>
      <c r="S20" s="166">
        <f t="shared" si="3"/>
        <v>8.9928057553956831E-2</v>
      </c>
      <c r="T20" s="109"/>
      <c r="U20" s="246">
        <f t="shared" si="4"/>
        <v>0.11310592459605028</v>
      </c>
      <c r="V20" s="253"/>
      <c r="W20" s="131"/>
      <c r="X20" s="150"/>
      <c r="Y20" s="330">
        <v>2.61</v>
      </c>
      <c r="Z20" s="331">
        <v>2.84</v>
      </c>
      <c r="AA20" s="254">
        <v>0.95</v>
      </c>
      <c r="AB20" s="256"/>
      <c r="AC20" s="78"/>
      <c r="AD20" s="220">
        <v>36642</v>
      </c>
      <c r="AE20" s="221">
        <v>0.875</v>
      </c>
      <c r="AF20" s="222"/>
      <c r="AG20" s="238">
        <v>36.8125</v>
      </c>
      <c r="AH20" s="324">
        <v>0.875</v>
      </c>
      <c r="AI20" s="238">
        <v>34.75</v>
      </c>
      <c r="AJ20" s="324">
        <f>0.875*2</f>
        <v>1.75</v>
      </c>
      <c r="AK20" s="221">
        <v>34.8125</v>
      </c>
      <c r="AL20" s="222">
        <f>0.875*4</f>
        <v>3.5</v>
      </c>
      <c r="AM20" s="221">
        <v>48.5</v>
      </c>
      <c r="AN20" s="224">
        <f>0.78+0.86+0.86+0.86</f>
        <v>3.36</v>
      </c>
      <c r="AO20" s="248">
        <v>43.6875</v>
      </c>
      <c r="AP20" s="202"/>
      <c r="AQ20" s="203"/>
      <c r="AR20" s="203"/>
      <c r="AS20" s="203"/>
      <c r="AT20" s="203"/>
      <c r="AU20" s="84"/>
      <c r="AV20" s="225"/>
      <c r="AW20" s="226"/>
    </row>
    <row r="21" spans="1:52" s="85" customFormat="1" ht="26.4" x14ac:dyDescent="0.4">
      <c r="A21" s="127" t="s">
        <v>84</v>
      </c>
      <c r="B21" s="78"/>
      <c r="C21" s="144" t="s">
        <v>86</v>
      </c>
      <c r="D21" s="78"/>
      <c r="E21" s="238">
        <f>[1]!PAA</f>
        <v>17.625</v>
      </c>
      <c r="F21" s="239"/>
      <c r="G21" s="238">
        <f>[1]!'PAA,DIVIDEND'</f>
        <v>1.8</v>
      </c>
      <c r="H21" s="322"/>
      <c r="I21" s="180">
        <f>+G21/E21</f>
        <v>0.10212765957446809</v>
      </c>
      <c r="J21" s="180"/>
      <c r="K21" s="245">
        <f t="shared" si="0"/>
        <v>427.07659574468096</v>
      </c>
      <c r="L21" s="107"/>
      <c r="M21" s="180">
        <f>(I21*AA21)+((I21*(1-AA21))*(1-0.3))</f>
        <v>9.293617021276597E-2</v>
      </c>
      <c r="N21" s="107"/>
      <c r="O21" s="166">
        <f>+G21/Z21</f>
        <v>1.0975609756097562</v>
      </c>
      <c r="P21" s="241"/>
      <c r="Q21" s="166">
        <f>(AF21+$E21-AG21)/AG21</f>
        <v>-3.4246575342465752E-2</v>
      </c>
      <c r="R21" s="241"/>
      <c r="S21" s="166">
        <f>(AH21+$E21-AI21)/AI21</f>
        <v>0.10381679389312973</v>
      </c>
      <c r="T21" s="109"/>
      <c r="U21" s="246">
        <f>(AJ21+E21-AK21)/AK21</f>
        <v>0.42499999999999988</v>
      </c>
      <c r="V21" s="253"/>
      <c r="W21" s="131"/>
      <c r="X21" s="150"/>
      <c r="Y21" s="330">
        <v>1.41</v>
      </c>
      <c r="Z21" s="331">
        <v>1.64</v>
      </c>
      <c r="AA21" s="254">
        <v>0.7</v>
      </c>
      <c r="AB21" s="256"/>
      <c r="AC21" s="78"/>
      <c r="AD21" s="220">
        <v>36649</v>
      </c>
      <c r="AE21" s="251">
        <v>0.45</v>
      </c>
      <c r="AF21" s="252"/>
      <c r="AG21" s="238">
        <v>18.25</v>
      </c>
      <c r="AH21" s="325">
        <v>0.45</v>
      </c>
      <c r="AI21" s="238">
        <v>16.375</v>
      </c>
      <c r="AJ21" s="325">
        <f>0.45*2</f>
        <v>0.9</v>
      </c>
      <c r="AK21" s="251">
        <v>13</v>
      </c>
      <c r="AL21" s="252">
        <f>0.193+0.45+0.463+0.48125</f>
        <v>1.58725</v>
      </c>
      <c r="AM21" s="251">
        <v>17.3125</v>
      </c>
      <c r="AN21" s="224" t="s">
        <v>87</v>
      </c>
      <c r="AO21" s="302" t="s">
        <v>87</v>
      </c>
      <c r="AP21" s="202"/>
      <c r="AQ21" s="257"/>
      <c r="AR21" s="203"/>
      <c r="AS21" s="203"/>
      <c r="AT21" s="203"/>
      <c r="AU21" s="84"/>
      <c r="AV21" s="225"/>
      <c r="AW21" s="226"/>
    </row>
    <row r="22" spans="1:52" s="85" customFormat="1" ht="22.8" x14ac:dyDescent="0.4">
      <c r="A22" s="127" t="s">
        <v>107</v>
      </c>
      <c r="B22" s="78"/>
      <c r="C22" s="144" t="s">
        <v>88</v>
      </c>
      <c r="D22" s="78"/>
      <c r="E22" s="238">
        <f>[1]!TCLPZ.O</f>
        <v>14.8125</v>
      </c>
      <c r="F22" s="239"/>
      <c r="G22" s="238">
        <f>[1]!'TCLPZ.O,DIVIDEND'</f>
        <v>1.8</v>
      </c>
      <c r="H22" s="109"/>
      <c r="I22" s="180">
        <f>+G22/E22</f>
        <v>0.12151898734177216</v>
      </c>
      <c r="J22" s="180"/>
      <c r="K22" s="245">
        <f t="shared" si="0"/>
        <v>620.98987341772158</v>
      </c>
      <c r="L22" s="107"/>
      <c r="M22" s="180">
        <f>(I22*AA22)+((I22*(1-AA22))*(1-0.3))</f>
        <v>0.11969620253164559</v>
      </c>
      <c r="N22" s="107"/>
      <c r="O22" s="166">
        <f>+G22/Z22</f>
        <v>0.95744680851063835</v>
      </c>
      <c r="P22" s="241"/>
      <c r="Q22" s="166">
        <f>(AF22+$E22-AG22)/AG22</f>
        <v>-4.2016806722689074E-3</v>
      </c>
      <c r="R22" s="241"/>
      <c r="S22" s="166">
        <f>(AH22+$E22-AI22)/AI22</f>
        <v>-3.4782608695652216E-2</v>
      </c>
      <c r="T22" s="109"/>
      <c r="U22" s="246">
        <f>(AJ22+E22-AK22)/AK22</f>
        <v>0.10263157894736845</v>
      </c>
      <c r="V22" s="253"/>
      <c r="W22" s="131"/>
      <c r="X22" s="150"/>
      <c r="Y22" s="330">
        <v>1.87</v>
      </c>
      <c r="Z22" s="331">
        <v>1.88</v>
      </c>
      <c r="AA22" s="254">
        <v>0.95</v>
      </c>
      <c r="AB22" s="256"/>
      <c r="AC22" s="78"/>
      <c r="AD22" s="220">
        <v>36642</v>
      </c>
      <c r="AE22" s="251">
        <v>0.45</v>
      </c>
      <c r="AF22" s="252"/>
      <c r="AG22" s="318">
        <v>14.875</v>
      </c>
      <c r="AH22" s="325">
        <v>0.45</v>
      </c>
      <c r="AI22" s="318">
        <v>15.8125</v>
      </c>
      <c r="AJ22" s="325">
        <f>0.45*2</f>
        <v>0.9</v>
      </c>
      <c r="AK22" s="251">
        <v>14.25</v>
      </c>
      <c r="AL22" s="252">
        <f>0.168+0.45</f>
        <v>0.61799999999999999</v>
      </c>
      <c r="AM22" s="251" t="s">
        <v>87</v>
      </c>
      <c r="AN22" s="224"/>
      <c r="AO22" s="302"/>
      <c r="AP22" s="202"/>
      <c r="AQ22" s="257"/>
      <c r="AR22" s="203"/>
      <c r="AS22" s="203"/>
      <c r="AT22" s="203"/>
      <c r="AU22" s="84"/>
      <c r="AV22" s="225"/>
      <c r="AW22" s="226"/>
    </row>
    <row r="23" spans="1:52" s="85" customFormat="1" ht="22.8" x14ac:dyDescent="0.4">
      <c r="A23" s="127" t="s">
        <v>49</v>
      </c>
      <c r="B23" s="78"/>
      <c r="C23" s="144" t="s">
        <v>50</v>
      </c>
      <c r="D23" s="78"/>
      <c r="E23" s="238">
        <f>[1]!TPP</f>
        <v>22.625</v>
      </c>
      <c r="F23" s="239"/>
      <c r="G23" s="238">
        <f>[1]!'TPP,DIVIDEND'</f>
        <v>2</v>
      </c>
      <c r="H23" s="109"/>
      <c r="I23" s="180">
        <f>+G23/E23</f>
        <v>8.8397790055248615E-2</v>
      </c>
      <c r="J23" s="180"/>
      <c r="K23" s="245">
        <f t="shared" si="0"/>
        <v>289.77790055248613</v>
      </c>
      <c r="L23" s="107"/>
      <c r="M23" s="180">
        <f t="shared" si="1"/>
        <v>8.0441988950276239E-2</v>
      </c>
      <c r="N23" s="107"/>
      <c r="O23" s="166">
        <f t="shared" si="6"/>
        <v>0.96153846153846145</v>
      </c>
      <c r="P23" s="241"/>
      <c r="Q23" s="166">
        <f t="shared" si="2"/>
        <v>2.2598870056497175E-2</v>
      </c>
      <c r="R23" s="241"/>
      <c r="S23" s="166">
        <f t="shared" si="3"/>
        <v>3.9325842696629212E-2</v>
      </c>
      <c r="T23" s="109"/>
      <c r="U23" s="246">
        <f t="shared" si="4"/>
        <v>0.22200647249190947</v>
      </c>
      <c r="V23" s="253"/>
      <c r="W23" s="131"/>
      <c r="X23" s="150"/>
      <c r="Y23" s="330">
        <v>1.98</v>
      </c>
      <c r="Z23" s="331">
        <v>2.08</v>
      </c>
      <c r="AA23" s="254">
        <v>0.7</v>
      </c>
      <c r="AB23" s="256"/>
      <c r="AC23" s="78"/>
      <c r="AD23" s="220">
        <v>36642</v>
      </c>
      <c r="AE23" s="251">
        <v>0.5</v>
      </c>
      <c r="AF23" s="252"/>
      <c r="AG23" s="238">
        <v>22.125</v>
      </c>
      <c r="AH23" s="325">
        <v>0.5</v>
      </c>
      <c r="AI23" s="238">
        <v>22.25</v>
      </c>
      <c r="AJ23" s="325">
        <f>0.475+0.5</f>
        <v>0.97499999999999998</v>
      </c>
      <c r="AK23" s="251">
        <v>19.3125</v>
      </c>
      <c r="AL23" s="252">
        <f>0.45*2+0.475*2</f>
        <v>1.85</v>
      </c>
      <c r="AM23" s="251">
        <v>24.5625</v>
      </c>
      <c r="AN23" s="224">
        <f>(0.85+0.85+0.9)/2+0.45</f>
        <v>1.75</v>
      </c>
      <c r="AO23" s="248">
        <f>52.6875/2</f>
        <v>26.34375</v>
      </c>
      <c r="AP23" s="202"/>
      <c r="AQ23" s="80"/>
      <c r="AR23" s="80"/>
      <c r="AS23" s="80"/>
      <c r="AT23" s="80"/>
      <c r="AU23" s="80"/>
      <c r="AV23" s="225"/>
      <c r="AW23" s="226"/>
    </row>
    <row r="24" spans="1:52" s="85" customFormat="1" ht="23.4" thickBot="1" x14ac:dyDescent="0.45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40"/>
      <c r="L24" s="107"/>
      <c r="M24" s="110"/>
      <c r="N24" s="107"/>
      <c r="O24" s="166"/>
      <c r="P24" s="241"/>
      <c r="Q24" s="166"/>
      <c r="R24" s="241"/>
      <c r="S24" s="166"/>
      <c r="T24" s="109"/>
      <c r="U24" s="128"/>
      <c r="V24" s="258"/>
      <c r="W24" s="131"/>
      <c r="X24" s="150"/>
      <c r="Y24" s="259"/>
      <c r="Z24" s="260"/>
      <c r="AA24" s="261"/>
      <c r="AB24" s="262"/>
      <c r="AD24" s="263"/>
      <c r="AE24" s="264"/>
      <c r="AF24" s="117"/>
      <c r="AG24" s="78"/>
      <c r="AH24" s="326"/>
      <c r="AI24" s="78"/>
      <c r="AJ24" s="265"/>
      <c r="AK24" s="266"/>
      <c r="AL24" s="265"/>
      <c r="AM24" s="266"/>
      <c r="AN24" s="299"/>
      <c r="AO24" s="293"/>
      <c r="AP24" s="80"/>
      <c r="AQ24" s="80"/>
      <c r="AR24" s="80"/>
      <c r="AS24" s="80"/>
      <c r="AT24" s="80"/>
      <c r="AU24" s="80"/>
      <c r="AV24" s="225"/>
      <c r="AW24" s="225"/>
      <c r="AX24" s="226"/>
    </row>
    <row r="25" spans="1:52" s="85" customFormat="1" ht="23.4" thickBot="1" x14ac:dyDescent="0.45">
      <c r="A25" s="267" t="s">
        <v>51</v>
      </c>
      <c r="B25" s="268"/>
      <c r="C25" s="269"/>
      <c r="D25" s="268"/>
      <c r="E25" s="270"/>
      <c r="F25" s="270"/>
      <c r="G25" s="271"/>
      <c r="H25" s="272"/>
      <c r="I25" s="273">
        <f>AVERAGEA(I13:I23)</f>
        <v>0.12714993385991114</v>
      </c>
      <c r="J25" s="273"/>
      <c r="K25" s="274">
        <f>(+I25-E$27)*10000</f>
        <v>677.29933859911137</v>
      </c>
      <c r="L25" s="269"/>
      <c r="M25" s="273">
        <f>AVERAGEA(M13:M23)</f>
        <v>0.12259150728731581</v>
      </c>
      <c r="N25" s="269"/>
      <c r="O25" s="275">
        <f>AVERAGEA(O13:O23)</f>
        <v>2.4940157881615721</v>
      </c>
      <c r="P25" s="276"/>
      <c r="Q25" s="275">
        <f>AVERAGEA(Q13:Q23)</f>
        <v>2.6977017029888931E-2</v>
      </c>
      <c r="R25" s="276"/>
      <c r="S25" s="275">
        <f>AVERAGEA(S13:S23)</f>
        <v>3.7083300192985738E-2</v>
      </c>
      <c r="T25" s="272"/>
      <c r="U25" s="277">
        <f>AVERAGEA(U13:U23)</f>
        <v>0.13876732838044778</v>
      </c>
      <c r="V25" s="258"/>
      <c r="W25" s="131"/>
      <c r="X25" s="150"/>
      <c r="Y25" s="278"/>
      <c r="Z25" s="279"/>
      <c r="AA25" s="280"/>
      <c r="AB25" s="281"/>
      <c r="AC25" s="119"/>
      <c r="AD25" s="282"/>
      <c r="AE25" s="283"/>
      <c r="AF25" s="284"/>
      <c r="AG25" s="270"/>
      <c r="AH25" s="327"/>
      <c r="AI25" s="270"/>
      <c r="AJ25" s="285"/>
      <c r="AK25" s="283"/>
      <c r="AL25" s="285"/>
      <c r="AM25" s="283"/>
      <c r="AN25" s="300"/>
      <c r="AO25" s="294"/>
      <c r="AP25" s="80"/>
      <c r="AQ25" s="80"/>
      <c r="AR25" s="80"/>
      <c r="AS25" s="80"/>
      <c r="AT25" s="80"/>
      <c r="AU25" s="80"/>
      <c r="AV25" s="84"/>
      <c r="AW25" s="84"/>
      <c r="AX25" s="226"/>
    </row>
    <row r="26" spans="1:52" s="85" customFormat="1" ht="22.8" x14ac:dyDescent="0.4">
      <c r="A26" s="78"/>
      <c r="B26" s="78"/>
      <c r="C26" s="128"/>
      <c r="D26" s="78"/>
      <c r="E26" s="1">
        <f>PV(E27/2,(58-((+VALUE($AG$6+7)-VALUE($AR$27))/(365/2))),-$AK$27*100/2,-100,0)</f>
        <v>107.38284890712004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1"/>
      <c r="Q26" s="166"/>
      <c r="R26" s="241"/>
      <c r="S26" s="166"/>
      <c r="T26" s="109"/>
      <c r="U26" s="78"/>
      <c r="V26" s="258"/>
      <c r="W26" s="258"/>
      <c r="X26" s="77"/>
      <c r="Y26" s="77"/>
      <c r="Z26" s="77"/>
      <c r="AA26" s="77"/>
      <c r="AB26" s="77"/>
      <c r="AC26" s="78"/>
      <c r="AD26" s="263"/>
      <c r="AE26" s="117"/>
      <c r="AF26" s="313"/>
      <c r="AG26" s="1">
        <v>103.89398548082323</v>
      </c>
      <c r="AH26" s="314"/>
      <c r="AI26" s="1">
        <v>108.90722075261689</v>
      </c>
      <c r="AJ26" s="314"/>
      <c r="AK26" s="1">
        <f>PV(AK27/2,60,-$AK$27*100/2,-100,0)</f>
        <v>100</v>
      </c>
      <c r="AL26" s="314">
        <f>+AM27*100</f>
        <v>5.0999999999999996</v>
      </c>
      <c r="AM26" s="1">
        <v>100</v>
      </c>
      <c r="AN26" s="1"/>
      <c r="AO26" s="1"/>
      <c r="AP26" s="310" t="s">
        <v>98</v>
      </c>
      <c r="AQ26" s="32"/>
      <c r="AR26" s="8"/>
      <c r="AS26" s="84"/>
      <c r="AT26" s="80"/>
      <c r="AU26" s="84"/>
      <c r="AV26" s="84"/>
      <c r="AW26" s="84"/>
      <c r="AX26" s="84"/>
      <c r="AY26" s="249"/>
      <c r="AZ26" s="226"/>
    </row>
    <row r="27" spans="1:52" s="85" customFormat="1" ht="23.25" customHeight="1" x14ac:dyDescent="0.4">
      <c r="A27" s="127" t="s">
        <v>94</v>
      </c>
      <c r="B27" s="78"/>
      <c r="C27" s="128"/>
      <c r="D27" s="78"/>
      <c r="E27" s="287">
        <f>([1]!'US30YT=RR,RT YIELD 1')/100</f>
        <v>5.9420000000000001E-2</v>
      </c>
      <c r="F27" s="78"/>
      <c r="G27" s="286"/>
      <c r="H27" s="109"/>
      <c r="J27" s="287"/>
      <c r="K27" s="240"/>
      <c r="L27" s="107"/>
      <c r="M27" s="180">
        <f>(E27*AA27)+((E27*(1-AA27))*(1-0.3))</f>
        <v>4.1593999999999999E-2</v>
      </c>
      <c r="N27" s="107"/>
      <c r="O27" s="166"/>
      <c r="P27" s="241"/>
      <c r="Q27" s="166">
        <f>(AF26+$E26-AG26)/AG26</f>
        <v>3.3580995186105141E-2</v>
      </c>
      <c r="R27" s="241"/>
      <c r="S27" s="166">
        <f>(AH26+$E26-AI26)/AI26</f>
        <v>-1.399697683002557E-2</v>
      </c>
      <c r="T27" s="109"/>
      <c r="U27" s="246">
        <f>(AJ26+E26-AK26)/AK26</f>
        <v>7.3828489071200348E-2</v>
      </c>
      <c r="V27" s="258"/>
      <c r="W27" s="258"/>
      <c r="X27" s="77"/>
      <c r="Y27" s="77"/>
      <c r="Z27" s="77"/>
      <c r="AA27" s="77"/>
      <c r="AB27" s="77"/>
      <c r="AC27" s="80"/>
      <c r="AD27" s="288"/>
      <c r="AE27" s="288"/>
      <c r="AF27" s="288"/>
      <c r="AG27" s="287">
        <v>6.0600000000000001E-2</v>
      </c>
      <c r="AH27" s="290"/>
      <c r="AI27" s="287">
        <v>5.8390000000000004E-2</v>
      </c>
      <c r="AJ27" s="290"/>
      <c r="AK27" s="287">
        <v>6.4820000000000003E-2</v>
      </c>
      <c r="AL27" s="289"/>
      <c r="AM27" s="289">
        <v>5.0999999999999997E-2</v>
      </c>
      <c r="AN27" s="288"/>
      <c r="AO27" s="288"/>
      <c r="AP27" s="317" t="s">
        <v>97</v>
      </c>
      <c r="AQ27" s="288"/>
      <c r="AR27" s="315">
        <v>36525</v>
      </c>
      <c r="AS27" s="84"/>
      <c r="AT27" s="80"/>
      <c r="AU27" s="84"/>
      <c r="AV27" s="84"/>
      <c r="AW27" s="84"/>
      <c r="AX27" s="84"/>
      <c r="AY27" s="84"/>
      <c r="AZ27" s="226"/>
    </row>
    <row r="28" spans="1:52" ht="20.100000000000001" customHeight="1" x14ac:dyDescent="0.4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1" t="s">
        <v>95</v>
      </c>
      <c r="S28" s="311" t="s">
        <v>95</v>
      </c>
      <c r="U28" s="311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K28" s="314"/>
      <c r="AL28" s="314"/>
      <c r="AM28" s="314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3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3">
      <c r="A30" s="49"/>
      <c r="B30" s="6"/>
      <c r="C30" s="10"/>
      <c r="D30" s="6"/>
      <c r="E30" s="319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6" t="s">
        <v>99</v>
      </c>
      <c r="AI30" s="316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4" x14ac:dyDescent="0.4">
      <c r="A31" s="303" t="s">
        <v>90</v>
      </c>
      <c r="B31" s="51"/>
      <c r="C31" s="52"/>
      <c r="D31" s="51"/>
      <c r="E31" s="238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4">
      <c r="A32" s="303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4" x14ac:dyDescent="0.4">
      <c r="A33" s="303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4">
      <c r="A34" s="303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5">
      <c r="A35" s="85" t="s">
        <v>113</v>
      </c>
      <c r="B35" s="304"/>
      <c r="C35" s="304"/>
      <c r="D35" s="30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3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3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7">
      <c r="A38" s="70"/>
      <c r="B38" s="71"/>
      <c r="C38" s="72"/>
      <c r="D38" s="71"/>
      <c r="E38" s="333" t="s">
        <v>35</v>
      </c>
      <c r="F38" s="333"/>
      <c r="G38" s="333"/>
      <c r="H38" s="333"/>
      <c r="I38" s="333"/>
      <c r="J38" s="333"/>
      <c r="K38" s="333"/>
      <c r="L38" s="73"/>
      <c r="M38" s="73"/>
      <c r="N38" s="73"/>
      <c r="O38" s="74"/>
      <c r="P38" s="75"/>
      <c r="Q38" s="333" t="s">
        <v>37</v>
      </c>
      <c r="R38" s="333"/>
      <c r="S38" s="333"/>
      <c r="T38" s="333"/>
      <c r="U38" s="333"/>
      <c r="V38" s="333"/>
      <c r="W38" s="334"/>
      <c r="X38" s="76"/>
      <c r="Y38" s="292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4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108</v>
      </c>
      <c r="J39" s="88"/>
      <c r="K39" s="88" t="s">
        <v>54</v>
      </c>
      <c r="L39" s="78"/>
      <c r="M39" s="90"/>
      <c r="N39" s="89"/>
      <c r="O39" s="91"/>
      <c r="P39" s="89"/>
      <c r="Q39" s="291" t="s">
        <v>53</v>
      </c>
      <c r="R39" s="89"/>
      <c r="S39" s="88" t="s">
        <v>83</v>
      </c>
      <c r="T39" s="89"/>
      <c r="U39" s="88" t="s">
        <v>108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4">
      <c r="A40" s="95" t="s">
        <v>55</v>
      </c>
      <c r="B40" s="87"/>
      <c r="C40" s="87"/>
      <c r="D40" s="87"/>
      <c r="E40" s="96" t="s">
        <v>56</v>
      </c>
      <c r="F40" s="87"/>
      <c r="G40" s="97">
        <v>2.63</v>
      </c>
      <c r="H40" s="87"/>
      <c r="I40" s="97">
        <v>2.8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110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4">
      <c r="A41" s="95" t="s">
        <v>89</v>
      </c>
      <c r="B41" s="87"/>
      <c r="C41" s="87"/>
      <c r="D41" s="87"/>
      <c r="E41" s="96" t="s">
        <v>56</v>
      </c>
      <c r="F41" s="87"/>
      <c r="G41" s="97">
        <v>2.54</v>
      </c>
      <c r="H41" s="87"/>
      <c r="I41" s="97">
        <v>2.92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4">
      <c r="A42" s="95" t="s">
        <v>58</v>
      </c>
      <c r="B42" s="87"/>
      <c r="C42" s="87"/>
      <c r="D42" s="87"/>
      <c r="E42" s="96" t="s">
        <v>56</v>
      </c>
      <c r="F42" s="87"/>
      <c r="G42" s="97">
        <v>2.54</v>
      </c>
      <c r="H42" s="87"/>
      <c r="I42" s="97">
        <v>2.57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4">
      <c r="A43" s="95" t="s">
        <v>59</v>
      </c>
      <c r="B43" s="87"/>
      <c r="C43" s="87"/>
      <c r="D43" s="87"/>
      <c r="E43" s="96" t="s">
        <v>56</v>
      </c>
      <c r="F43" s="87"/>
      <c r="G43" s="97">
        <v>2.6</v>
      </c>
      <c r="H43" s="87"/>
      <c r="I43" s="97">
        <v>2.65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4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4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5"/>
      <c r="T45" s="306"/>
      <c r="U45" s="305"/>
      <c r="V45" s="307"/>
      <c r="W45" s="308"/>
      <c r="X45" s="103"/>
      <c r="Y45" s="77" t="s">
        <v>115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4">
      <c r="A46" s="95" t="s">
        <v>68</v>
      </c>
      <c r="B46" s="87"/>
      <c r="C46" s="87"/>
      <c r="D46" s="87"/>
      <c r="E46" s="96" t="s">
        <v>69</v>
      </c>
      <c r="F46" s="87"/>
      <c r="G46" s="97">
        <v>2.54</v>
      </c>
      <c r="H46" s="87"/>
      <c r="I46" s="97">
        <v>2.68</v>
      </c>
      <c r="J46" s="87"/>
      <c r="K46" s="97">
        <v>38</v>
      </c>
      <c r="L46" s="78"/>
      <c r="M46" s="90"/>
      <c r="N46" s="87"/>
      <c r="O46" s="97"/>
      <c r="P46" s="87"/>
      <c r="Q46" s="98" t="s">
        <v>56</v>
      </c>
      <c r="R46" s="99"/>
      <c r="S46" s="305">
        <v>0.55000000000000004</v>
      </c>
      <c r="T46" s="306"/>
      <c r="U46" s="97">
        <v>0.64</v>
      </c>
      <c r="V46" s="307"/>
      <c r="W46" s="308"/>
      <c r="X46" s="103"/>
      <c r="Y46" s="77" t="s">
        <v>109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4">
      <c r="A47" s="95" t="s">
        <v>67</v>
      </c>
      <c r="B47" s="87"/>
      <c r="C47" s="87"/>
      <c r="D47" s="87"/>
      <c r="E47" s="96" t="s">
        <v>62</v>
      </c>
      <c r="F47" s="87"/>
      <c r="G47" s="97">
        <v>2.5</v>
      </c>
      <c r="H47" s="87"/>
      <c r="I47" s="97">
        <v>2.4500000000000002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0.55000000000000004</v>
      </c>
      <c r="T47" s="87"/>
      <c r="U47" s="97">
        <v>0.6</v>
      </c>
      <c r="V47" s="92"/>
      <c r="W47" s="104"/>
      <c r="X47" s="97"/>
      <c r="Y47" s="77" t="s">
        <v>114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4">
      <c r="A48" s="95" t="s">
        <v>61</v>
      </c>
      <c r="B48" s="87"/>
      <c r="C48" s="87"/>
      <c r="D48" s="87"/>
      <c r="E48" s="96" t="s">
        <v>62</v>
      </c>
      <c r="F48" s="87"/>
      <c r="G48" s="98">
        <v>2.52</v>
      </c>
      <c r="H48" s="87"/>
      <c r="I48" s="97">
        <v>2.62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4">
      <c r="A49" s="105" t="s">
        <v>103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0.65</v>
      </c>
      <c r="T49" s="87"/>
      <c r="U49" s="97">
        <v>0.75</v>
      </c>
      <c r="V49" s="92"/>
      <c r="W49" s="104">
        <v>21.13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4">
      <c r="A50" s="105" t="s">
        <v>63</v>
      </c>
      <c r="B50" s="87"/>
      <c r="C50" s="87"/>
      <c r="D50" s="87"/>
      <c r="E50" s="96" t="s">
        <v>69</v>
      </c>
      <c r="F50" s="87"/>
      <c r="G50" s="97">
        <v>2.5499999999999998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0.6</v>
      </c>
      <c r="T50" s="87"/>
      <c r="U50" s="97">
        <v>0.65</v>
      </c>
      <c r="V50" s="92"/>
      <c r="W50" s="104">
        <v>18.5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4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5">
      <c r="A52" s="105" t="s">
        <v>16</v>
      </c>
      <c r="B52" s="84"/>
      <c r="C52" s="107"/>
      <c r="D52" s="84"/>
      <c r="E52" s="84"/>
      <c r="F52" s="84"/>
      <c r="G52" s="108">
        <f>AVERAGEA(G40:G50)</f>
        <v>2.5420000000000003</v>
      </c>
      <c r="H52" s="109"/>
      <c r="I52" s="108">
        <f>AVERAGEA(I40:I50)</f>
        <v>2.649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0.57000000000000006</v>
      </c>
      <c r="T52" s="111"/>
      <c r="U52" s="108">
        <f>AVERAGEA(U40:U50)</f>
        <v>0.64799999999999991</v>
      </c>
      <c r="V52" s="84"/>
      <c r="W52" s="112">
        <f>AVERAGEA(W40:W50)</f>
        <v>19.876666666666665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3.4" thickTop="1" x14ac:dyDescent="0.4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2.8" x14ac:dyDescent="0.4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2.8" x14ac:dyDescent="0.4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2.8" x14ac:dyDescent="0.4">
      <c r="A56" s="309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2.8" x14ac:dyDescent="0.4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8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2.8" x14ac:dyDescent="0.4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8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2.8" x14ac:dyDescent="0.4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8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2.8" x14ac:dyDescent="0.4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8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2.8" x14ac:dyDescent="0.4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8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2.8" x14ac:dyDescent="0.4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8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2.8" x14ac:dyDescent="0.4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8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2.8" x14ac:dyDescent="0.4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8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2.8" x14ac:dyDescent="0.4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8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2.8" x14ac:dyDescent="0.4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8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2.8" x14ac:dyDescent="0.4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8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2.8" x14ac:dyDescent="0.4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8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3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3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3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3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3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3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3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3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3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3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3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3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3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3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3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3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3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2000-06-01T21:46:05Z</cp:lastPrinted>
  <dcterms:created xsi:type="dcterms:W3CDTF">1997-07-25T21:20:20Z</dcterms:created>
  <dcterms:modified xsi:type="dcterms:W3CDTF">2023-09-10T11:12:26Z</dcterms:modified>
</cp:coreProperties>
</file>