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<sst xmlns="http://schemas.openxmlformats.org/spreadsheetml/2006/main" count="2087" uniqueCount="828">
  <si>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</si>
  <si>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</si>
  <si>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</si>
  <si>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</si>
  <si>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</si>
  <si>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</si>
  <si>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</si>
  <si>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</si>
  <si>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</si>
  <si>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</si>
  <si>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</si>
  <si>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</si>
  <si>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</si>
  <si>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</si>
  <si>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</si>
  <si>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</si>
  <si>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</si>
  <si>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</si>
  <si>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</si>
  <si>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</si>
  <si>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</si>
  <si>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</si>
  <si>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</si>
  <si>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</si>
  <si>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</si>
  <si>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</si>
  <si>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</si>
  <si>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</si>
  <si>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</si>
  <si>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</si>
  <si>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</si>
  <si>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</si>
  <si>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</si>
  <si>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</si>
  <si>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</si>
  <si>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</si>
  <si>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</si>
  <si>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</si>
  <si>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</si>
  <si>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</si>
  <si>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</si>
  <si>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</si>
  <si>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</si>
  <si>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</si>
  <si>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</si>
  <si>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</si>
  <si>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</si>
  <si>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</si>
  <si>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</si>
  <si>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</si>
  <si>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</si>
  <si>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</si>
  <si>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</si>
  <si>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</si>
  <si>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</si>
  <si>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</si>
  <si>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</si>
  <si>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</si>
  <si>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</si>
  <si>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</si>
  <si>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</si>
  <si>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</si>
  <si>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</si>
  <si>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</si>
  <si>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</si>
  <si>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</si>
  <si>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</si>
  <si>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</si>
  <si>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</si>
  <si>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</si>
  <si>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</si>
  <si>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</si>
  <si>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</si>
  <si>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</si>
  <si>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</si>
  <si>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</si>
  <si>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</si>
  <si>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</si>
  <si>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</si>
  <si>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</si>
  <si>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</si>
  <si>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</si>
  <si>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</si>
  <si>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</si>
  <si>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</si>
  <si>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</si>
  <si>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</si>
  <si>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</si>
  <si>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</si>
  <si>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</si>
  <si>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</si>
  <si>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</si>
  <si>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</si>
  <si>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</si>
  <si>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</si>
  <si>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</si>
  <si>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</si>
  <si>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</si>
  <si>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</si>
  <si>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</si>
  <si>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</si>
  <si>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</si>
  <si>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</si>
  <si>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</si>
  <si>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</si>
  <si>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</si>
  <si>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</si>
  <si>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</si>
  <si>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</si>
  <si>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</si>
  <si>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</si>
  <si>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</si>
  <si>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</si>
  <si>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</si>
  <si>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</si>
  <si>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</si>
  <si>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</si>
  <si>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</si>
  <si>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</si>
  <si>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</si>
  <si>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</si>
  <si>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</si>
  <si>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</si>
  <si>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</si>
  <si>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</si>
  <si>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</si>
  <si>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</si>
  <si>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</si>
  <si>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</si>
  <si>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</si>
  <si>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</si>
  <si>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</si>
  <si>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</si>
  <si>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</si>
  <si>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</si>
  <si>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</si>
  <si>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</si>
  <si>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</si>
  <si>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</si>
  <si>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</si>
  <si>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</si>
  <si>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</si>
  <si>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</si>
  <si>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</si>
  <si>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</si>
  <si>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</si>
  <si>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</si>
  <si>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</si>
  <si>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</si>
  <si>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</si>
  <si>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</si>
  <si>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</si>
  <si>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</si>
  <si>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</si>
  <si>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</si>
  <si>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</si>
  <si>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</si>
  <si>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</si>
  <si>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</si>
  <si>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</si>
  <si>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</si>
  <si>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</si>
  <si>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</si>
  <si>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</si>
  <si>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</si>
  <si>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</si>
  <si>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</si>
  <si>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</si>
  <si>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</si>
  <si>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</si>
  <si>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</si>
  <si>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</si>
  <si>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</si>
  <si>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</si>
  <si>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</si>
  <si>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</si>
  <si>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</si>
  <si>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</si>
  <si>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</si>
  <si>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</si>
  <si>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</si>
  <si>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</si>
  <si>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</si>
  <si>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</si>
  <si>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</si>
  <si>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</si>
  <si>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</si>
  <si>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</si>
  <si>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</si>
  <si>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</si>
  <si>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</si>
  <si>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</si>
  <si>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</si>
  <si>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</si>
  <si>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</si>
  <si>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</si>
  <si>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</si>
  <si>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</si>
  <si>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</si>
  <si>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</si>
  <si>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</si>
  <si>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</si>
  <si>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</si>
  <si>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</si>
  <si>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</si>
  <si>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</si>
  <si>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</si>
  <si>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</si>
  <si>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</si>
  <si>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</si>
  <si>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</si>
  <si>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</si>
  <si>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</si>
  <si>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</si>
  <si>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</si>
  <si>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</si>
  <si>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</si>
  <si>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</si>
  <si>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</si>
  <si>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</si>
  <si>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</si>
  <si>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</si>
  <si>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</si>
  <si>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</si>
  <si>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</si>
  <si>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</si>
  <si>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</si>
  <si>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</si>
  <si>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</si>
  <si>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</si>
  <si>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</si>
  <si>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</si>
  <si>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</si>
  <si>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</si>
  <si>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</si>
  <si>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</si>
  <si>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</si>
  <si>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</si>
  <si>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</si>
  <si>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</si>
  <si>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</si>
  <si>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</si>
  <si>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</si>
  <si>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</si>
  <si>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</si>
  <si>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</si>
  <si>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</si>
  <si>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</si>
  <si>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</si>
  <si>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</si>
  <si>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</si>
  <si>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</si>
  <si>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</si>
  <si>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</si>
  <si>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</si>
  <si>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</si>
  <si>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</si>
  <si>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</si>
  <si>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</si>
  <si>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</si>
  <si>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</si>
  <si>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</si>
  <si>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</si>
  <si>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</si>
  <si>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</si>
  <si>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</si>
  <si>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</si>
  <si>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</si>
  <si>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</si>
  <si>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</si>
  <si>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</si>
  <si>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</si>
  <si>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</si>
  <si>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</si>
  <si>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</si>
  <si>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</si>
  <si>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</si>
  <si>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</si>
  <si>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</si>
  <si>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</si>
  <si>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</si>
  <si>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</si>
  <si>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</si>
  <si>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</si>
  <si>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</si>
  <si>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</si>
  <si>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</si>
  <si>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</si>
  <si>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</si>
  <si>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</si>
  <si>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</si>
  <si>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</si>
  <si>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</si>
  <si>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</si>
  <si>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</si>
  <si>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</si>
  <si>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</si>
  <si>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</si>
  <si>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</si>
  <si>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</si>
  <si>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</si>
  <si>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</si>
  <si>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</si>
  <si>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</si>
  <si>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</si>
  <si>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</si>
  <si>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</si>
  <si>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</si>
  <si>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</si>
  <si>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</si>
  <si>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</si>
  <si>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</si>
  <si>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</si>
  <si>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</si>
  <si>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</si>
  <si>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</si>
  <si>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</si>
  <si>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</si>
  <si>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</si>
  <si>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</si>
  <si>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</si>
  <si>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</si>
  <si>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</si>
  <si>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</si>
  <si>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</si>
  <si>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</si>
  <si>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</si>
  <si>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</si>
  <si>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</si>
  <si>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</si>
  <si>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</si>
  <si>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</si>
  <si>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</si>
  <si>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</si>
  <si>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</si>
  <si>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</si>
  <si>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</si>
  <si>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</si>
  <si>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</si>
  <si>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</si>
  <si>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</si>
  <si>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</si>
  <si>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</si>
  <si>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</si>
  <si>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</si>
  <si>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</si>
  <si>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</si>
  <si>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</si>
  <si>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</si>
  <si>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</si>
  <si>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</si>
  <si>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</si>
  <si>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</si>
  <si>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</si>
  <si>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</si>
  <si>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</si>
  <si>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</si>
  <si>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</si>
  <si>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</si>
  <si>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</si>
  <si>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</si>
  <si>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</si>
  <si>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</si>
  <si>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</si>
  <si>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</si>
  <si>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</si>
  <si>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</si>
  <si>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</si>
  <si>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</si>
  <si>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</si>
  <si>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</si>
  <si>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</si>
  <si>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</si>
  <si>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</si>
  <si>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</si>
  <si>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</si>
  <si>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</si>
  <si>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</si>
  <si>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</si>
  <si>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</si>
  <si>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</si>
  <si>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</si>
  <si>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</si>
  <si>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</si>
  <si>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</si>
  <si>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</si>
  <si>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</si>
  <si>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</si>
  <si>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</si>
  <si>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</si>
  <si>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</si>
  <si>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</si>
  <si>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</si>
  <si>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</si>
  <si>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</si>
  <si>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</si>
  <si>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</si>
  <si>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</si>
  <si>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</si>
  <si>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</si>
  <si>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</si>
  <si>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</si>
  <si>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</si>
  <si>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</si>
  <si>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</si>
  <si>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</si>
  <si>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</si>
  <si>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</si>
  <si>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</si>
  <si>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</si>
  <si>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</si>
  <si>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</si>
  <si>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</si>
  <si>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</si>
  <si>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</si>
  <si>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</si>
  <si>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</si>
  <si>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</si>
  <si>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</si>
  <si>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</si>
  <si>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</si>
  <si>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</si>
  <si>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</si>
  <si>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</si>
  <si>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</si>
  <si>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</si>
  <si>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</si>
  <si>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</si>
  <si>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</si>
  <si>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</si>
  <si>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</si>
  <si>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</si>
  <si>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</si>
  <si>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</si>
  <si>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</si>
  <si>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</si>
  <si>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</si>
  <si>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</si>
  <si>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</si>
  <si>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</si>
  <si>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</si>
  <si>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</si>
  <si>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</si>
  <si>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</si>
  <si>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</si>
  <si>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</si>
  <si>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</si>
  <si>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</si>
  <si>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</si>
  <si>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</si>
  <si>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</si>
  <si>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</si>
  <si>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</si>
  <si>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</si>
  <si>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</si>
  <si>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</si>
  <si>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</si>
  <si>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</si>
  <si>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</si>
  <si>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</si>
  <si>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</si>
  <si>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</si>
  <si>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</si>
  <si>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</si>
  <si>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</si>
  <si>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</si>
  <si>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</si>
  <si>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</si>
  <si>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</si>
  <si>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</si>
  <si>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</si>
  <si>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</si>
  <si>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</si>
  <si>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</si>
  <si>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</si>
  <si>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</si>
  <si>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</si>
  <si>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</si>
  <si>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</si>
  <si>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</si>
  <si>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</si>
  <si>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</si>
  <si>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</si>
  <si>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</si>
  <si>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</si>
  <si>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</si>
  <si>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</si>
  <si>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</si>
  <si>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</si>
  <si>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</si>
  <si>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</si>
  <si>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</si>
  <si>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</si>
  <si>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</si>
  <si>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</si>
  <si>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</si>
  <si>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</si>
  <si>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</si>
  <si>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</si>
  <si>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</si>
  <si>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</si>
  <si>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</si>
  <si>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</si>
  <si>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</si>
  <si>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</si>
  <si>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</si>
  <si>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</si>
  <si>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</si>
  <si>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</si>
  <si>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</si>
  <si>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</si>
  <si>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</si>
  <si>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</si>
  <si>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</si>
  <si>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</si>
  <si>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</si>
  <si>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</si>
  <si>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</si>
  <si>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</si>
  <si>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</si>
  <si>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</si>
  <si>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</si>
  <si>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</si>
  <si>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</si>
  <si>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</si>
  <si>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</si>
  <si>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</si>
  <si>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</si>
  <si>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</si>
  <si>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</si>
  <si>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</si>
  <si>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</si>
  <si>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</si>
  <si>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</si>
  <si>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</si>
  <si>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</si>
  <si>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</si>
  <si>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</si>
  <si>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</si>
  <si>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</si>
  <si>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</si>
  <si>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</si>
  <si>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</si>
  <si>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</si>
  <si>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</si>
  <si>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</si>
  <si>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</si>
  <si>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</si>
  <si>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</si>
  <si>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</si>
  <si>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</si>
  <si>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</si>
  <si>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</si>
  <si>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</si>
  <si>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</si>
  <si>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</si>
  <si>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</si>
  <si>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</si>
  <si>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</si>
  <si>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</si>
  <si>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</si>
  <si>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</si>
  <si>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</si>
  <si>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</si>
  <si>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</si>
  <si>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</si>
  <si>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</si>
  <si>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</si>
  <si>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</si>
  <si>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</si>
  <si>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</si>
  <si>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</si>
  <si>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</si>
  <si>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</si>
  <si>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</si>
  <si>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</si>
  <si>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</si>
  <si>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</si>
  <si>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</si>
  <si>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</si>
  <si>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</si>
  <si>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</si>
  <si>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</si>
  <si>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</si>
  <si>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</si>
  <si>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</si>
  <si>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</si>
  <si>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</si>
  <si>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</si>
  <si>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</si>
  <si>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</si>
  <si>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</si>
  <si>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</si>
  <si>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</si>
  <si>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</si>
  <si>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</si>
  <si>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</si>
  <si>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</si>
  <si>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</si>
  <si>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</si>
  <si>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</si>
  <si>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</si>
  <si>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</si>
  <si>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</si>
  <si>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</si>
  <si>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</si>
  <si>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</si>
  <si>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</si>
  <si>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</si>
  <si>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</si>
  <si>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</si>
  <si>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</si>
  <si>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</si>
  <si>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</si>
  <si>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</si>
  <si>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</si>
  <si>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</si>
  <si>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</si>
  <si>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</si>
  <si>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</si>
  <si>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</si>
  <si>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</si>
  <si>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</si>
  <si>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</si>
  <si>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</si>
  <si>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</si>
  <si>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</si>
  <si>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</si>
  <si>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</si>
  <si>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</si>
  <si>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</si>
  <si>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</si>
  <si>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</si>
  <si>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</si>
  <si>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</si>
  <si>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</si>
  <si>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</si>
  <si>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</si>
  <si>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</si>
  <si>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</si>
  <si>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</si>
  <si>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</si>
  <si>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</si>
  <si>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</si>
  <si>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</si>
  <si>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</si>
  <si>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</si>
  <si>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</si>
  <si>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</si>
  <si>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</si>
  <si>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</si>
  <si>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</si>
  <si>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</si>
  <si>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</si>
  <si>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</si>
  <si>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</si>
  <si>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</si>
  <si>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</si>
  <si>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</si>
  <si>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</si>
  <si>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</si>
  <si>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</si>
  <si>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</si>
  <si>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</si>
  <si>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</si>
  <si>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</si>
  <si>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</si>
  <si>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</si>
  <si>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</si>
  <si>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</si>
  <si>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</si>
  <si>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</si>
  <si>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</si>
  <si>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</si>
  <si>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</si>
  <si>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</si>
  <si>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</si>
  <si>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</si>
  <si>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</si>
  <si>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</si>
  <si>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</si>
  <si>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</si>
  <si>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</si>
  <si>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</si>
  <si>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</si>
  <si>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</si>
  <si>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</si>
  <si>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</si>
  <si>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</si>
  <si>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</si>
  <si>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</si>
  <si>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</si>
  <si>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</si>
  <si>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</si>
  <si>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</si>
  <si>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</si>
  <si>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</si>
  <si>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</si>
  <si>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</si>
  <si>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</si>
  <si>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</si>
  <si>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</si>
  <si>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</si>
  <si>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</si>
  <si>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</si>
  <si>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</si>
  <si>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</si>
  <si>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</si>
  <si>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</si>
  <si>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</si>
  <si>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</si>
  <si>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</si>
  <si>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</si>
  <si>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</si>
  <si>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</si>
  <si>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</si>
  <si>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</si>
  <si>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</si>
  <si>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</si>
  <si>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</si>
  <si>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</si>
  <si>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</si>
  <si>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</si>
  <si>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</si>
  <si>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</si>
  <si>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</si>
  <si>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</si>
  <si>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</si>
  <si>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</si>
  <si>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</si>
  <si>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</si>
  <si>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</si>
  <si>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</si>
  <si>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</si>
  <si>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</si>
  <si>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</si>
  <si>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</si>
  <si>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</si>
  <si>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</si>
  <si>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</si>
  <si>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</si>
  <si>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</si>
  <si>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</si>
  <si>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</si>
  <si>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</si>
  <si>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</si>
  <si>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</si>
  <si>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</si>
  <si>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</si>
  <si>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</si>
  <si>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</si>
  <si>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</si>
  <si>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</si>
  <si>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</si>
  <si>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</si>
  <si>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</si>
  <si>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</si>
  <si>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</si>
  <si>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</si>
  <si>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</si>
  <si>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</si>
  <si>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</si>
  <si>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</si>
  <si>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</si>
  <si>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</si>
  <si>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</si>
  <si>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</si>
  <si>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</si>
  <si>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</si>
  <si>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</si>
  <si>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</si>
  <si>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</si>
  <si>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</si>
  <si>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</si>
  <si>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</si>
  <si>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</si>
  <si>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</si>
  <si>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</si>
  <si>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</si>
  <si>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</si>
  <si>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</si>
  <si>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</si>
  <si>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</si>
  <si>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</si>
  <si>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</si>
  <si>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</si>
  <si>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</si>
  <si>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</si>
  <si>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</si>
  <si>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</si>
  <si>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</si>
  <si>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</si>
  <si>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</si>
  <si>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</si>
  <si>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</si>
  <si>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</si>
  <si>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</si>
  <si>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</si>
  <si>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</si>
  <si>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</si>
  <si>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</si>
  <si>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</si>
  <si>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</si>
  <si>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</si>
  <si>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</si>
  <si>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</si>
  <si>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</si>
  <si>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</si>
  <si>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</si>
  <si>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</si>
  <si>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</si>
  <si>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</si>
  <si>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</si>
  <si>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</si>
  <si>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</si>
  <si>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</si>
  <si>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</si>
  <si>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</si>
  <si>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</si>
  <si>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</si>
  <si>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</si>
  <si>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>`</t>
  </si>
  <si>
    <t xml:space="preserve">  TODAY - MOSTLY CLOUDY; VERY WINDY AND COOL.</t>
  </si>
  <si>
    <t xml:space="preserve">  TONIGHT - COOL AND BREEZY WITH PATCHY CLOUDS.</t>
  </si>
  <si>
    <t xml:space="preserve">  PARTLY SUNNY AND BREEZY</t>
  </si>
  <si>
    <t xml:space="preserve">  SUNSHINE AND PATCHY CLOUDS</t>
  </si>
  <si>
    <t xml:space="preserve">  BRIGHT AND SUNNY</t>
  </si>
  <si>
    <t xml:space="preserve">  SEVERAL HOURS OF SUNSHINE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</si>
</sst>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94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94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94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94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94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94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MON</v>
      </c>
      <c r="I1" s="844">
        <f>D4</f>
        <v>37158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37158</v>
      </c>
      <c r="E4" s="812">
        <f>Weather_Input!A6</f>
        <v>37159</v>
      </c>
      <c r="F4" s="812">
        <f>Weather_Input!A7</f>
        <v>37160</v>
      </c>
      <c r="G4" s="812">
        <f>Weather_Input!A8</f>
        <v>37161</v>
      </c>
      <c r="H4" s="812">
        <f>Weather_Input!A9</f>
        <v>37162</v>
      </c>
      <c r="I4" s="813">
        <f>Weather_Input!A10</f>
        <v>37163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54/42/48</v>
      </c>
      <c r="E5" s="845" t="str">
        <f>TEXT(Weather_Input!B6,"0")&amp;"/"&amp;TEXT(Weather_Input!C6,"0") &amp; "/" &amp; TEXT((Weather_Input!B6+Weather_Input!C6)/2,"0")</f>
        <v>58/42/50</v>
      </c>
      <c r="F5" s="845" t="str">
        <f>TEXT(Weather_Input!B7,"0")&amp;"/"&amp;TEXT(Weather_Input!C7,"0") &amp; "/" &amp; TEXT((Weather_Input!B7+Weather_Input!C7)/2,"0")</f>
        <v>62/43/53</v>
      </c>
      <c r="G5" s="845" t="str">
        <f>TEXT(Weather_Input!B8,"0")&amp;"/"&amp;TEXT(Weather_Input!C8,"0") &amp; "/" &amp; TEXT((Weather_Input!B8+Weather_Input!C8)/2,"0")</f>
        <v>63/45/54</v>
      </c>
      <c r="H5" s="845" t="str">
        <f>TEXT(Weather_Input!B9,"0")&amp;"/"&amp;TEXT(Weather_Input!C9,"0") &amp; "/" &amp; TEXT((Weather_Input!B9+Weather_Input!C9)/2,"0")</f>
        <v>66/46/56</v>
      </c>
      <c r="I5" s="846" t="str">
        <f>TEXT(Weather_Input!B10,"0")&amp;"/"&amp;TEXT(Weather_Input!C10,"0") &amp; "/" &amp; TEXT((Weather_Input!B10+Weather_Input!C10)/2,"0")</f>
        <v>66/46/56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56</v>
      </c>
      <c r="E6" s="815">
        <f ca="1">VLOOKUP(E4,NSG_Sendouts,CELL("Col",NSG_Deliveries!C6),FALSE)/1000</f>
        <v>60</v>
      </c>
      <c r="F6" s="815">
        <f ca="1">VLOOKUP(F4,NSG_Sendouts,CELL("Col",NSG_Deliveries!C7),FALSE)/1000</f>
        <v>56</v>
      </c>
      <c r="G6" s="815">
        <f ca="1">VLOOKUP(G4,NSG_Sendouts,CELL("Col",NSG_Deliveries!C8),FALSE)/1000</f>
        <v>53</v>
      </c>
      <c r="H6" s="815">
        <f ca="1">VLOOKUP(H4,NSG_Sendouts,CELL("Col",NSG_Deliveries!C9),FALSE)/1000</f>
        <v>49</v>
      </c>
      <c r="I6" s="820">
        <f ca="1">VLOOKUP(I4,NSG_Sendouts,CELL("Col",NSG_Deliveries!C10),FALSE)/1000</f>
        <v>46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0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56</v>
      </c>
      <c r="E11" s="824">
        <f t="shared" ca="1" si="1"/>
        <v>60</v>
      </c>
      <c r="F11" s="824">
        <f t="shared" ca="1" si="1"/>
        <v>56</v>
      </c>
      <c r="G11" s="824">
        <f t="shared" ca="1" si="1"/>
        <v>53</v>
      </c>
      <c r="H11" s="824">
        <f t="shared" ca="1" si="1"/>
        <v>49</v>
      </c>
      <c r="I11" s="825">
        <f t="shared" ca="1" si="1"/>
        <v>46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8.5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0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27.504000000000001</v>
      </c>
      <c r="F19" s="815">
        <f>NSG_Supplies!Q9/1000</f>
        <v>27.504000000000001</v>
      </c>
      <c r="G19" s="815">
        <f>NSG_Supplies!Q10/1000</f>
        <v>27.504000000000001</v>
      </c>
      <c r="H19" s="815">
        <f>NSG_Supplies!Q11/1000</f>
        <v>27.504000000000001</v>
      </c>
      <c r="I19" s="816">
        <f>NSG_Supplies!Q12/1000</f>
        <v>27.504000000000001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56.004000000000005</v>
      </c>
      <c r="E21" s="1200">
        <f t="shared" si="2"/>
        <v>47.504000000000005</v>
      </c>
      <c r="F21" s="1200">
        <f t="shared" si="2"/>
        <v>47.504000000000005</v>
      </c>
      <c r="G21" s="1200">
        <f t="shared" si="2"/>
        <v>47.504000000000005</v>
      </c>
      <c r="H21" s="1200">
        <f t="shared" si="2"/>
        <v>47.504000000000005</v>
      </c>
      <c r="I21" s="1201">
        <f t="shared" si="2"/>
        <v>47.504000000000005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1.5040000000000049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12.495999999999995</v>
      </c>
      <c r="F23" s="840">
        <f t="shared" ca="1" si="4"/>
        <v>8.4959999999999951</v>
      </c>
      <c r="G23" s="840">
        <f t="shared" ca="1" si="4"/>
        <v>5.4959999999999951</v>
      </c>
      <c r="H23" s="840">
        <f t="shared" ca="1" si="4"/>
        <v>1.4959999999999951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17.646999999999998</v>
      </c>
      <c r="E24" s="1058">
        <f>NSG_Supplies!R8/1000</f>
        <v>17.646999999999998</v>
      </c>
      <c r="F24" s="1058">
        <f>NSG_Supplies!R9/1000</f>
        <v>17.646999999999998</v>
      </c>
      <c r="G24" s="1058">
        <f>NSG_Supplies!R10/1000</f>
        <v>17.646999999999998</v>
      </c>
      <c r="H24" s="1058">
        <f>NSG_Supplies!R11/1000</f>
        <v>17.646999999999998</v>
      </c>
      <c r="I24" s="1059">
        <f>NSG_Supplies!R12/1000</f>
        <v>17.646999999999998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16</v>
      </c>
      <c r="E26" s="863">
        <f>Weather_Input!D6</f>
        <v>12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>
      <selection sqref="A1:O40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37158</v>
      </c>
      <c r="N1" s="1175" t="str">
        <f>CHOOSE(WEEKDAY(M1),"SUN","MON","TUE","WED","THU","FRI","SAT")</f>
        <v>MON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54</v>
      </c>
      <c r="K3" s="918">
        <f>Weather_Input!C5</f>
        <v>42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47.6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88.192999999999998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285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88.192999999999998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88.192999999999998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25.425000000000001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25.425000000000001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-109.62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201.429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36.07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1.65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-109.62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261.49700000000001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23.502999999999986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1.65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25.152999999999984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30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-55.155000000000001</v>
      </c>
      <c r="L30" s="1119"/>
      <c r="M30" s="1023">
        <f>-PGL_Supplies!AB7/1000</f>
        <v>-55.155000000000001</v>
      </c>
      <c r="N30" s="1120"/>
      <c r="O30" s="1179">
        <f>-PGL_Supplies!AB7/1000</f>
        <v>-55.155000000000001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196.429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201.429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201.429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201.429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>
      <selection sqref="A1:I54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MON</v>
      </c>
      <c r="G1" s="1181">
        <f>Weather_Input!A5</f>
        <v>37158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47.6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54</v>
      </c>
      <c r="C4" s="737">
        <f>Weather_Input!C5</f>
        <v>42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56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27.5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28.5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27.5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0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0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8.5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28.5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37158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54</v>
      </c>
      <c r="C5" s="257">
        <f>Weather_Input!C5</f>
        <v>42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285</v>
      </c>
      <c r="C8" s="265">
        <f>NSG_Deliveries!C5/1000</f>
        <v>56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152.06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-21.807000000000002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36.07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56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1.65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56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-55.155000000000001</v>
      </c>
      <c r="C32" s="306">
        <f>-NSG_Supplies!Q7/1000</f>
        <v>-27.504000000000001</v>
      </c>
      <c r="D32" s="306">
        <f>B32</f>
        <v>-55.155000000000001</v>
      </c>
      <c r="E32" s="306">
        <f>C32</f>
        <v>-27.504000000000001</v>
      </c>
      <c r="F32" s="306">
        <f>B32</f>
        <v>-55.155000000000001</v>
      </c>
      <c r="G32" s="306">
        <f>C32</f>
        <v>-27.504000000000001</v>
      </c>
      <c r="H32" s="311">
        <f>B32</f>
        <v>-55.155000000000001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-17.646999999999998</v>
      </c>
      <c r="D33" s="306">
        <f>B33</f>
        <v>0</v>
      </c>
      <c r="E33" s="306">
        <f>C33</f>
        <v>-17.646999999999998</v>
      </c>
      <c r="F33" s="306">
        <f>B33</f>
        <v>0</v>
      </c>
      <c r="G33" s="306">
        <f>C33</f>
        <v>-17.646999999999998</v>
      </c>
      <c r="H33" s="311">
        <f>B33</f>
        <v>0</v>
      </c>
      <c r="I33" s="312">
        <f>C33</f>
        <v>-17.646999999999998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0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1.65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1.65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152.06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152.06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88.192999999999998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-21.807000000000002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MON</v>
      </c>
      <c r="H73" s="397">
        <f>Weather_Input!A5</f>
        <v>37158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152.06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88.192999999999998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36.07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-17.646999999999998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152.06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152.06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1.65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88.192999999999998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88.192999999999998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37159.123530324076</v>
      </c>
      <c r="F22" s="161" t="s">
        <v>256</v>
      </c>
      <c r="G22" s="186">
        <f ca="1">NOW()</f>
        <v>37159.123530324076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37158</v>
      </c>
      <c r="C5" s="15"/>
      <c r="D5" s="22" t="s">
        <v>274</v>
      </c>
      <c r="E5" s="23">
        <f>Weather_Input!B5</f>
        <v>54</v>
      </c>
      <c r="F5" s="24" t="s">
        <v>275</v>
      </c>
      <c r="G5" s="25">
        <f>Weather_Input!H5</f>
        <v>15</v>
      </c>
      <c r="H5" s="26" t="s">
        <v>276</v>
      </c>
      <c r="I5" s="27">
        <f ca="1">G5-(VLOOKUP(B5,DD_Normal_Data,CELL("Col",B6),FALSE))</f>
        <v>10</v>
      </c>
    </row>
    <row r="6" spans="1:109" ht="15">
      <c r="A6" s="18"/>
      <c r="B6" s="21"/>
      <c r="C6" s="15"/>
      <c r="D6" s="22" t="s">
        <v>161</v>
      </c>
      <c r="E6" s="23">
        <f>Weather_Input!C5</f>
        <v>42</v>
      </c>
      <c r="F6" s="24" t="s">
        <v>277</v>
      </c>
      <c r="G6" s="25">
        <f>Weather_Input!F5</f>
        <v>69</v>
      </c>
      <c r="H6" s="26" t="s">
        <v>278</v>
      </c>
      <c r="I6" s="27">
        <f ca="1">G6-(VLOOKUP(B5,DD_Normal_Data,CELL("Col",C7),FALSE))</f>
        <v>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48</v>
      </c>
      <c r="F7" s="24" t="s">
        <v>280</v>
      </c>
      <c r="G7" s="25">
        <f>Weather_Input!G5</f>
        <v>69</v>
      </c>
      <c r="H7" s="26" t="s">
        <v>280</v>
      </c>
      <c r="I7" s="120">
        <f ca="1">G7-(VLOOKUP(B5,DD_Normal_Data,CELL("Col",D4),FALSE))</f>
        <v>-7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MOSTLY CLOUDY; VERY WINDY AND COOL.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COOL AND BREEZY WITH PATCHY 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37159</v>
      </c>
      <c r="C10" s="15"/>
      <c r="D10" s="150" t="s">
        <v>274</v>
      </c>
      <c r="E10" s="23">
        <f>Weather_Input!B6</f>
        <v>58</v>
      </c>
      <c r="F10" s="24" t="s">
        <v>275</v>
      </c>
      <c r="G10" s="25">
        <f>IF(E12&lt;65,65-(Weather_Input!B6+Weather_Input!C6)/2,0)</f>
        <v>15</v>
      </c>
      <c r="H10" s="26" t="s">
        <v>276</v>
      </c>
      <c r="I10" s="27">
        <f ca="1">G10-(VLOOKUP(B10,DD_Normal_Data,CELL("Col",B11),FALSE))</f>
        <v>9</v>
      </c>
    </row>
    <row r="11" spans="1:109" ht="15">
      <c r="A11" s="18"/>
      <c r="B11" s="21"/>
      <c r="C11" s="15"/>
      <c r="D11" s="22" t="s">
        <v>161</v>
      </c>
      <c r="E11" s="23">
        <f>Weather_Input!C6</f>
        <v>42</v>
      </c>
      <c r="F11" s="24" t="s">
        <v>277</v>
      </c>
      <c r="G11" s="25">
        <f>IF(DAY(B10)=1,G10,G6+G10)</f>
        <v>84</v>
      </c>
      <c r="H11" s="30" t="s">
        <v>278</v>
      </c>
      <c r="I11" s="27">
        <f ca="1">G11-(VLOOKUP(B10,DD_Normal_Data,CELL("Col",C12),FALSE))</f>
        <v>10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50</v>
      </c>
      <c r="F12" s="24" t="s">
        <v>280</v>
      </c>
      <c r="G12" s="25">
        <f>IF(AND(DAY(B10)=1,MONTH(B10)=8),G10,G7+G10)</f>
        <v>84</v>
      </c>
      <c r="H12" s="26" t="s">
        <v>280</v>
      </c>
      <c r="I12" s="27">
        <f ca="1">G12-(VLOOKUP(B10,DD_Normal_Data,CELL("Col",D9),FALSE))</f>
        <v>2</v>
      </c>
    </row>
    <row r="13" spans="1:109" ht="15">
      <c r="A13" s="18"/>
      <c r="B13" s="21"/>
      <c r="C13" s="15"/>
      <c r="D13" s="32" t="str">
        <f>IF(Weather_Input!I6=""," ",Weather_Input!I6)</f>
        <v xml:space="preserve">  PARTLY SUNNY AND BREEZY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37160</v>
      </c>
      <c r="C15" s="15"/>
      <c r="D15" s="22" t="s">
        <v>274</v>
      </c>
      <c r="E15" s="23">
        <f>Weather_Input!B7</f>
        <v>62</v>
      </c>
      <c r="F15" s="24" t="s">
        <v>275</v>
      </c>
      <c r="G15" s="25">
        <f>IF(E17&lt;65,65-(Weather_Input!B7+Weather_Input!C7)/2,0)</f>
        <v>12.5</v>
      </c>
      <c r="H15" s="26" t="s">
        <v>276</v>
      </c>
      <c r="I15" s="27">
        <f ca="1">G15-(VLOOKUP(B15,DD_Normal_Data,CELL("Col",B16),FALSE))</f>
        <v>6.5</v>
      </c>
    </row>
    <row r="16" spans="1:109" ht="15">
      <c r="A16" s="18"/>
      <c r="B16" s="20"/>
      <c r="C16" s="15"/>
      <c r="D16" s="22" t="s">
        <v>161</v>
      </c>
      <c r="E16" s="23">
        <f>Weather_Input!C7</f>
        <v>43</v>
      </c>
      <c r="F16" s="24" t="s">
        <v>277</v>
      </c>
      <c r="G16" s="25">
        <f>IF(DAY(B15)=1,G15,G11+G15)</f>
        <v>96.5</v>
      </c>
      <c r="H16" s="30" t="s">
        <v>278</v>
      </c>
      <c r="I16" s="27">
        <f ca="1">G16-(VLOOKUP(B15,DD_Normal_Data,CELL("Col",C17),FALSE))</f>
        <v>16.5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52.5</v>
      </c>
      <c r="F17" s="24" t="s">
        <v>280</v>
      </c>
      <c r="G17" s="25">
        <f>IF(AND(DAY(B15)=1,MONTH(B15)=8),G15,G12+G15)</f>
        <v>96.5</v>
      </c>
      <c r="H17" s="26" t="s">
        <v>280</v>
      </c>
      <c r="I17" s="27">
        <f ca="1">G17-(VLOOKUP(B15,DD_Normal_Data,CELL("Col",D14),FALSE))</f>
        <v>8.5</v>
      </c>
    </row>
    <row r="18" spans="1:109" ht="15">
      <c r="A18" s="18"/>
      <c r="B18" s="20"/>
      <c r="C18" s="15"/>
      <c r="D18" s="32" t="str">
        <f>IF(Weather_Input!I7=""," ",Weather_Input!I7)</f>
        <v xml:space="preserve">  SUNSHINE AND PATCHY CLOUDS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37161</v>
      </c>
      <c r="C20" s="15"/>
      <c r="D20" s="22" t="s">
        <v>274</v>
      </c>
      <c r="E20" s="23">
        <f>Weather_Input!B8</f>
        <v>63</v>
      </c>
      <c r="F20" s="24" t="s">
        <v>275</v>
      </c>
      <c r="G20" s="25">
        <f>IF(E22&lt;65,65-(Weather_Input!B8+Weather_Input!C8)/2,0)</f>
        <v>11</v>
      </c>
      <c r="H20" s="26" t="s">
        <v>276</v>
      </c>
      <c r="I20" s="27">
        <f ca="1">G20-(VLOOKUP(B20,DD_Normal_Data,CELL("Col",B21),FALSE))</f>
        <v>5</v>
      </c>
    </row>
    <row r="21" spans="1:109" ht="15">
      <c r="A21" s="18"/>
      <c r="B21" s="21"/>
      <c r="C21" s="15"/>
      <c r="D21" s="22" t="s">
        <v>161</v>
      </c>
      <c r="E21" s="23">
        <f>Weather_Input!C8</f>
        <v>45</v>
      </c>
      <c r="F21" s="24" t="s">
        <v>277</v>
      </c>
      <c r="G21" s="25">
        <f>IF(DAY(B20)=1,G20,G16+G20)</f>
        <v>107.5</v>
      </c>
      <c r="H21" s="30" t="s">
        <v>278</v>
      </c>
      <c r="I21" s="27">
        <f ca="1">G21-(VLOOKUP(B20,DD_Normal_Data,CELL("Col",C22),FALSE))</f>
        <v>21.5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54</v>
      </c>
      <c r="F22" s="24" t="s">
        <v>280</v>
      </c>
      <c r="G22" s="25">
        <f>IF(AND(DAY(B20)=1,MONTH(B20)=8),G20,G17+G20)</f>
        <v>107.5</v>
      </c>
      <c r="H22" s="26" t="s">
        <v>280</v>
      </c>
      <c r="I22" s="27">
        <f ca="1">G22-(VLOOKUP(B20,DD_Normal_Data,CELL("Col",D19),FALSE))</f>
        <v>13.5</v>
      </c>
    </row>
    <row r="23" spans="1:109" ht="15">
      <c r="A23" s="18"/>
      <c r="B23" s="21"/>
      <c r="C23" s="15"/>
      <c r="D23" s="32" t="str">
        <f>IF(Weather_Input!I8=""," ",Weather_Input!I8)</f>
        <v xml:space="preserve">  BRIGHT AND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37162</v>
      </c>
      <c r="C25" s="15"/>
      <c r="D25" s="22" t="s">
        <v>274</v>
      </c>
      <c r="E25" s="23">
        <f>Weather_Input!B9</f>
        <v>66</v>
      </c>
      <c r="F25" s="24" t="s">
        <v>275</v>
      </c>
      <c r="G25" s="25">
        <f>IF(E27&lt;65,65-(Weather_Input!B9+Weather_Input!C9)/2,0)</f>
        <v>9</v>
      </c>
      <c r="H25" s="26" t="s">
        <v>276</v>
      </c>
      <c r="I25" s="27">
        <f ca="1">G25-(VLOOKUP(B25,DD_Normal_Data,CELL("Col",B26),FALSE))</f>
        <v>2</v>
      </c>
    </row>
    <row r="26" spans="1:109" ht="15">
      <c r="A26" s="18"/>
      <c r="B26" s="21"/>
      <c r="C26" s="15"/>
      <c r="D26" s="22" t="s">
        <v>161</v>
      </c>
      <c r="E26" s="23">
        <f>Weather_Input!C9</f>
        <v>46</v>
      </c>
      <c r="F26" s="24" t="s">
        <v>277</v>
      </c>
      <c r="G26" s="25">
        <f>IF(DAY(B25)=1,G25,G21+G25)</f>
        <v>116.5</v>
      </c>
      <c r="H26" s="30" t="s">
        <v>278</v>
      </c>
      <c r="I26" s="27">
        <f ca="1">G26-(VLOOKUP(B25,DD_Normal_Data,CELL("Col",C27),FALSE))</f>
        <v>23.5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56</v>
      </c>
      <c r="F27" s="24" t="s">
        <v>280</v>
      </c>
      <c r="G27" s="25">
        <f>IF(AND(DAY(B25)=1,MONTH(B25)=8),G25,G22+G25)</f>
        <v>116.5</v>
      </c>
      <c r="H27" s="26" t="s">
        <v>280</v>
      </c>
      <c r="I27" s="27">
        <f ca="1">G27-(VLOOKUP(B25,DD_Normal_Data,CELL("Col",D24),FALSE))</f>
        <v>15.5</v>
      </c>
    </row>
    <row r="28" spans="1:109" ht="15">
      <c r="A28" s="18"/>
      <c r="B28" s="20"/>
      <c r="C28" s="15"/>
      <c r="D28" s="32" t="str">
        <f>IF(Weather_Input!I9=""," ",Weather_Input!I9)</f>
        <v xml:space="preserve">  SEVERAL HOURS OF SUNSHINE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37163</v>
      </c>
      <c r="C30" s="15"/>
      <c r="D30" s="22" t="s">
        <v>274</v>
      </c>
      <c r="E30" s="23">
        <f>Weather_Input!B10</f>
        <v>66</v>
      </c>
      <c r="F30" s="24" t="s">
        <v>275</v>
      </c>
      <c r="G30" s="25">
        <f>IF(E32&lt;65,65-(Weather_Input!B10+Weather_Input!C10)/2,0)</f>
        <v>9</v>
      </c>
      <c r="H30" s="26" t="s">
        <v>276</v>
      </c>
      <c r="I30" s="27">
        <f ca="1">G30-(VLOOKUP(B30,DD_Normal_Data,CELL("Col",B31),FALSE))</f>
        <v>2</v>
      </c>
    </row>
    <row r="31" spans="1:109" ht="15">
      <c r="A31" s="15"/>
      <c r="B31" s="15"/>
      <c r="C31" s="15"/>
      <c r="D31" s="22" t="s">
        <v>161</v>
      </c>
      <c r="E31" s="23">
        <f>Weather_Input!C10</f>
        <v>46</v>
      </c>
      <c r="F31" s="24" t="s">
        <v>277</v>
      </c>
      <c r="G31" s="25">
        <f>IF(DAY(B30)=1,G30,G26+G30)</f>
        <v>125.5</v>
      </c>
      <c r="H31" s="30" t="s">
        <v>278</v>
      </c>
      <c r="I31" s="27">
        <f ca="1">G31-(VLOOKUP(B30,DD_Normal_Data,CELL("Col",C32),FALSE))</f>
        <v>25.5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56</v>
      </c>
      <c r="F32" s="24" t="s">
        <v>280</v>
      </c>
      <c r="G32" s="25">
        <f>IF(AND(DAY(B30)=1,MONTH(B30)=8),G30,G27+G30)</f>
        <v>125.5</v>
      </c>
      <c r="H32" s="26" t="s">
        <v>280</v>
      </c>
      <c r="I32" s="27">
        <f ca="1">G32-(VLOOKUP(B30,DD_Normal_Data,CELL("Col",D29),FALSE))</f>
        <v>17.5</v>
      </c>
    </row>
    <row r="33" spans="1:9" ht="15">
      <c r="A33" s="15"/>
      <c r="B33" s="34"/>
      <c r="C33" s="15"/>
      <c r="D33" s="32" t="str">
        <f>IF(Weather_Input!I10=""," ",Weather_Input!I10)</f>
        <v xml:space="preserve">  SEVERAL HOURS OF SUNSHINE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37158</v>
      </c>
      <c r="C36" s="89">
        <f>B10</f>
        <v>37159</v>
      </c>
      <c r="D36" s="89">
        <f>B15</f>
        <v>37160</v>
      </c>
      <c r="E36" s="89">
        <f xml:space="preserve">       B20</f>
        <v>37161</v>
      </c>
      <c r="F36" s="89">
        <f>B25</f>
        <v>37162</v>
      </c>
      <c r="G36" s="89">
        <f>B30</f>
        <v>37163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285</v>
      </c>
      <c r="C37" s="41">
        <f ca="1">(VLOOKUP(C36,PGL_Sendouts,(CELL("COL",PGL_Deliveries!C7))))/1000</f>
        <v>300</v>
      </c>
      <c r="D37" s="41">
        <f ca="1">(VLOOKUP(D36,PGL_Sendouts,(CELL("COL",PGL_Deliveries!C8))))/1000</f>
        <v>285</v>
      </c>
      <c r="E37" s="41">
        <f ca="1">(VLOOKUP(E36,PGL_Sendouts,(CELL("COL",PGL_Deliveries!C9))))/1000</f>
        <v>260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225</v>
      </c>
      <c r="H37" s="14"/>
      <c r="I37" s="15"/>
    </row>
    <row r="38" spans="1:9" ht="15">
      <c r="A38" s="15" t="s">
        <v>285</v>
      </c>
      <c r="B38" s="41">
        <f>PGL_6_Day_Report!D25</f>
        <v>428.28</v>
      </c>
      <c r="C38" s="41">
        <f>PGL_6_Day_Report!E25</f>
        <v>443.28</v>
      </c>
      <c r="D38" s="41">
        <f>PGL_6_Day_Report!F25</f>
        <v>428.28</v>
      </c>
      <c r="E38" s="41">
        <f>PGL_6_Day_Report!G25</f>
        <v>403.28</v>
      </c>
      <c r="F38" s="41">
        <f>PGL_6_Day_Report!H25</f>
        <v>383.28</v>
      </c>
      <c r="G38" s="41">
        <f>PGL_6_Day_Report!I25</f>
        <v>368.28</v>
      </c>
      <c r="H38" s="14"/>
      <c r="I38" s="15"/>
    </row>
    <row r="39" spans="1:9" ht="15">
      <c r="A39" s="42" t="s">
        <v>103</v>
      </c>
      <c r="B39" s="41">
        <f>SUM(PGL_Supplies!Y7:AD7)/1000</f>
        <v>278.01900000000001</v>
      </c>
      <c r="C39" s="41">
        <f>SUM(PGL_Supplies!Y8:AD8)/1000</f>
        <v>308.92899999999997</v>
      </c>
      <c r="D39" s="41">
        <f>SUM(PGL_Supplies!Y9:AD9)/1000</f>
        <v>308.92899999999997</v>
      </c>
      <c r="E39" s="41">
        <f>SUM(PGL_Supplies!Y10:AD10)/1000</f>
        <v>308.92899999999997</v>
      </c>
      <c r="F39" s="41">
        <f>SUM(PGL_Supplies!Y11:AD11)/1000</f>
        <v>308.92899999999997</v>
      </c>
      <c r="G39" s="41">
        <f>SUM(PGL_Supplies!Y12:AD12)/1000</f>
        <v>308.92899999999997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0.62</v>
      </c>
      <c r="C41" s="41">
        <f>SUM(PGL_Requirements!Q7:T7)/1000</f>
        <v>0.62</v>
      </c>
      <c r="D41" s="41">
        <f>SUM(PGL_Requirements!Q7:T7)/1000</f>
        <v>0.62</v>
      </c>
      <c r="E41" s="41">
        <f>SUM(PGL_Requirements!Q7:T7)/1000</f>
        <v>0.62</v>
      </c>
      <c r="F41" s="41">
        <f>SUM(PGL_Requirements!Q7:T7)/1000</f>
        <v>0.62</v>
      </c>
      <c r="G41" s="41">
        <f>SUM(PGL_Requirements!Q7:T7)/1000</f>
        <v>0.62</v>
      </c>
      <c r="H41" s="14"/>
      <c r="I41" s="15"/>
    </row>
    <row r="42" spans="1:9" ht="15">
      <c r="A42" s="15" t="s">
        <v>126</v>
      </c>
      <c r="B42" s="41">
        <f>PGL_Supplies!U7/1000</f>
        <v>152.06</v>
      </c>
      <c r="C42" s="41">
        <f>PGL_Supplies!U8/1000</f>
        <v>142.40299999999999</v>
      </c>
      <c r="D42" s="41">
        <f>PGL_Supplies!U9/1000</f>
        <v>142.40299999999999</v>
      </c>
      <c r="E42" s="41">
        <f>PGL_Supplies!U10/1000</f>
        <v>142.40299999999999</v>
      </c>
      <c r="F42" s="41">
        <f>PGL_Supplies!U11/1000</f>
        <v>142.40299999999999</v>
      </c>
      <c r="G42" s="41">
        <f>PGL_Supplies!U12/1000</f>
        <v>142.40299999999999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37158</v>
      </c>
      <c r="C44" s="89">
        <f t="shared" si="0"/>
        <v>37159</v>
      </c>
      <c r="D44" s="89">
        <f t="shared" si="0"/>
        <v>37160</v>
      </c>
      <c r="E44" s="89">
        <f t="shared" si="0"/>
        <v>37161</v>
      </c>
      <c r="F44" s="89">
        <f t="shared" si="0"/>
        <v>37162</v>
      </c>
      <c r="G44" s="89">
        <f t="shared" si="0"/>
        <v>37163</v>
      </c>
      <c r="H44" s="14"/>
      <c r="I44" s="15"/>
    </row>
    <row r="45" spans="1:9" ht="15">
      <c r="A45" s="15" t="s">
        <v>54</v>
      </c>
      <c r="B45" s="41">
        <f ca="1">NSG_6_Day_Report!D6</f>
        <v>56</v>
      </c>
      <c r="C45" s="41">
        <f ca="1">NSG_6_Day_Report!E6</f>
        <v>60</v>
      </c>
      <c r="D45" s="41">
        <f ca="1">NSG_6_Day_Report!F6</f>
        <v>56</v>
      </c>
      <c r="E45" s="41">
        <f ca="1">NSG_6_Day_Report!G6</f>
        <v>53</v>
      </c>
      <c r="F45" s="41">
        <f ca="1">NSG_6_Day_Report!H6</f>
        <v>49</v>
      </c>
      <c r="G45" s="41">
        <f ca="1">NSG_6_Day_Report!I6</f>
        <v>46</v>
      </c>
      <c r="H45" s="14"/>
      <c r="I45" s="15"/>
    </row>
    <row r="46" spans="1:9" ht="15">
      <c r="A46" s="42" t="s">
        <v>285</v>
      </c>
      <c r="B46" s="41">
        <f ca="1">NSG_6_Day_Report!D11</f>
        <v>56</v>
      </c>
      <c r="C46" s="41">
        <f ca="1">NSG_6_Day_Report!E11</f>
        <v>60</v>
      </c>
      <c r="D46" s="41">
        <f ca="1">NSG_6_Day_Report!F11</f>
        <v>56</v>
      </c>
      <c r="E46" s="41">
        <f ca="1">NSG_6_Day_Report!G11</f>
        <v>53</v>
      </c>
      <c r="F46" s="41">
        <f ca="1">NSG_6_Day_Report!H11</f>
        <v>49</v>
      </c>
      <c r="G46" s="41">
        <f ca="1">NSG_6_Day_Report!I11</f>
        <v>46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47.503999999999998</v>
      </c>
      <c r="D47" s="41">
        <f>SUM(NSG_Supplies!O9:Q9)/1000</f>
        <v>47.503999999999998</v>
      </c>
      <c r="E47" s="41">
        <f>SUM(NSG_Supplies!O10:Q10)/1000</f>
        <v>47.503999999999998</v>
      </c>
      <c r="F47" s="41">
        <f>SUM(NSG_Supplies!O11:Q11)/1000</f>
        <v>47.503999999999998</v>
      </c>
      <c r="G47" s="41">
        <f>SUM(NSG_Supplies!O12:Q12)/1000</f>
        <v>47.503999999999998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17.646999999999998</v>
      </c>
      <c r="C50" s="41">
        <f>NSG_Supplies!R8/1000</f>
        <v>17.646999999999998</v>
      </c>
      <c r="D50" s="41">
        <f>NSG_Supplies!R9/1000</f>
        <v>17.646999999999998</v>
      </c>
      <c r="E50" s="41">
        <f>NSG_Supplies!R10/1000</f>
        <v>17.646999999999998</v>
      </c>
      <c r="F50" s="41">
        <f>NSG_Supplies!R11/1000</f>
        <v>17.646999999999998</v>
      </c>
      <c r="G50" s="41">
        <f>NSG_Supplies!R12/1000</f>
        <v>17.646999999999998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37158</v>
      </c>
      <c r="C52" s="89">
        <f t="shared" si="1"/>
        <v>37159</v>
      </c>
      <c r="D52" s="89">
        <f t="shared" si="1"/>
        <v>37160</v>
      </c>
      <c r="E52" s="89">
        <f t="shared" si="1"/>
        <v>37161</v>
      </c>
      <c r="F52" s="89">
        <f t="shared" si="1"/>
        <v>37162</v>
      </c>
      <c r="G52" s="89">
        <f t="shared" si="1"/>
        <v>37163</v>
      </c>
      <c r="H52" s="14"/>
      <c r="I52" s="15"/>
    </row>
    <row r="53" spans="1:9" ht="15">
      <c r="A53" s="92" t="s">
        <v>289</v>
      </c>
      <c r="B53" s="41">
        <f>PGL_Requirements!O7/1000</f>
        <v>110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Tuesday</v>
      </c>
      <c r="C4" s="1028" t="str">
        <f>Six_Day_Summary!A15</f>
        <v>Wednesday</v>
      </c>
      <c r="D4" s="1028" t="str">
        <f>Six_Day_Summary!A20</f>
        <v>Thursday</v>
      </c>
      <c r="E4" s="1028" t="str">
        <f>Six_Day_Summary!A25</f>
        <v>Friday</v>
      </c>
      <c r="F4" s="1029" t="str">
        <f>Six_Day_Summary!A30</f>
        <v>Saturday</v>
      </c>
      <c r="G4" s="98"/>
    </row>
    <row r="5" spans="1:8">
      <c r="A5" s="101" t="s">
        <v>296</v>
      </c>
      <c r="B5" s="1030">
        <f>Weather_Input!A6</f>
        <v>37159</v>
      </c>
      <c r="C5" s="1031">
        <f>Weather_Input!A7</f>
        <v>37160</v>
      </c>
      <c r="D5" s="1031">
        <f>Weather_Input!A8</f>
        <v>37161</v>
      </c>
      <c r="E5" s="1031">
        <f>Weather_Input!A9</f>
        <v>37162</v>
      </c>
      <c r="F5" s="1032">
        <f>Weather_Input!A10</f>
        <v>37163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17.03</v>
      </c>
      <c r="C6" s="1033">
        <f>PGL_Supplies!AB9/1000+PGL_Supplies!K9/1000-PGL_Requirements!N9/1000+C15-PGL_Requirements!S9/1000</f>
        <v>17.03</v>
      </c>
      <c r="D6" s="1033">
        <f>PGL_Supplies!AB10/1000+PGL_Supplies!K10/1000-PGL_Requirements!N10/1000+D15-PGL_Requirements!S10/1000</f>
        <v>17.03</v>
      </c>
      <c r="E6" s="1033">
        <f>PGL_Supplies!AB11/1000+PGL_Supplies!K11/1000-PGL_Requirements!N11/1000+E15-PGL_Requirements!S11/1000</f>
        <v>17.03</v>
      </c>
      <c r="F6" s="1034">
        <f>PGL_Supplies!AB12/1000+PGL_Supplies!K12/1000-PGL_Requirements!N12/1000+F15-PGL_Requirements!S12/1000</f>
        <v>17.03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Tuesday</v>
      </c>
      <c r="C21" s="1043" t="str">
        <f t="shared" si="0"/>
        <v>Wednesday</v>
      </c>
      <c r="D21" s="1043" t="str">
        <f t="shared" si="0"/>
        <v>Thursday</v>
      </c>
      <c r="E21" s="1043" t="str">
        <f t="shared" si="0"/>
        <v>Friday</v>
      </c>
      <c r="F21" s="1044" t="str">
        <f t="shared" si="0"/>
        <v>Saturday</v>
      </c>
      <c r="G21" s="98"/>
    </row>
    <row r="22" spans="1:7">
      <c r="A22" s="105" t="s">
        <v>296</v>
      </c>
      <c r="B22" s="1045">
        <f t="shared" si="0"/>
        <v>37159</v>
      </c>
      <c r="C22" s="1045">
        <f t="shared" si="0"/>
        <v>37160</v>
      </c>
      <c r="D22" s="1045">
        <f t="shared" si="0"/>
        <v>37161</v>
      </c>
      <c r="E22" s="1045">
        <f t="shared" si="0"/>
        <v>37162</v>
      </c>
      <c r="F22" s="1046">
        <f t="shared" si="0"/>
        <v>37163</v>
      </c>
      <c r="G22" s="98"/>
    </row>
    <row r="23" spans="1:7">
      <c r="A23" s="98" t="s">
        <v>297</v>
      </c>
      <c r="B23" s="1039">
        <f>NSG_Supplies!Q8/1000+NSG_Supplies!F8/1000-NSG_Requirements!H8/1000</f>
        <v>27.504000000000001</v>
      </c>
      <c r="C23" s="1039">
        <f>NSG_Supplies!Q9/1000+NSG_Supplies!F9/1000-NSG_Requirements!H9/1000</f>
        <v>27.504000000000001</v>
      </c>
      <c r="D23" s="1039">
        <f>NSG_Supplies!Q10/1000+NSG_Supplies!F10/1000-NSG_Requirements!H10/1000</f>
        <v>27.504000000000001</v>
      </c>
      <c r="E23" s="1039">
        <f>NSG_Supplies!Q12/1000+NSG_Supplies!F11/1000-NSG_Requirements!H11/1000</f>
        <v>27.504000000000001</v>
      </c>
      <c r="F23" s="1034">
        <f>NSG_Supplies!Q12/1000+NSG_Supplies!F12/1000-NSG_Requirements!H12/1000</f>
        <v>27.504000000000001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 t="s">
        <v>9</v>
      </c>
      <c r="B1" s="1227" t="s">
        <v>763</v>
      </c>
      <c r="C1" s="1228">
        <f>Weather_Input!A6</f>
        <v>37159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235.464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92.525000000000006</v>
      </c>
      <c r="D11" s="764"/>
      <c r="E11" s="1248"/>
      <c r="F11" s="1249" t="s">
        <v>778</v>
      </c>
      <c r="G11" s="1250">
        <f>G8+G10</f>
        <v>235.464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92.525000000000006</v>
      </c>
      <c r="D14" s="427"/>
      <c r="E14" s="1240">
        <f>AVERAGE(C14/24)</f>
        <v>3.8552083333333336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235.464</v>
      </c>
      <c r="H15" s="427" t="s">
        <v>9</v>
      </c>
      <c r="I15" s="1240">
        <f>AVERAGE(G15/24)</f>
        <v>9.8109999999999999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25.425000000000001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25.425000000000001</v>
      </c>
      <c r="D20" s="1260" t="s">
        <v>9</v>
      </c>
      <c r="E20" s="1240">
        <f>AVERAGE(C20/24)</f>
        <v>1.059375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37159</v>
      </c>
      <c r="I1" s="887"/>
      <c r="J1" s="889"/>
      <c r="K1" s="889"/>
    </row>
    <row r="2" spans="1:22" ht="16.5" customHeight="1">
      <c r="A2" s="907" t="s">
        <v>606</v>
      </c>
      <c r="C2" s="953">
        <v>353</v>
      </c>
      <c r="F2" s="954">
        <v>356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27.504000000000001</v>
      </c>
      <c r="I9" s="958"/>
      <c r="K9" s="887" t="s">
        <v>610</v>
      </c>
      <c r="L9" s="909">
        <f>NSG_Deliveries!C6/1000</f>
        <v>60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25.425000000000001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-12.495999999999995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92.525000000000006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360</v>
      </c>
      <c r="D15" s="952">
        <v>410</v>
      </c>
      <c r="F15" s="959">
        <v>360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574</v>
      </c>
      <c r="D18" s="961"/>
      <c r="E18" s="961"/>
      <c r="F18" s="954">
        <v>793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235.464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300</v>
      </c>
      <c r="L26" s="887" t="s">
        <v>610</v>
      </c>
      <c r="M26" s="909">
        <f>NSG_Deliveries!C6/1000</f>
        <v>60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264.41399999999999</v>
      </c>
      <c r="L28" s="890" t="s">
        <v>650</v>
      </c>
      <c r="M28" s="915">
        <f>SUM(J2+K17+K19+H11+H9-M26)</f>
        <v>-12.495999999999995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37158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17.03</v>
      </c>
    </row>
    <row r="30" spans="1:17" ht="10.5" customHeight="1">
      <c r="A30" s="892"/>
      <c r="B30" s="909"/>
      <c r="C30" s="890"/>
      <c r="D30" s="909"/>
      <c r="F30" s="1006">
        <f>PGL_Requirements!A8</f>
        <v>37159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-18.55600000000004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590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374.41399999999999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264.41399999999999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358</v>
      </c>
      <c r="E45" s="974"/>
      <c r="F45" s="975">
        <v>6.7000000000000004E-2</v>
      </c>
      <c r="G45" s="976">
        <f>(C45-D45)*F45</f>
        <v>3.484</v>
      </c>
      <c r="H45" s="976">
        <f>(D45-B45)*F45</f>
        <v>7.2360000000000007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356.5</v>
      </c>
      <c r="E47" s="974"/>
      <c r="F47" s="975">
        <v>0.14099999999999999</v>
      </c>
      <c r="G47" s="976">
        <f>(C47-D47)*F47</f>
        <v>7.543499999999999</v>
      </c>
      <c r="H47" s="976">
        <f>(D47-B47)*F47</f>
        <v>15.016499999999999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582</v>
      </c>
      <c r="E48" s="974"/>
      <c r="F48" s="975">
        <v>0.161</v>
      </c>
      <c r="G48" s="976">
        <f>(C48-D48)*F48</f>
        <v>27.048000000000002</v>
      </c>
      <c r="H48" s="976">
        <f>(D48-B48)*F48</f>
        <v>45.402000000000001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38.075500000000005</v>
      </c>
      <c r="H49" s="976">
        <f>SUM(H45:H48)</f>
        <v>67.654499999999999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G6" sqref="G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37158</v>
      </c>
      <c r="B5" s="11">
        <v>54</v>
      </c>
      <c r="C5" s="49">
        <v>42</v>
      </c>
      <c r="D5" s="49">
        <v>16</v>
      </c>
      <c r="E5" s="11" t="s">
        <v>820</v>
      </c>
      <c r="F5" s="11">
        <v>69</v>
      </c>
      <c r="G5" s="11">
        <v>69</v>
      </c>
      <c r="H5" s="11">
        <v>15</v>
      </c>
      <c r="I5" s="867" t="s">
        <v>822</v>
      </c>
      <c r="J5" s="867" t="s">
        <v>823</v>
      </c>
      <c r="K5" s="11">
        <v>6</v>
      </c>
      <c r="L5" s="11">
        <v>1</v>
      </c>
      <c r="N5" s="15" t="str">
        <f>I5&amp;" "&amp;I5</f>
        <v xml:space="preserve">  TODAY - MOSTLY CLOUDY; VERY WINDY AND COOL.   TODAY - MOSTLY CLOUDY; VERY WINDY AND COOL.</v>
      </c>
      <c r="AE5" s="15">
        <v>1</v>
      </c>
      <c r="AH5" s="15" t="s">
        <v>32</v>
      </c>
    </row>
    <row r="6" spans="1:34" ht="16.5" customHeight="1">
      <c r="A6" s="86">
        <f>A5+1</f>
        <v>37159</v>
      </c>
      <c r="B6" s="11">
        <v>58</v>
      </c>
      <c r="C6" s="49">
        <v>42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824</v>
      </c>
      <c r="J6" s="867" t="s">
        <v>9</v>
      </c>
      <c r="K6" s="11">
        <v>2</v>
      </c>
      <c r="L6" s="11" t="s">
        <v>558</v>
      </c>
      <c r="N6" s="15" t="str">
        <f>I6&amp;" "&amp;J6</f>
        <v xml:space="preserve">  PARTLY SUNNY AND BREEZY  </v>
      </c>
      <c r="AE6" s="15">
        <v>1</v>
      </c>
      <c r="AH6" s="15" t="s">
        <v>33</v>
      </c>
    </row>
    <row r="7" spans="1:34" ht="16.5" customHeight="1">
      <c r="A7" s="86">
        <f>A6+1</f>
        <v>37160</v>
      </c>
      <c r="B7" s="11">
        <v>62</v>
      </c>
      <c r="C7" s="49">
        <v>43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825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SUNSHINE AND PATCHY CLOUDS  </v>
      </c>
    </row>
    <row r="8" spans="1:34" ht="16.5" customHeight="1">
      <c r="A8" s="86">
        <f>A7+1</f>
        <v>37161</v>
      </c>
      <c r="B8" s="11">
        <v>63</v>
      </c>
      <c r="C8" s="49">
        <v>45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3</v>
      </c>
      <c r="L8" s="11"/>
      <c r="N8" s="15" t="str">
        <f>I8&amp;" "&amp;J8</f>
        <v xml:space="preserve">  BRIGHT AND SUNNY  </v>
      </c>
    </row>
    <row r="9" spans="1:34" ht="16.5" customHeight="1">
      <c r="A9" s="86">
        <f>A8+1</f>
        <v>37162</v>
      </c>
      <c r="B9" s="11">
        <v>66</v>
      </c>
      <c r="C9" s="49">
        <v>46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SEVERAL HOURS OF SUNSHINE  </v>
      </c>
    </row>
    <row r="10" spans="1:34" ht="16.5" customHeight="1">
      <c r="A10" s="86">
        <f>A9+1</f>
        <v>37163</v>
      </c>
      <c r="B10" s="11">
        <v>66</v>
      </c>
      <c r="C10" s="49">
        <v>46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SEVERAL HOURS OF SUNSHINE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37158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88.192999999999998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88.192999999999998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55.155000000000001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22.535000000000004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54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42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16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37158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201.429</v>
      </c>
      <c r="E5" s="1263">
        <f>SUM(PGL_Nine_to_Nine!F24)*2</f>
        <v>0</v>
      </c>
      <c r="G5" s="1263">
        <f>SUM(C5-E5)</f>
        <v>201.429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1" workbookViewId="0">
      <selection activeCell="B6" sqref="B6:S6"/>
    </sheetView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37158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37157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57785621</v>
      </c>
      <c r="Q6" s="199">
        <v>15045098</v>
      </c>
      <c r="R6" s="199">
        <v>42740523</v>
      </c>
      <c r="S6" s="199">
        <v>0</v>
      </c>
    </row>
    <row r="7" spans="1:19">
      <c r="A7" s="4">
        <f>B1</f>
        <v>37158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89203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57874824</v>
      </c>
      <c r="Q7">
        <f>IF(O7&gt;0,Q6+O7,Q6)</f>
        <v>15045098</v>
      </c>
      <c r="R7">
        <f>IF(P7&gt;Q7,P7-Q7,0)</f>
        <v>42829726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37158</v>
      </c>
      <c r="B5" s="1">
        <f>(Weather_Input!B5+Weather_Input!C5)/2</f>
        <v>48</v>
      </c>
      <c r="C5" s="868">
        <v>285000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37159</v>
      </c>
      <c r="B6" s="886">
        <f>(Weather_Input!B6+Weather_Input!C6)/2</f>
        <v>50</v>
      </c>
      <c r="C6" s="868">
        <v>300000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37160</v>
      </c>
      <c r="B7" s="886">
        <f>(Weather_Input!B7+Weather_Input!C7)/2</f>
        <v>52.5</v>
      </c>
      <c r="C7" s="868">
        <v>285000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37161</v>
      </c>
      <c r="B8" s="886">
        <f>(Weather_Input!B8+Weather_Input!C8)/2</f>
        <v>54</v>
      </c>
      <c r="C8" s="868">
        <v>260000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37162</v>
      </c>
      <c r="B9" s="886">
        <f>(Weather_Input!B9+Weather_Input!C9)/2</f>
        <v>56</v>
      </c>
      <c r="C9" s="868">
        <v>240000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37163</v>
      </c>
      <c r="B10" s="886">
        <f>(Weather_Input!B10+Weather_Input!C10)/2</f>
        <v>56</v>
      </c>
      <c r="C10" s="868">
        <v>225000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37158</v>
      </c>
      <c r="B5" s="1">
        <f>(Weather_Input!B5+Weather_Input!C5)/2</f>
        <v>48</v>
      </c>
      <c r="C5" s="868">
        <v>56000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37159</v>
      </c>
      <c r="B6" s="886">
        <f>(Weather_Input!B6+Weather_Input!C6)/2</f>
        <v>50</v>
      </c>
      <c r="C6" s="868">
        <v>60000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37160</v>
      </c>
      <c r="B7" s="886">
        <f>(Weather_Input!B7+Weather_Input!C7)/2</f>
        <v>52.5</v>
      </c>
      <c r="C7" s="868">
        <v>56000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37161</v>
      </c>
      <c r="B8" s="886">
        <f>(Weather_Input!B8+Weather_Input!C8)/2</f>
        <v>54</v>
      </c>
      <c r="C8" s="868">
        <v>53000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37162</v>
      </c>
      <c r="B9" s="886">
        <f>(Weather_Input!B9+Weather_Input!C9)/2</f>
        <v>56</v>
      </c>
      <c r="C9" s="868">
        <v>49000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37163</v>
      </c>
      <c r="B10" s="886">
        <f>(Weather_Input!B10+Weather_Input!C10)/2</f>
        <v>56</v>
      </c>
      <c r="C10" s="868">
        <v>46000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zoomScale="75" workbookViewId="0">
      <selection activeCell="B7" sqref="B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37158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30000</v>
      </c>
      <c r="O7" s="608">
        <v>110000</v>
      </c>
      <c r="P7" s="610">
        <f t="shared" ref="P7:P12" si="0">O7*0.015</f>
        <v>1650</v>
      </c>
      <c r="Q7" s="608">
        <v>620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37159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110000</v>
      </c>
      <c r="P8" s="610">
        <f t="shared" si="0"/>
        <v>1650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37160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110000</v>
      </c>
      <c r="P9" s="610">
        <f t="shared" si="0"/>
        <v>1650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37161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110000</v>
      </c>
      <c r="P10" s="610">
        <f t="shared" si="0"/>
        <v>1650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37162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110000</v>
      </c>
      <c r="P11" s="610">
        <f t="shared" si="0"/>
        <v>1650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37163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110000</v>
      </c>
      <c r="P12" s="610">
        <f t="shared" si="0"/>
        <v>1650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821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B7" sqref="B7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37158</v>
      </c>
      <c r="B7" s="610">
        <v>36070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152060</v>
      </c>
      <c r="V7" s="609">
        <v>0</v>
      </c>
      <c r="W7" s="607">
        <v>0</v>
      </c>
      <c r="X7" s="880">
        <v>88193</v>
      </c>
      <c r="Y7" s="609">
        <v>25425</v>
      </c>
      <c r="Z7" s="1">
        <v>0</v>
      </c>
      <c r="AA7" s="607">
        <v>196429</v>
      </c>
      <c r="AB7" s="607">
        <v>55155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37159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0</v>
      </c>
      <c r="S8" s="1266">
        <v>0</v>
      </c>
      <c r="T8" s="608">
        <v>0</v>
      </c>
      <c r="U8" s="609">
        <v>142403</v>
      </c>
      <c r="V8" s="609">
        <v>0</v>
      </c>
      <c r="W8" s="607">
        <v>0</v>
      </c>
      <c r="X8" s="880">
        <v>92525</v>
      </c>
      <c r="Y8" s="609">
        <v>25425</v>
      </c>
      <c r="Z8" s="1">
        <v>0</v>
      </c>
      <c r="AA8" s="607">
        <v>235464</v>
      </c>
      <c r="AB8" s="607">
        <v>47030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37160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142403</v>
      </c>
      <c r="V9" s="609">
        <v>0</v>
      </c>
      <c r="W9" s="607">
        <v>0</v>
      </c>
      <c r="X9" s="880">
        <v>92525</v>
      </c>
      <c r="Y9" s="609">
        <v>25425</v>
      </c>
      <c r="Z9" s="1">
        <v>0</v>
      </c>
      <c r="AA9" s="607">
        <v>235464</v>
      </c>
      <c r="AB9" s="607">
        <v>47030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37161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142403</v>
      </c>
      <c r="V10" s="609">
        <v>0</v>
      </c>
      <c r="W10" s="607">
        <v>0</v>
      </c>
      <c r="X10" s="880">
        <v>92525</v>
      </c>
      <c r="Y10" s="609">
        <v>25425</v>
      </c>
      <c r="Z10" s="1">
        <v>0</v>
      </c>
      <c r="AA10" s="607">
        <v>235464</v>
      </c>
      <c r="AB10" s="607">
        <v>47030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37162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142403</v>
      </c>
      <c r="V11" s="609">
        <v>0</v>
      </c>
      <c r="W11" s="607">
        <v>0</v>
      </c>
      <c r="X11" s="880">
        <v>92525</v>
      </c>
      <c r="Y11" s="609">
        <v>25425</v>
      </c>
      <c r="Z11" s="1">
        <v>0</v>
      </c>
      <c r="AA11" s="607">
        <v>235464</v>
      </c>
      <c r="AB11" s="607">
        <v>47030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37163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142403</v>
      </c>
      <c r="V12" s="609">
        <v>0</v>
      </c>
      <c r="W12" s="607">
        <v>0</v>
      </c>
      <c r="X12" s="880">
        <v>92525</v>
      </c>
      <c r="Y12" s="609">
        <v>25425</v>
      </c>
      <c r="Z12" s="1">
        <v>0</v>
      </c>
      <c r="AA12" s="607">
        <v>235464</v>
      </c>
      <c r="AB12" s="607">
        <v>47030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37158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37158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37159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37159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37160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37160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37161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37161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37162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37162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37163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37163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O1" zoomScale="75" workbookViewId="0">
      <selection activeCell="Q7" sqref="Q7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37158</v>
      </c>
      <c r="B7" s="610">
        <v>0</v>
      </c>
      <c r="C7" s="611">
        <v>0</v>
      </c>
      <c r="D7" s="610">
        <v>0</v>
      </c>
      <c r="E7" s="610">
        <v>8500</v>
      </c>
      <c r="F7" s="610">
        <v>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17647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37159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27504</v>
      </c>
      <c r="R8" s="610">
        <v>17647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37160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27504</v>
      </c>
      <c r="R9" s="610">
        <v>17647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37161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27504</v>
      </c>
      <c r="R10" s="610">
        <v>17647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37162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27504</v>
      </c>
      <c r="R11" s="610">
        <v>17647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37163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27504</v>
      </c>
      <c r="R12" s="610">
        <v>17647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MON</v>
      </c>
      <c r="I1" s="803">
        <f>D4</f>
        <v>37158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</row>
    <row r="4" spans="1:256" ht="18.899999999999999" customHeight="1" thickBot="1">
      <c r="A4" s="810"/>
      <c r="B4" s="811"/>
      <c r="C4" s="811"/>
      <c r="D4" s="449">
        <f>Weather_Input!A5</f>
        <v>37158</v>
      </c>
      <c r="E4" s="449">
        <f>Weather_Input!A6</f>
        <v>37159</v>
      </c>
      <c r="F4" s="449">
        <f>Weather_Input!A7</f>
        <v>37160</v>
      </c>
      <c r="G4" s="449">
        <f>Weather_Input!A8</f>
        <v>37161</v>
      </c>
      <c r="H4" s="449">
        <f>Weather_Input!A9</f>
        <v>37162</v>
      </c>
      <c r="I4" s="450">
        <f>Weather_Input!A10</f>
        <v>37163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54/42/48</v>
      </c>
      <c r="E5" s="451" t="str">
        <f>TEXT(Weather_Input!B6,"0")&amp;"/"&amp;TEXT(Weather_Input!C6,"0") &amp; "/" &amp; TEXT((Weather_Input!B6+Weather_Input!C6)/2,"0")</f>
        <v>58/42/50</v>
      </c>
      <c r="F5" s="451" t="str">
        <f>TEXT(Weather_Input!B7,"0")&amp;"/"&amp;TEXT(Weather_Input!C7,"0") &amp; "/" &amp; TEXT((Weather_Input!B7+Weather_Input!C7)/2,"0")</f>
        <v>62/43/53</v>
      </c>
      <c r="G5" s="451" t="str">
        <f>TEXT(Weather_Input!B8,"0")&amp;"/"&amp;TEXT(Weather_Input!C8,"0") &amp; "/" &amp; TEXT((Weather_Input!B8+Weather_Input!C8)/2,"0")</f>
        <v>63/45/54</v>
      </c>
      <c r="H5" s="451" t="str">
        <f>TEXT(Weather_Input!B9,"0")&amp;"/"&amp;TEXT(Weather_Input!C9,"0") &amp; "/" &amp; TEXT((Weather_Input!B9+Weather_Input!C9)/2,"0")</f>
        <v>66/46/56</v>
      </c>
      <c r="I5" s="452" t="str">
        <f>TEXT(Weather_Input!B10,"0")&amp;"/"&amp;TEXT(Weather_Input!C10,"0") &amp; "/" &amp; TEXT((Weather_Input!B10+Weather_Input!C10)/2,"0")</f>
        <v>66/46/56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285</v>
      </c>
      <c r="E6" s="451">
        <f>PGL_Deliveries!C6/1000</f>
        <v>300</v>
      </c>
      <c r="F6" s="451">
        <f>PGL_Deliveries!C7/1000</f>
        <v>285</v>
      </c>
      <c r="G6" s="451">
        <f>PGL_Deliveries!C8/1000</f>
        <v>260</v>
      </c>
      <c r="H6" s="451">
        <f>PGL_Deliveries!C9/1000</f>
        <v>240</v>
      </c>
      <c r="I6" s="452">
        <f>PGL_Deliveries!C10/1000</f>
        <v>225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110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1.65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899999999999999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30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428.28</v>
      </c>
      <c r="E25" s="455">
        <f t="shared" si="1"/>
        <v>443.28</v>
      </c>
      <c r="F25" s="455">
        <f t="shared" si="1"/>
        <v>428.28</v>
      </c>
      <c r="G25" s="455">
        <f t="shared" si="1"/>
        <v>403.28</v>
      </c>
      <c r="H25" s="455">
        <f t="shared" si="1"/>
        <v>383.28</v>
      </c>
      <c r="I25" s="1060">
        <f t="shared" si="1"/>
        <v>368.28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88.192999999999998</v>
      </c>
      <c r="E37" s="451">
        <f>PGL_Supplies!X8/1000</f>
        <v>92.525000000000006</v>
      </c>
      <c r="F37" s="451">
        <f>PGL_Supplies!X9/1000</f>
        <v>92.525000000000006</v>
      </c>
      <c r="G37" s="451">
        <f>PGL_Supplies!X10/1000</f>
        <v>92.525000000000006</v>
      </c>
      <c r="H37" s="451">
        <f>PGL_Supplies!X11/1000</f>
        <v>92.525000000000006</v>
      </c>
      <c r="I37" s="452">
        <f>PGL_Supplies!X12/1000</f>
        <v>92.525000000000006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196.429</v>
      </c>
      <c r="E40" s="451">
        <f>PGL_Supplies!AA8/1000</f>
        <v>235.464</v>
      </c>
      <c r="F40" s="451">
        <f>PGL_Supplies!AA9/1000</f>
        <v>235.464</v>
      </c>
      <c r="G40" s="451">
        <f>PGL_Supplies!AA10/1000</f>
        <v>235.464</v>
      </c>
      <c r="H40" s="451">
        <f>PGL_Supplies!AA11/1000</f>
        <v>235.464</v>
      </c>
      <c r="I40" s="452">
        <f>PGL_Supplies!AA12/1000</f>
        <v>235.464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55.155000000000001</v>
      </c>
      <c r="E41" s="451">
        <f>PGL_Supplies!AB8/1000</f>
        <v>47.03</v>
      </c>
      <c r="F41" s="451">
        <f>PGL_Supplies!AB9/1000</f>
        <v>47.03</v>
      </c>
      <c r="G41" s="451">
        <f>PGL_Supplies!AB10/1000</f>
        <v>47.03</v>
      </c>
      <c r="H41" s="451">
        <f>PGL_Supplies!AB11/1000</f>
        <v>47.03</v>
      </c>
      <c r="I41" s="452">
        <f>PGL_Supplies!AB12/1000</f>
        <v>47.03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36.07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428.28199999999998</v>
      </c>
      <c r="E50" s="461">
        <f t="shared" si="2"/>
        <v>422.45399999999995</v>
      </c>
      <c r="F50" s="461">
        <f t="shared" si="2"/>
        <v>422.45399999999995</v>
      </c>
      <c r="G50" s="461">
        <f t="shared" si="2"/>
        <v>422.45399999999995</v>
      </c>
      <c r="H50" s="461">
        <f t="shared" si="2"/>
        <v>422.45399999999995</v>
      </c>
      <c r="I50" s="1062">
        <f t="shared" si="2"/>
        <v>422.45399999999995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2.0000000000095497E-3</v>
      </c>
      <c r="E51" s="462">
        <f t="shared" si="3"/>
        <v>0</v>
      </c>
      <c r="F51" s="462">
        <f t="shared" si="3"/>
        <v>0</v>
      </c>
      <c r="G51" s="462">
        <f t="shared" si="3"/>
        <v>19.173999999999978</v>
      </c>
      <c r="H51" s="462">
        <f t="shared" si="3"/>
        <v>39.173999999999978</v>
      </c>
      <c r="I51" s="1063">
        <f t="shared" si="3"/>
        <v>54.173999999999978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20.826000000000022</v>
      </c>
      <c r="F52" s="463">
        <f t="shared" si="4"/>
        <v>5.8260000000000218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152.06</v>
      </c>
      <c r="E53" s="1053">
        <f>PGL_Supplies!U8/1000</f>
        <v>142.40299999999999</v>
      </c>
      <c r="F53" s="1053">
        <f>PGL_Supplies!U9/1000</f>
        <v>142.40299999999999</v>
      </c>
      <c r="G53" s="1053">
        <f>PGL_Supplies!U10/1000</f>
        <v>142.40299999999999</v>
      </c>
      <c r="H53" s="1053">
        <f>PGL_Supplies!U11/1000</f>
        <v>142.40299999999999</v>
      </c>
      <c r="I53" s="1054">
        <f>PGL_Supplies!U12/1000</f>
        <v>142.40299999999999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2001-09-24T21:05:25Z</cp:lastPrinted>
  <dcterms:created xsi:type="dcterms:W3CDTF">1997-07-16T16:14:22Z</dcterms:created>
  <dcterms:modified xsi:type="dcterms:W3CDTF">2023-09-10T11:13:07Z</dcterms:modified>
</cp:coreProperties>
</file>