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<sst xmlns="http://schemas.openxmlformats.org/spreadsheetml/2006/main" count="2087" uniqueCount="826">
  <si>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</si>
  <si>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</si>
  <si>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</si>
  <si>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</si>
  <si>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</si>
  <si>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</si>
  <si>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</si>
  <si>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</si>
  <si>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</si>
  <si>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</si>
  <si>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</si>
  <si>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</si>
  <si>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</si>
  <si>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</si>
  <si>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</si>
  <si>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</si>
  <si>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</si>
  <si>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</si>
  <si>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</si>
  <si>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</si>
  <si>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</si>
  <si>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</si>
  <si>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</si>
  <si>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</si>
  <si>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</si>
  <si>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</si>
  <si>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</si>
  <si>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</si>
  <si>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</si>
  <si>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</si>
  <si>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</si>
  <si>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</si>
  <si>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</si>
  <si>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</si>
  <si>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</si>
  <si>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</si>
  <si>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</si>
  <si>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</si>
  <si>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</si>
  <si>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</si>
  <si>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</si>
  <si>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</si>
  <si>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</si>
  <si>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</si>
  <si>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</si>
  <si>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</si>
  <si>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</si>
  <si>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</si>
  <si>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</si>
  <si>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</si>
  <si>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</si>
  <si>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</si>
  <si>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</si>
  <si>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</si>
  <si>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</si>
  <si>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</si>
  <si>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</si>
  <si>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</si>
  <si>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</si>
  <si>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</si>
  <si>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</si>
  <si>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</si>
  <si>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</si>
  <si>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</si>
  <si>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</si>
  <si>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</si>
  <si>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</si>
  <si>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</si>
  <si>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</si>
  <si>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</si>
  <si>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</si>
  <si>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</si>
  <si>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</si>
  <si>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</si>
  <si>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</si>
  <si>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</si>
  <si>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</si>
  <si>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</si>
  <si>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</si>
  <si>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</si>
  <si>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</si>
  <si>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</si>
  <si>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</si>
  <si>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</si>
  <si>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</si>
  <si>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</si>
  <si>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</si>
  <si>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</si>
  <si>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</si>
  <si>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</si>
  <si>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</si>
  <si>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</si>
  <si>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</si>
  <si>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</si>
  <si>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</si>
  <si>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</si>
  <si>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</si>
  <si>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</si>
  <si>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</si>
  <si>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</si>
  <si>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</si>
  <si>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</si>
  <si>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</si>
  <si>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</si>
  <si>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</si>
  <si>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</si>
  <si>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</si>
  <si>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</si>
  <si>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</si>
  <si>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</si>
  <si>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</si>
  <si>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</si>
  <si>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</si>
  <si>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</si>
  <si>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</si>
  <si>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</si>
  <si>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</si>
  <si>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</si>
  <si>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</si>
  <si>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</si>
  <si>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</si>
  <si>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</si>
  <si>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</si>
  <si>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</si>
  <si>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</si>
  <si>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</si>
  <si>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</si>
  <si>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</si>
  <si>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</si>
  <si>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</si>
  <si>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</si>
  <si>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</si>
  <si>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</si>
  <si>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</si>
  <si>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</si>
  <si>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</si>
  <si>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</si>
  <si>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</si>
  <si>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</si>
  <si>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</si>
  <si>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</si>
  <si>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</si>
  <si>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</si>
  <si>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</si>
  <si>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</si>
  <si>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</si>
  <si>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</si>
  <si>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</si>
  <si>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</si>
  <si>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</si>
  <si>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</si>
  <si>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</si>
  <si>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</si>
  <si>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</si>
  <si>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</si>
  <si>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</si>
  <si>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</si>
  <si>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</si>
  <si>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</si>
  <si>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</si>
  <si>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</si>
  <si>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</si>
  <si>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</si>
  <si>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</si>
  <si>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</si>
  <si>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</si>
  <si>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</si>
  <si>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</si>
  <si>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</si>
  <si>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</si>
  <si>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</si>
  <si>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</si>
  <si>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</si>
  <si>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</si>
  <si>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</si>
  <si>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</si>
  <si>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</si>
  <si>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</si>
  <si>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</si>
  <si>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</si>
  <si>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</si>
  <si>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</si>
  <si>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</si>
  <si>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</si>
  <si>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</si>
  <si>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</si>
  <si>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</si>
  <si>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</si>
  <si>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</si>
  <si>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</si>
  <si>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</si>
  <si>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</si>
  <si>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</si>
  <si>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</si>
  <si>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</si>
  <si>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</si>
  <si>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</si>
  <si>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</si>
  <si>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</si>
  <si>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</si>
  <si>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</si>
  <si>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</si>
  <si>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</si>
  <si>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</si>
  <si>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</si>
  <si>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</si>
  <si>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</si>
  <si>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</si>
  <si>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</si>
  <si>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</si>
  <si>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</si>
  <si>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</si>
  <si>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</si>
  <si>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</si>
  <si>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</si>
  <si>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</si>
  <si>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</si>
  <si>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</si>
  <si>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</si>
  <si>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</si>
  <si>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</si>
  <si>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</si>
  <si>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</si>
  <si>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</si>
  <si>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</si>
  <si>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</si>
  <si>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</si>
  <si>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</si>
  <si>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</si>
  <si>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</si>
  <si>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</si>
  <si>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</si>
  <si>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</si>
  <si>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</si>
  <si>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</si>
  <si>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</si>
  <si>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</si>
  <si>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</si>
  <si>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</si>
  <si>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</si>
  <si>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</si>
  <si>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</si>
  <si>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</si>
  <si>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</si>
  <si>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</si>
  <si>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</si>
  <si>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</si>
  <si>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</si>
  <si>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</si>
  <si>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</si>
  <si>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</si>
  <si>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</si>
  <si>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</si>
  <si>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</si>
  <si>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</si>
  <si>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</si>
  <si>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</si>
  <si>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</si>
  <si>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</si>
  <si>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</si>
  <si>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</si>
  <si>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</si>
  <si>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</si>
  <si>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</si>
  <si>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</si>
  <si>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</si>
  <si>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</si>
  <si>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</si>
  <si>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</si>
  <si>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</si>
  <si>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</si>
  <si>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</si>
  <si>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</si>
  <si>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</si>
  <si>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</si>
  <si>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</si>
  <si>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</si>
  <si>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</si>
  <si>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</si>
  <si>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</si>
  <si>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</si>
  <si>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</si>
  <si>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</si>
  <si>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</si>
  <si>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</si>
  <si>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</si>
  <si>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</si>
  <si>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</si>
  <si>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</si>
  <si>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</si>
  <si>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</si>
  <si>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</si>
  <si>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</si>
  <si>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</si>
  <si>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</si>
  <si>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</si>
  <si>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</si>
  <si>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</si>
  <si>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</si>
  <si>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</si>
  <si>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</si>
  <si>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</si>
  <si>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</si>
  <si>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</si>
  <si>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</si>
  <si>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</si>
  <si>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</si>
  <si>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</si>
  <si>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</si>
  <si>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</si>
  <si>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</si>
  <si>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</si>
  <si>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</si>
  <si>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</si>
  <si>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</si>
  <si>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</si>
  <si>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</si>
  <si>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</si>
  <si>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</si>
  <si>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</si>
  <si>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</si>
  <si>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</si>
  <si>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</si>
  <si>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</si>
  <si>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</si>
  <si>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</si>
  <si>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</si>
  <si>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</si>
  <si>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</si>
  <si>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</si>
  <si>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</si>
  <si>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</si>
  <si>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</si>
  <si>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</si>
  <si>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</si>
  <si>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</si>
  <si>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</si>
  <si>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</si>
  <si>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</si>
  <si>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</si>
  <si>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</si>
  <si>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</si>
  <si>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</si>
  <si>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</si>
  <si>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</si>
  <si>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</si>
  <si>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</si>
  <si>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</si>
  <si>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</si>
  <si>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</si>
  <si>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</si>
  <si>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</si>
  <si>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</si>
  <si>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</si>
  <si>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</si>
  <si>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</si>
  <si>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</si>
  <si>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</si>
  <si>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</si>
  <si>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</si>
  <si>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</si>
  <si>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</si>
  <si>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</si>
  <si>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</si>
  <si>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</si>
  <si>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</si>
  <si>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</si>
  <si>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</si>
  <si>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</si>
  <si>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</si>
  <si>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</si>
  <si>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</si>
  <si>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</si>
  <si>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</si>
  <si>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</si>
  <si>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</si>
  <si>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</si>
  <si>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</si>
  <si>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</si>
  <si>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</si>
  <si>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</si>
  <si>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</si>
  <si>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</si>
  <si>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</si>
  <si>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</si>
  <si>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</si>
  <si>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</si>
  <si>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</si>
  <si>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</si>
  <si>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</si>
  <si>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</si>
  <si>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</si>
  <si>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</si>
  <si>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</si>
  <si>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</si>
  <si>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</si>
  <si>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</si>
  <si>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</si>
  <si>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</si>
  <si>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</si>
  <si>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</si>
  <si>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</si>
  <si>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</si>
  <si>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</si>
  <si>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</si>
  <si>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</si>
  <si>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</si>
  <si>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</si>
  <si>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</si>
  <si>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</si>
  <si>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</si>
  <si>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</si>
  <si>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</si>
  <si>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</si>
  <si>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</si>
  <si>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</si>
  <si>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</si>
  <si>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</si>
  <si>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</si>
  <si>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</si>
  <si>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</si>
  <si>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</si>
  <si>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</si>
  <si>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</si>
  <si>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</si>
  <si>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</si>
  <si>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</si>
  <si>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</si>
  <si>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</si>
  <si>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</si>
  <si>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</si>
  <si>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</si>
  <si>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</si>
  <si>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</si>
  <si>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</si>
  <si>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</si>
  <si>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</si>
  <si>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</si>
  <si>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</si>
  <si>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</si>
  <si>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</si>
  <si>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</si>
  <si>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</si>
  <si>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</si>
  <si>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</si>
  <si>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</si>
  <si>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</si>
  <si>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</si>
  <si>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</si>
  <si>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</si>
  <si>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</si>
  <si>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</si>
  <si>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</si>
  <si>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</si>
  <si>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</si>
  <si>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</si>
  <si>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</si>
  <si>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</si>
  <si>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</si>
  <si>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</si>
  <si>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</si>
  <si>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</si>
  <si>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</si>
  <si>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</si>
  <si>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</si>
  <si>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</si>
  <si>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</si>
  <si>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</si>
  <si>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</si>
  <si>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</si>
  <si>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</si>
  <si>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</si>
  <si>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</si>
  <si>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</si>
  <si>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</si>
  <si>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</si>
  <si>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</si>
  <si>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</si>
  <si>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</si>
  <si>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</si>
  <si>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</si>
  <si>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</si>
  <si>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</si>
  <si>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</si>
  <si>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</si>
  <si>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</si>
  <si>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</si>
  <si>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</si>
  <si>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</si>
  <si>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</si>
  <si>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</si>
  <si>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</si>
  <si>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</si>
  <si>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</si>
  <si>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</si>
  <si>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</si>
  <si>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</si>
  <si>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</si>
  <si>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</si>
  <si>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</si>
  <si>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</si>
  <si>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</si>
  <si>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</si>
  <si>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</si>
  <si>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</si>
  <si>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</si>
  <si>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</si>
  <si>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</si>
  <si>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</si>
  <si>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</si>
  <si>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</si>
  <si>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</si>
  <si>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</si>
  <si>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</si>
  <si>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</si>
  <si>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</si>
  <si>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</si>
  <si>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</si>
  <si>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</si>
  <si>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</si>
  <si>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</si>
  <si>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</si>
  <si>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</si>
  <si>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</si>
  <si>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</si>
  <si>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</si>
  <si>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</si>
  <si>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</si>
  <si>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</si>
  <si>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</si>
  <si>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</si>
  <si>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</si>
  <si>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</si>
  <si>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</si>
  <si>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</si>
  <si>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</si>
  <si>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</si>
  <si>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</si>
  <si>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</si>
  <si>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</si>
  <si>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</si>
  <si>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</si>
  <si>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</si>
  <si>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</si>
  <si>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</si>
  <si>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</si>
  <si>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</si>
  <si>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</si>
  <si>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</si>
  <si>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</si>
  <si>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</si>
  <si>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</si>
  <si>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</si>
  <si>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</si>
  <si>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</si>
  <si>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</si>
  <si>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</si>
  <si>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</si>
  <si>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</si>
  <si>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</si>
  <si>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</si>
  <si>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</si>
  <si>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</si>
  <si>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</si>
  <si>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</si>
  <si>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</si>
  <si>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</si>
  <si>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</si>
  <si>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</si>
  <si>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</si>
  <si>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</si>
  <si>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</si>
  <si>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</si>
  <si>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</si>
  <si>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</si>
  <si>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</si>
  <si>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</si>
  <si>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</si>
  <si>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</si>
  <si>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</si>
  <si>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</si>
  <si>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</si>
  <si>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</si>
  <si>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</si>
  <si>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</si>
  <si>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</si>
  <si>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</si>
  <si>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</si>
  <si>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</si>
  <si>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</si>
  <si>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</si>
  <si>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</si>
  <si>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</si>
  <si>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</si>
  <si>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</si>
  <si>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</si>
  <si>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</si>
  <si>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</si>
  <si>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</si>
  <si>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</si>
  <si>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</si>
  <si>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</si>
  <si>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</si>
  <si>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</si>
  <si>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</si>
  <si>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</si>
  <si>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</si>
  <si>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</si>
  <si>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</si>
  <si>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</si>
  <si>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</si>
  <si>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</si>
  <si>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</si>
  <si>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</si>
  <si>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</si>
  <si>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</si>
  <si>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</si>
  <si>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</si>
  <si>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</si>
  <si>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</si>
  <si>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</si>
  <si>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</si>
  <si>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</si>
  <si>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</si>
  <si>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</si>
  <si>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</si>
  <si>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</si>
  <si>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</si>
  <si>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</si>
  <si>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</si>
  <si>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</si>
  <si>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</si>
  <si>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</si>
  <si>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</si>
  <si>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</si>
  <si>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</si>
  <si>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</si>
  <si>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</si>
  <si>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</si>
  <si>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</si>
  <si>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</si>
  <si>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</si>
  <si>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</si>
  <si>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</si>
  <si>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</si>
  <si>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</si>
  <si>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</si>
  <si>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</si>
  <si>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</si>
  <si>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</si>
  <si>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</si>
  <si>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</si>
  <si>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</si>
  <si>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</si>
  <si>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</si>
  <si>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</si>
  <si>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</si>
  <si>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</si>
  <si>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</si>
  <si>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</si>
  <si>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</si>
  <si>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</si>
  <si>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</si>
  <si>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</si>
  <si>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</si>
  <si>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</si>
  <si>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</si>
  <si>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</si>
  <si>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</si>
  <si>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</si>
  <si>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</si>
  <si>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</si>
  <si>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</si>
  <si>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</si>
  <si>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</si>
  <si>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</si>
  <si>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</si>
  <si>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</si>
  <si>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</si>
  <si>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</si>
  <si>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</si>
  <si>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</si>
  <si>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</si>
  <si>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</si>
  <si>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</si>
  <si>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</si>
  <si>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</si>
  <si>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</si>
  <si>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</si>
  <si>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</si>
  <si>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</si>
  <si>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</si>
  <si>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</si>
  <si>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</si>
  <si>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</si>
  <si>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</si>
  <si>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</si>
  <si>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</si>
  <si>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</si>
  <si>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</si>
  <si>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</si>
  <si>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</si>
  <si>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</si>
  <si>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</si>
  <si>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</si>
  <si>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</si>
  <si>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</si>
  <si>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</si>
  <si>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</si>
  <si>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</si>
  <si>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</si>
  <si>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</si>
  <si>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</si>
  <si>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</si>
  <si>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</si>
  <si>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</si>
  <si>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</si>
  <si>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</si>
  <si>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</si>
  <si>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</si>
  <si>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</si>
  <si>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</si>
  <si>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</si>
  <si>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</si>
  <si>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</si>
  <si>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</si>
  <si>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</si>
  <si>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</si>
  <si>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</si>
  <si>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</si>
  <si>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</si>
  <si>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</si>
  <si>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</si>
  <si>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</si>
  <si>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</si>
  <si>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</si>
  <si>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</si>
  <si>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</si>
  <si>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</si>
  <si>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</si>
  <si>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</si>
  <si>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</si>
  <si>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</si>
  <si>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</si>
  <si>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</si>
  <si>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</si>
  <si>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</si>
  <si>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</si>
  <si>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</si>
  <si>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</si>
  <si>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</si>
  <si>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</si>
  <si>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</si>
  <si>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</si>
  <si>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</si>
  <si>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</si>
  <si>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</si>
  <si>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</si>
  <si>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</si>
  <si>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</si>
  <si>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</si>
  <si>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</si>
  <si>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</si>
  <si>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</si>
  <si>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</si>
  <si>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</si>
  <si>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</si>
  <si>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</si>
  <si>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</si>
  <si>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</si>
  <si>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</si>
  <si>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</si>
  <si>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</si>
  <si>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</si>
  <si>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</si>
  <si>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</si>
  <si>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</si>
  <si>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</si>
  <si>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</si>
  <si>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</si>
  <si>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</si>
  <si>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</si>
  <si>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</si>
  <si>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</si>
  <si>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</si>
  <si>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</si>
  <si>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</si>
  <si>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</si>
  <si>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</si>
  <si>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</si>
  <si>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</si>
  <si>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</si>
  <si>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</si>
  <si>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</si>
  <si>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</si>
  <si>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</si>
  <si>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</si>
  <si>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</si>
  <si>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</si>
  <si>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</si>
  <si>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</si>
  <si>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</si>
  <si>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</si>
  <si>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</si>
  <si>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</si>
  <si>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</si>
  <si>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</si>
  <si>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</si>
  <si>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</si>
  <si>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</si>
  <si>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</si>
  <si>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</si>
  <si>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</si>
  <si>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</si>
  <si>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</si>
  <si>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</si>
  <si>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</si>
  <si>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</si>
  <si>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</si>
  <si>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</si>
  <si>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>N/A</t>
  </si>
  <si>
    <t xml:space="preserve">MOSTLY CLOUDY WITH A CHANCE OF SHOWERS AND T-STORMS LIKELY. HIGH </t>
  </si>
  <si>
    <t>AROUND 60. CHANCE OF RAIN 60%.</t>
  </si>
  <si>
    <t>CHANCE OF SHOWERS. HIGH IN THE UPPER 50S.</t>
  </si>
  <si>
    <t>MOSTLY CLOUDY.LOW AROUND 40. HIGH AROUND 60.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</si>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</sst>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2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925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926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927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928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929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930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B1" sqref="B1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5"/>
      <c r="B1" s="777"/>
    </row>
    <row r="2" spans="1:88">
      <c r="A2" s="1005"/>
      <c r="B2" t="s">
        <v>9</v>
      </c>
    </row>
    <row r="3" spans="1:88" ht="15.6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SUN</v>
      </c>
      <c r="I1" s="844">
        <f>D4</f>
        <v>37157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SUN</v>
      </c>
      <c r="E3" s="808" t="str">
        <f t="shared" si="0"/>
        <v>MON</v>
      </c>
      <c r="F3" s="808" t="str">
        <f t="shared" si="0"/>
        <v>TUE</v>
      </c>
      <c r="G3" s="808" t="str">
        <f t="shared" si="0"/>
        <v>WED</v>
      </c>
      <c r="H3" s="808" t="str">
        <f t="shared" si="0"/>
        <v>THU</v>
      </c>
      <c r="I3" s="809" t="str">
        <f t="shared" si="0"/>
        <v>FRI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37157</v>
      </c>
      <c r="E4" s="812">
        <f>Weather_Input!A6</f>
        <v>37158</v>
      </c>
      <c r="F4" s="812">
        <f>Weather_Input!A7</f>
        <v>37159</v>
      </c>
      <c r="G4" s="812">
        <f>Weather_Input!A8</f>
        <v>37160</v>
      </c>
      <c r="H4" s="812">
        <f>Weather_Input!A9</f>
        <v>37161</v>
      </c>
      <c r="I4" s="813">
        <f>Weather_Input!A10</f>
        <v>37162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65/45/55</v>
      </c>
      <c r="E5" s="845" t="str">
        <f>TEXT(Weather_Input!B6,"0")&amp;"/"&amp;TEXT(Weather_Input!C6,"0") &amp; "/" &amp; TEXT((Weather_Input!B6+Weather_Input!C6)/2,"0")</f>
        <v>55/40/48</v>
      </c>
      <c r="F5" s="845" t="str">
        <f>TEXT(Weather_Input!B7,"0")&amp;"/"&amp;TEXT(Weather_Input!C7,"0") &amp; "/" &amp; TEXT((Weather_Input!B7+Weather_Input!C7)/2,"0")</f>
        <v>58/42/50</v>
      </c>
      <c r="G5" s="845" t="str">
        <f>TEXT(Weather_Input!B8,"0")&amp;"/"&amp;TEXT(Weather_Input!C8,"0") &amp; "/" &amp; TEXT((Weather_Input!B8+Weather_Input!C8)/2,"0")</f>
        <v>62/45/54</v>
      </c>
      <c r="H5" s="845" t="str">
        <f>TEXT(Weather_Input!B9,"0")&amp;"/"&amp;TEXT(Weather_Input!C9,"0") &amp; "/" &amp; TEXT((Weather_Input!B9+Weather_Input!C9)/2,"0")</f>
        <v>65/48/57</v>
      </c>
      <c r="I5" s="846" t="str">
        <f>TEXT(Weather_Input!B10,"0")&amp;"/"&amp;TEXT(Weather_Input!C10,"0") &amp; "/" &amp; TEXT((Weather_Input!B10+Weather_Input!C10)/2,"0")</f>
        <v>65/48/57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44</v>
      </c>
      <c r="E6" s="815">
        <f ca="1">VLOOKUP(E4,NSG_Sendouts,CELL("Col",NSG_Deliveries!C6),FALSE)/1000</f>
        <v>56</v>
      </c>
      <c r="F6" s="815">
        <f ca="1">VLOOKUP(F4,NSG_Sendouts,CELL("Col",NSG_Deliveries!C7),FALSE)/1000</f>
        <v>60</v>
      </c>
      <c r="G6" s="815">
        <f ca="1">VLOOKUP(G4,NSG_Sendouts,CELL("Col",NSG_Deliveries!C8),FALSE)/1000</f>
        <v>56</v>
      </c>
      <c r="H6" s="815">
        <f ca="1">VLOOKUP(H4,NSG_Sendouts,CELL("Col",NSG_Deliveries!C9),FALSE)/1000</f>
        <v>53</v>
      </c>
      <c r="I6" s="820">
        <f ca="1">VLOOKUP(I4,NSG_Sendouts,CELL("Col",NSG_Deliveries!C10),FALSE)/1000</f>
        <v>49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6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50</v>
      </c>
      <c r="E11" s="824">
        <f t="shared" ca="1" si="1"/>
        <v>56</v>
      </c>
      <c r="F11" s="824">
        <f t="shared" ca="1" si="1"/>
        <v>60</v>
      </c>
      <c r="G11" s="824">
        <f t="shared" ca="1" si="1"/>
        <v>56</v>
      </c>
      <c r="H11" s="824">
        <f t="shared" ca="1" si="1"/>
        <v>53</v>
      </c>
      <c r="I11" s="825">
        <f t="shared" ca="1" si="1"/>
        <v>49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742</v>
      </c>
      <c r="D17" s="815">
        <f>NSG_Supplies!F7/1000</f>
        <v>2.5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27.504000000000001</v>
      </c>
      <c r="E19" s="815">
        <f>NSG_Supplies!Q8/1000</f>
        <v>27.504000000000001</v>
      </c>
      <c r="F19" s="815">
        <f>NSG_Supplies!Q9/1000</f>
        <v>27.504000000000001</v>
      </c>
      <c r="G19" s="815">
        <f>NSG_Supplies!Q10/1000</f>
        <v>27.504000000000001</v>
      </c>
      <c r="H19" s="815">
        <f>NSG_Supplies!Q11/1000</f>
        <v>27.504000000000001</v>
      </c>
      <c r="I19" s="816">
        <f>NSG_Supplies!Q12/1000</f>
        <v>27.504000000000001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" customHeight="1" thickBot="1">
      <c r="A21" s="1198" t="s">
        <v>148</v>
      </c>
      <c r="B21" s="1199"/>
      <c r="C21" s="1199"/>
      <c r="D21" s="1200">
        <f t="shared" ref="D21:I21" si="2">SUM(D14:D20)</f>
        <v>50.004000000000005</v>
      </c>
      <c r="E21" s="1200">
        <f t="shared" si="2"/>
        <v>47.504000000000005</v>
      </c>
      <c r="F21" s="1200">
        <f t="shared" si="2"/>
        <v>47.504000000000005</v>
      </c>
      <c r="G21" s="1200">
        <f t="shared" si="2"/>
        <v>47.504000000000005</v>
      </c>
      <c r="H21" s="1200">
        <f t="shared" si="2"/>
        <v>47.504000000000005</v>
      </c>
      <c r="I21" s="1201">
        <f t="shared" si="2"/>
        <v>47.504000000000005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4.0000000000048885E-3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8.4959999999999951</v>
      </c>
      <c r="F23" s="840">
        <f t="shared" ca="1" si="4"/>
        <v>12.495999999999995</v>
      </c>
      <c r="G23" s="840">
        <f t="shared" ca="1" si="4"/>
        <v>8.4959999999999951</v>
      </c>
      <c r="H23" s="840">
        <f t="shared" ca="1" si="4"/>
        <v>5.4959999999999951</v>
      </c>
      <c r="I23" s="841">
        <f t="shared" ca="1" si="4"/>
        <v>1.4959999999999951</v>
      </c>
      <c r="J23" s="110"/>
      <c r="K23" s="111"/>
      <c r="L23" s="111"/>
      <c r="M23" s="111"/>
    </row>
    <row r="24" spans="1:13" ht="24.9" customHeight="1" thickTop="1" thickBot="1">
      <c r="A24" s="1056" t="s">
        <v>680</v>
      </c>
      <c r="B24" s="1057"/>
      <c r="C24" s="1057"/>
      <c r="D24" s="1058">
        <f>NSG_Supplies!R7/1000</f>
        <v>17.446999999999999</v>
      </c>
      <c r="E24" s="1058">
        <f>NSG_Supplies!R8/1000</f>
        <v>17.446999999999999</v>
      </c>
      <c r="F24" s="1058">
        <f>NSG_Supplies!R9/1000</f>
        <v>17.446999999999999</v>
      </c>
      <c r="G24" s="1058">
        <f>NSG_Supplies!R10/1000</f>
        <v>17.446999999999999</v>
      </c>
      <c r="H24" s="1058">
        <f>NSG_Supplies!R11/1000</f>
        <v>17.446999999999999</v>
      </c>
      <c r="I24" s="1059">
        <f>NSG_Supplies!R12/1000</f>
        <v>17.446999999999999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20</v>
      </c>
      <c r="E26" s="863">
        <f>Weather_Input!D6</f>
        <v>20</v>
      </c>
      <c r="F26" s="863">
        <f>Weather_Input!D7</f>
        <v>15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7" zoomScale="75" workbookViewId="0">
      <selection activeCell="N15" sqref="N15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37157</v>
      </c>
      <c r="N1" s="1175" t="str">
        <f>CHOOSE(WEEKDAY(M1),"SUN","MON","TUE","WED","THU","FRI","SAT")</f>
        <v>SUN</v>
      </c>
      <c r="O1" s="576"/>
    </row>
    <row r="2" spans="1:17">
      <c r="A2" s="416" t="s">
        <v>659</v>
      </c>
      <c r="B2" s="315">
        <f>PGL_Supplies!W7/1000</f>
        <v>0.1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6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65</v>
      </c>
      <c r="K3" s="918">
        <f>Weather_Input!C5</f>
        <v>45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20</v>
      </c>
      <c r="G4" s="509" t="s">
        <v>9</v>
      </c>
      <c r="H4" s="1194"/>
      <c r="I4" t="s">
        <v>725</v>
      </c>
      <c r="J4" s="1009"/>
      <c r="K4" s="1213">
        <v>53.7</v>
      </c>
      <c r="L4" s="425"/>
      <c r="M4" s="1011"/>
      <c r="N4" s="425"/>
      <c r="O4" s="778"/>
    </row>
    <row r="5" spans="1:17" ht="16.2" thickBot="1">
      <c r="A5" s="1020" t="s">
        <v>3</v>
      </c>
      <c r="B5" s="315">
        <f>PGL_Supplies!X7/1000</f>
        <v>88.192999999999998</v>
      </c>
      <c r="C5" s="1012" t="s">
        <v>9</v>
      </c>
      <c r="D5" s="340"/>
      <c r="E5" s="1155" t="s">
        <v>420</v>
      </c>
      <c r="F5" s="936">
        <f>F3+F4</f>
        <v>20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218</v>
      </c>
      <c r="L5" s="585"/>
      <c r="M5" s="260"/>
      <c r="N5" s="585"/>
      <c r="O5" s="258"/>
    </row>
    <row r="6" spans="1:17" ht="16.2" thickBot="1">
      <c r="A6" s="542" t="s">
        <v>411</v>
      </c>
      <c r="B6" s="1015">
        <f>+B5-B3+B2-B4</f>
        <v>88.292999999999992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2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25.425000000000001</v>
      </c>
      <c r="C8" s="577"/>
      <c r="D8" s="304"/>
      <c r="E8" s="416" t="s">
        <v>423</v>
      </c>
      <c r="F8" s="379">
        <f>PGL_Requirements!E7/1000</f>
        <v>1.01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88.292999999999992</v>
      </c>
      <c r="L9" s="1009"/>
      <c r="M9" s="1011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25.425000000000001</v>
      </c>
      <c r="C10" s="119"/>
      <c r="D10" s="1008"/>
      <c r="E10" s="416" t="s">
        <v>714</v>
      </c>
      <c r="F10" s="944">
        <f>PGL_Supplies!AC7/1000</f>
        <v>1.01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-116.12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116.5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202.32900000000001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20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4.25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0.62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0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1.7475000000000001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2" thickBot="1">
      <c r="A19" s="501" t="s">
        <v>420</v>
      </c>
      <c r="B19" s="1166">
        <f>-B13+B14+B16-B17-B15+B20+B21</f>
        <v>-116.12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2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198.75200000000001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6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19.24799999999999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2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1.7475000000000001</v>
      </c>
      <c r="L25" s="923"/>
      <c r="M25" s="1182"/>
      <c r="N25" s="924" t="s">
        <v>9</v>
      </c>
      <c r="O25" s="251"/>
    </row>
    <row r="26" spans="1:15" ht="16.8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20.995499999999989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2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35</v>
      </c>
      <c r="L28" s="298"/>
      <c r="M28" s="919" t="s">
        <v>9</v>
      </c>
      <c r="N28" s="497"/>
      <c r="O28" s="929" t="s">
        <v>9</v>
      </c>
    </row>
    <row r="29" spans="1:15" ht="16.2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6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-55.994999999999997</v>
      </c>
      <c r="L30" s="1119"/>
      <c r="M30" s="1023">
        <f>-PGL_Supplies!AB7/1000</f>
        <v>-55.994999999999997</v>
      </c>
      <c r="N30" s="1120"/>
      <c r="O30" s="1179">
        <f>-PGL_Supplies!AB7/1000</f>
        <v>-55.994999999999997</v>
      </c>
    </row>
    <row r="31" spans="1:15" ht="16.2" thickBot="1">
      <c r="A31" s="361" t="s">
        <v>449</v>
      </c>
      <c r="B31" s="938">
        <f>PGL_Supplies!D7/1000</f>
        <v>0.9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2" thickBot="1">
      <c r="A32" s="416" t="s">
        <v>103</v>
      </c>
      <c r="B32" s="938">
        <f>PGL_Supplies!AA7/1000+NSG_Supplies!M7/1000</f>
        <v>196.429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6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2" thickBot="1">
      <c r="A34" s="1131" t="s">
        <v>615</v>
      </c>
      <c r="B34" s="1156">
        <f>-B30+B31+B32+B33*0.5</f>
        <v>202.32900000000001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202.32900000000001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2" thickBot="1">
      <c r="A39" s="1078" t="s">
        <v>2</v>
      </c>
      <c r="B39" s="1178">
        <f>B35+B36+B37</f>
        <v>202.32900000000001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6.8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SUN</v>
      </c>
      <c r="G1" s="1181">
        <f>Weather_Input!A5</f>
        <v>37157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>
        <v>53.7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65</v>
      </c>
      <c r="C4" s="737">
        <f>Weather_Input!C5</f>
        <v>45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44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30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14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30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-2.5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-27.504000000000001</v>
      </c>
      <c r="D25" s="697"/>
      <c r="E25" s="690">
        <f>-NSG_Supplies!Q7/1000</f>
        <v>-27.504000000000001</v>
      </c>
      <c r="F25" s="697"/>
      <c r="G25" s="690">
        <f>-NSG_Supplies!Q7/1000</f>
        <v>-27.504000000000001</v>
      </c>
      <c r="H25" s="696"/>
      <c r="I25" s="753">
        <f>-NSG_Supplies!Q7/1000</f>
        <v>-27.504000000000001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6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14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37157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65</v>
      </c>
      <c r="C5" s="257">
        <f>Weather_Input!C5</f>
        <v>45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218</v>
      </c>
      <c r="C8" s="265">
        <f>NSG_Deliveries!C5/1000</f>
        <v>44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140.732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20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-28.307000000000002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4.25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44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1.7475000000000001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44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0.62</v>
      </c>
      <c r="C27" s="301">
        <f>NSG_Requirements!P7/1000</f>
        <v>0</v>
      </c>
      <c r="D27" s="301">
        <f>PGL_Requirements!Q7/1000</f>
        <v>0.62</v>
      </c>
      <c r="E27" s="301">
        <f>NSG_Requirements!P7/1000</f>
        <v>0</v>
      </c>
      <c r="F27" s="301">
        <f>PGL_Requirements!Q7/1000</f>
        <v>0.62</v>
      </c>
      <c r="G27" s="301">
        <f>NSG_Requirements!P7/1000</f>
        <v>0</v>
      </c>
      <c r="H27" s="302">
        <f>+B27</f>
        <v>0.62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-55.994999999999997</v>
      </c>
      <c r="C32" s="306">
        <f>-NSG_Supplies!Q7/1000</f>
        <v>-27.504000000000001</v>
      </c>
      <c r="D32" s="306">
        <f>B32</f>
        <v>-55.994999999999997</v>
      </c>
      <c r="E32" s="306">
        <f>C32</f>
        <v>-27.504000000000001</v>
      </c>
      <c r="F32" s="306">
        <f>B32</f>
        <v>-55.994999999999997</v>
      </c>
      <c r="G32" s="306">
        <f>C32</f>
        <v>-27.504000000000001</v>
      </c>
      <c r="H32" s="311">
        <f>B32</f>
        <v>-55.994999999999997</v>
      </c>
      <c r="I32" s="312">
        <f>C32</f>
        <v>-27.504000000000001</v>
      </c>
    </row>
    <row r="33" spans="1:9" ht="17.100000000000001" customHeight="1">
      <c r="A33" s="310" t="s">
        <v>361</v>
      </c>
      <c r="B33" s="306">
        <f>-PGL_Supplies!W7/1000</f>
        <v>-0.1</v>
      </c>
      <c r="C33" s="306">
        <f>-NSG_Supplies!R7/1000</f>
        <v>-17.446999999999999</v>
      </c>
      <c r="D33" s="306">
        <f>B33</f>
        <v>-0.1</v>
      </c>
      <c r="E33" s="306">
        <f>C33</f>
        <v>-17.446999999999999</v>
      </c>
      <c r="F33" s="306">
        <f>B33</f>
        <v>-0.1</v>
      </c>
      <c r="G33" s="306">
        <f>C33</f>
        <v>-17.446999999999999</v>
      </c>
      <c r="H33" s="311">
        <f>B33</f>
        <v>-0.1</v>
      </c>
      <c r="I33" s="312">
        <f>C33</f>
        <v>-17.446999999999999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35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-2.5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116.5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1.7475000000000001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1.7475000000000001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140.732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140.732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25.425000000000001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88.192999999999998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116.5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1.01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-28.307000000000002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SUN</v>
      </c>
      <c r="H73" s="397">
        <f>Weather_Input!A5</f>
        <v>37157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140.732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88.192999999999998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4.25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-25.425000000000001</v>
      </c>
      <c r="C116" s="410">
        <f>-NSG_Supplies!V7/1000</f>
        <v>0</v>
      </c>
      <c r="D116" s="306">
        <f>-PGL_Supplies!Y7/1000</f>
        <v>-25.425000000000001</v>
      </c>
      <c r="E116" s="306">
        <f>-NSG_Supplies!V7/1000</f>
        <v>0</v>
      </c>
      <c r="F116" s="306">
        <f>-PGL_Supplies!Y7/1000</f>
        <v>-25.425000000000001</v>
      </c>
      <c r="G116" s="306">
        <f>-NSG_Supplies!V7/1000</f>
        <v>0</v>
      </c>
      <c r="H116" s="311">
        <f>-PGL_Supplies!Y7/1000</f>
        <v>-25.425000000000001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-0.1</v>
      </c>
      <c r="C123" s="306">
        <f>-NSG_Supplies!R7/1000</f>
        <v>-17.446999999999999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25.425000000000001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35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25.425000000000001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140.732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140.732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116.5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1.7475000000000001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1.01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1.01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88.192999999999998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88.192999999999998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37158.170011574075</v>
      </c>
      <c r="F22" s="161" t="s">
        <v>256</v>
      </c>
      <c r="G22" s="186">
        <f ca="1">NOW()</f>
        <v>37158.170011574075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37157</v>
      </c>
      <c r="C5" s="15"/>
      <c r="D5" s="22" t="s">
        <v>274</v>
      </c>
      <c r="E5" s="23">
        <f>Weather_Input!B5</f>
        <v>65</v>
      </c>
      <c r="F5" s="24" t="s">
        <v>275</v>
      </c>
      <c r="G5" s="25">
        <f>Weather_Input!H5</f>
        <v>7</v>
      </c>
      <c r="H5" s="26" t="s">
        <v>276</v>
      </c>
      <c r="I5" s="27">
        <f ca="1">G5-(VLOOKUP(B5,DD_Normal_Data,CELL("Col",B6),FALSE))</f>
        <v>2</v>
      </c>
    </row>
    <row r="6" spans="1:109" ht="15">
      <c r="A6" s="18"/>
      <c r="B6" s="21"/>
      <c r="C6" s="15"/>
      <c r="D6" s="22" t="s">
        <v>161</v>
      </c>
      <c r="E6" s="23">
        <f>Weather_Input!C5</f>
        <v>45</v>
      </c>
      <c r="F6" s="24" t="s">
        <v>277</v>
      </c>
      <c r="G6" s="25">
        <f>Weather_Input!F5</f>
        <v>54</v>
      </c>
      <c r="H6" s="26" t="s">
        <v>278</v>
      </c>
      <c r="I6" s="27">
        <f ca="1">G6-(VLOOKUP(B5,DD_Normal_Data,CELL("Col",C7),FALSE))</f>
        <v>-9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55</v>
      </c>
      <c r="F7" s="24" t="s">
        <v>280</v>
      </c>
      <c r="G7" s="25">
        <f>Weather_Input!G5</f>
        <v>54</v>
      </c>
      <c r="H7" s="26" t="s">
        <v>280</v>
      </c>
      <c r="I7" s="120">
        <f ca="1">G7-(VLOOKUP(B5,DD_Normal_Data,CELL("Col",D4),FALSE))</f>
        <v>-17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MOSTLY CLOUDY WITH A CHANCE OF SHOWERS AND T-STORMS LIKELY. HIGH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AROUND 60. CHANCE OF RAIN 60%.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37158</v>
      </c>
      <c r="C10" s="15"/>
      <c r="D10" s="150" t="s">
        <v>274</v>
      </c>
      <c r="E10" s="23">
        <f>Weather_Input!B6</f>
        <v>55</v>
      </c>
      <c r="F10" s="24" t="s">
        <v>275</v>
      </c>
      <c r="G10" s="25">
        <f>IF(E12&lt;65,65-(Weather_Input!B6+Weather_Input!C6)/2,0)</f>
        <v>17.5</v>
      </c>
      <c r="H10" s="26" t="s">
        <v>276</v>
      </c>
      <c r="I10" s="27">
        <f ca="1">G10-(VLOOKUP(B10,DD_Normal_Data,CELL("Col",B11),FALSE))</f>
        <v>12.5</v>
      </c>
    </row>
    <row r="11" spans="1:109" ht="15">
      <c r="A11" s="18"/>
      <c r="B11" s="21"/>
      <c r="C11" s="15"/>
      <c r="D11" s="22" t="s">
        <v>161</v>
      </c>
      <c r="E11" s="23">
        <f>Weather_Input!C6</f>
        <v>40</v>
      </c>
      <c r="F11" s="24" t="s">
        <v>277</v>
      </c>
      <c r="G11" s="25">
        <f>IF(DAY(B10)=1,G10,G6+G10)</f>
        <v>71.5</v>
      </c>
      <c r="H11" s="30" t="s">
        <v>278</v>
      </c>
      <c r="I11" s="27">
        <f ca="1">G11-(VLOOKUP(B10,DD_Normal_Data,CELL("Col",C12),FALSE))</f>
        <v>3.5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47.5</v>
      </c>
      <c r="F12" s="24" t="s">
        <v>280</v>
      </c>
      <c r="G12" s="25">
        <f>IF(AND(DAY(B10)=1,MONTH(B10)=8),G10,G7+G10)</f>
        <v>71.5</v>
      </c>
      <c r="H12" s="26" t="s">
        <v>280</v>
      </c>
      <c r="I12" s="27">
        <f ca="1">G12-(VLOOKUP(B10,DD_Normal_Data,CELL("Col",D9),FALSE))</f>
        <v>-4.5</v>
      </c>
    </row>
    <row r="13" spans="1:109" ht="15">
      <c r="A13" s="18"/>
      <c r="B13" s="21"/>
      <c r="C13" s="15"/>
      <c r="D13" s="32" t="str">
        <f>IF(Weather_Input!I6=""," ",Weather_Input!I6)</f>
        <v>CHANCE OF SHOWERS. HIGH IN THE UPPER 50S.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37159</v>
      </c>
      <c r="C15" s="15"/>
      <c r="D15" s="22" t="s">
        <v>274</v>
      </c>
      <c r="E15" s="23">
        <f>Weather_Input!B7</f>
        <v>58</v>
      </c>
      <c r="F15" s="24" t="s">
        <v>275</v>
      </c>
      <c r="G15" s="25">
        <f>IF(E17&lt;65,65-(Weather_Input!B7+Weather_Input!C7)/2,0)</f>
        <v>15</v>
      </c>
      <c r="H15" s="26" t="s">
        <v>276</v>
      </c>
      <c r="I15" s="27">
        <f ca="1">G15-(VLOOKUP(B15,DD_Normal_Data,CELL("Col",B16),FALSE))</f>
        <v>9</v>
      </c>
    </row>
    <row r="16" spans="1:109" ht="15">
      <c r="A16" s="18"/>
      <c r="B16" s="20"/>
      <c r="C16" s="15"/>
      <c r="D16" s="22" t="s">
        <v>161</v>
      </c>
      <c r="E16" s="23">
        <f>Weather_Input!C7</f>
        <v>42</v>
      </c>
      <c r="F16" s="24" t="s">
        <v>277</v>
      </c>
      <c r="G16" s="25">
        <f>IF(DAY(B15)=1,G15,G11+G15)</f>
        <v>86.5</v>
      </c>
      <c r="H16" s="30" t="s">
        <v>278</v>
      </c>
      <c r="I16" s="27">
        <f ca="1">G16-(VLOOKUP(B15,DD_Normal_Data,CELL("Col",C17),FALSE))</f>
        <v>12.5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50</v>
      </c>
      <c r="F17" s="24" t="s">
        <v>280</v>
      </c>
      <c r="G17" s="25">
        <f>IF(AND(DAY(B15)=1,MONTH(B15)=8),G15,G12+G15)</f>
        <v>86.5</v>
      </c>
      <c r="H17" s="26" t="s">
        <v>280</v>
      </c>
      <c r="I17" s="27">
        <f ca="1">G17-(VLOOKUP(B15,DD_Normal_Data,CELL("Col",D14),FALSE))</f>
        <v>4.5</v>
      </c>
    </row>
    <row r="18" spans="1:109" ht="15">
      <c r="A18" s="18"/>
      <c r="B18" s="20"/>
      <c r="C18" s="15"/>
      <c r="D18" s="32" t="str">
        <f>IF(Weather_Input!I7=""," ",Weather_Input!I7)</f>
        <v>MOSTLY CLOUDY.LOW AROUND 40. HIGH AROUND 60.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37160</v>
      </c>
      <c r="C20" s="15"/>
      <c r="D20" s="22" t="s">
        <v>274</v>
      </c>
      <c r="E20" s="23">
        <f>Weather_Input!B8</f>
        <v>62</v>
      </c>
      <c r="F20" s="24" t="s">
        <v>275</v>
      </c>
      <c r="G20" s="25">
        <f>IF(E22&lt;65,65-(Weather_Input!B8+Weather_Input!C8)/2,0)</f>
        <v>11.5</v>
      </c>
      <c r="H20" s="26" t="s">
        <v>276</v>
      </c>
      <c r="I20" s="27">
        <f ca="1">G20-(VLOOKUP(B20,DD_Normal_Data,CELL("Col",B21),FALSE))</f>
        <v>5.5</v>
      </c>
    </row>
    <row r="21" spans="1:109" ht="15">
      <c r="A21" s="18"/>
      <c r="B21" s="21"/>
      <c r="C21" s="15"/>
      <c r="D21" s="22" t="s">
        <v>161</v>
      </c>
      <c r="E21" s="23">
        <f>Weather_Input!C8</f>
        <v>45</v>
      </c>
      <c r="F21" s="24" t="s">
        <v>277</v>
      </c>
      <c r="G21" s="25">
        <f>IF(DAY(B20)=1,G20,G16+G20)</f>
        <v>98</v>
      </c>
      <c r="H21" s="30" t="s">
        <v>278</v>
      </c>
      <c r="I21" s="27">
        <f ca="1">G21-(VLOOKUP(B20,DD_Normal_Data,CELL("Col",C22),FALSE))</f>
        <v>18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53.5</v>
      </c>
      <c r="F22" s="24" t="s">
        <v>280</v>
      </c>
      <c r="G22" s="25">
        <f>IF(AND(DAY(B20)=1,MONTH(B20)=8),G20,G17+G20)</f>
        <v>98</v>
      </c>
      <c r="H22" s="26" t="s">
        <v>280</v>
      </c>
      <c r="I22" s="27">
        <f ca="1">G22-(VLOOKUP(B20,DD_Normal_Data,CELL("Col",D19),FALSE))</f>
        <v>10</v>
      </c>
    </row>
    <row r="23" spans="1:109" ht="15">
      <c r="A23" s="18"/>
      <c r="B23" s="21"/>
      <c r="C23" s="15"/>
      <c r="D23" s="32" t="str">
        <f>IF(Weather_Input!I8=""," ",Weather_Input!I8)</f>
        <v>MOSTLY CLOUDY.LOW AROUND 40. HIGH AROUND 60.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37161</v>
      </c>
      <c r="C25" s="15"/>
      <c r="D25" s="22" t="s">
        <v>274</v>
      </c>
      <c r="E25" s="23">
        <f>Weather_Input!B9</f>
        <v>65</v>
      </c>
      <c r="F25" s="24" t="s">
        <v>275</v>
      </c>
      <c r="G25" s="25">
        <f>IF(E27&lt;65,65-(Weather_Input!B9+Weather_Input!C9)/2,0)</f>
        <v>8.5</v>
      </c>
      <c r="H25" s="26" t="s">
        <v>276</v>
      </c>
      <c r="I25" s="27">
        <f ca="1">G25-(VLOOKUP(B25,DD_Normal_Data,CELL("Col",B26),FALSE))</f>
        <v>2.5</v>
      </c>
    </row>
    <row r="26" spans="1:109" ht="15">
      <c r="A26" s="18"/>
      <c r="B26" s="21"/>
      <c r="C26" s="15"/>
      <c r="D26" s="22" t="s">
        <v>161</v>
      </c>
      <c r="E26" s="23">
        <f>Weather_Input!C9</f>
        <v>48</v>
      </c>
      <c r="F26" s="24" t="s">
        <v>277</v>
      </c>
      <c r="G26" s="25">
        <f>IF(DAY(B25)=1,G25,G21+G25)</f>
        <v>106.5</v>
      </c>
      <c r="H26" s="30" t="s">
        <v>278</v>
      </c>
      <c r="I26" s="27">
        <f ca="1">G26-(VLOOKUP(B25,DD_Normal_Data,CELL("Col",C27),FALSE))</f>
        <v>20.5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56.5</v>
      </c>
      <c r="F27" s="24" t="s">
        <v>280</v>
      </c>
      <c r="G27" s="25">
        <f>IF(AND(DAY(B25)=1,MONTH(B25)=8),G25,G22+G25)</f>
        <v>106.5</v>
      </c>
      <c r="H27" s="26" t="s">
        <v>280</v>
      </c>
      <c r="I27" s="27">
        <f ca="1">G27-(VLOOKUP(B25,DD_Normal_Data,CELL("Col",D24),FALSE))</f>
        <v>12.5</v>
      </c>
    </row>
    <row r="28" spans="1:109" ht="15">
      <c r="A28" s="18"/>
      <c r="B28" s="20"/>
      <c r="C28" s="15"/>
      <c r="D28" s="32" t="str">
        <f>IF(Weather_Input!I9=""," ",Weather_Input!I9)</f>
        <v>MOSTLY CLOUDY.LOW AROUND 40. HIGH AROUND 60.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37162</v>
      </c>
      <c r="C30" s="15"/>
      <c r="D30" s="22" t="s">
        <v>274</v>
      </c>
      <c r="E30" s="23">
        <f>Weather_Input!B10</f>
        <v>65</v>
      </c>
      <c r="F30" s="24" t="s">
        <v>275</v>
      </c>
      <c r="G30" s="25">
        <f>IF(E32&lt;65,65-(Weather_Input!B10+Weather_Input!C10)/2,0)</f>
        <v>8.5</v>
      </c>
      <c r="H30" s="26" t="s">
        <v>276</v>
      </c>
      <c r="I30" s="27">
        <f ca="1">G30-(VLOOKUP(B30,DD_Normal_Data,CELL("Col",B31),FALSE))</f>
        <v>1.5</v>
      </c>
    </row>
    <row r="31" spans="1:109" ht="15">
      <c r="A31" s="15"/>
      <c r="B31" s="15"/>
      <c r="C31" s="15"/>
      <c r="D31" s="22" t="s">
        <v>161</v>
      </c>
      <c r="E31" s="23">
        <f>Weather_Input!C10</f>
        <v>48</v>
      </c>
      <c r="F31" s="24" t="s">
        <v>277</v>
      </c>
      <c r="G31" s="25">
        <f>IF(DAY(B30)=1,G30,G26+G30)</f>
        <v>115</v>
      </c>
      <c r="H31" s="30" t="s">
        <v>278</v>
      </c>
      <c r="I31" s="27">
        <f ca="1">G31-(VLOOKUP(B30,DD_Normal_Data,CELL("Col",C32),FALSE))</f>
        <v>22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56.5</v>
      </c>
      <c r="F32" s="24" t="s">
        <v>280</v>
      </c>
      <c r="G32" s="25">
        <f>IF(AND(DAY(B30)=1,MONTH(B30)=8),G30,G27+G30)</f>
        <v>115</v>
      </c>
      <c r="H32" s="26" t="s">
        <v>280</v>
      </c>
      <c r="I32" s="27">
        <f ca="1">G32-(VLOOKUP(B30,DD_Normal_Data,CELL("Col",D29),FALSE))</f>
        <v>14</v>
      </c>
    </row>
    <row r="33" spans="1:9" ht="15">
      <c r="A33" s="15"/>
      <c r="B33" s="34"/>
      <c r="C33" s="15"/>
      <c r="D33" s="32" t="str">
        <f>IF(Weather_Input!I10=""," ",Weather_Input!I10)</f>
        <v>MOSTLY CLOUDY.LOW AROUND 40. HIGH AROUND 60.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37157</v>
      </c>
      <c r="C36" s="89">
        <f>B10</f>
        <v>37158</v>
      </c>
      <c r="D36" s="89">
        <f>B15</f>
        <v>37159</v>
      </c>
      <c r="E36" s="89">
        <f xml:space="preserve">       B20</f>
        <v>37160</v>
      </c>
      <c r="F36" s="89">
        <f>B25</f>
        <v>37161</v>
      </c>
      <c r="G36" s="89">
        <f>B30</f>
        <v>37162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218</v>
      </c>
      <c r="C37" s="41">
        <f ca="1">(VLOOKUP(C36,PGL_Sendouts,(CELL("COL",PGL_Deliveries!C7))))/1000</f>
        <v>285</v>
      </c>
      <c r="D37" s="41">
        <f ca="1">(VLOOKUP(D36,PGL_Sendouts,(CELL("COL",PGL_Deliveries!C8))))/1000</f>
        <v>305</v>
      </c>
      <c r="E37" s="41">
        <f ca="1">(VLOOKUP(E36,PGL_Sendouts,(CELL("COL",PGL_Deliveries!C9))))/1000</f>
        <v>285</v>
      </c>
      <c r="F37" s="41">
        <f ca="1">(VLOOKUP(F36,PGL_Sendouts,(CELL("COL",PGL_Deliveries!C10))))/1000</f>
        <v>260</v>
      </c>
      <c r="G37" s="41">
        <f ca="1">(VLOOKUP(G36,PGL_Sendouts,(CELL("COL",PGL_Deliveries!C10))))/1000</f>
        <v>240</v>
      </c>
      <c r="H37" s="14"/>
      <c r="I37" s="15"/>
    </row>
    <row r="38" spans="1:9" ht="15">
      <c r="A38" s="15" t="s">
        <v>285</v>
      </c>
      <c r="B38" s="41">
        <f>PGL_6_Day_Report!D25</f>
        <v>398.30250000000001</v>
      </c>
      <c r="C38" s="41">
        <f>PGL_6_Day_Report!E25</f>
        <v>434.8775</v>
      </c>
      <c r="D38" s="41">
        <f>PGL_6_Day_Report!F25</f>
        <v>454.8775</v>
      </c>
      <c r="E38" s="41">
        <f>PGL_6_Day_Report!G25</f>
        <v>434.8775</v>
      </c>
      <c r="F38" s="41">
        <f>PGL_6_Day_Report!H25</f>
        <v>409.8775</v>
      </c>
      <c r="G38" s="41">
        <f>PGL_6_Day_Report!I25</f>
        <v>389.8775</v>
      </c>
      <c r="H38" s="14"/>
      <c r="I38" s="15"/>
    </row>
    <row r="39" spans="1:9" ht="15">
      <c r="A39" s="42" t="s">
        <v>103</v>
      </c>
      <c r="B39" s="41">
        <f>SUM(PGL_Supplies!Y7:AD7)/1000</f>
        <v>278.85899999999998</v>
      </c>
      <c r="C39" s="41">
        <f>SUM(PGL_Supplies!Y8:AD8)/1000</f>
        <v>278.85899999999998</v>
      </c>
      <c r="D39" s="41">
        <f>SUM(PGL_Supplies!Y9:AD9)/1000</f>
        <v>273.35899999999998</v>
      </c>
      <c r="E39" s="41">
        <f>SUM(PGL_Supplies!Y10:AD10)/1000</f>
        <v>273.35899999999998</v>
      </c>
      <c r="F39" s="41">
        <f>SUM(PGL_Supplies!Y11:AD11)/1000</f>
        <v>273.35899999999998</v>
      </c>
      <c r="G39" s="41">
        <f>SUM(PGL_Supplies!Y12:AD12)/1000</f>
        <v>273.35899999999998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26.045000000000002</v>
      </c>
      <c r="C41" s="41">
        <f>SUM(PGL_Requirements!Q7:T7)/1000</f>
        <v>26.045000000000002</v>
      </c>
      <c r="D41" s="41">
        <f>SUM(PGL_Requirements!Q7:T7)/1000</f>
        <v>26.045000000000002</v>
      </c>
      <c r="E41" s="41">
        <f>SUM(PGL_Requirements!Q7:T7)/1000</f>
        <v>26.045000000000002</v>
      </c>
      <c r="F41" s="41">
        <f>SUM(PGL_Requirements!Q7:T7)/1000</f>
        <v>26.045000000000002</v>
      </c>
      <c r="G41" s="41">
        <f>SUM(PGL_Requirements!Q7:T7)/1000</f>
        <v>26.045000000000002</v>
      </c>
      <c r="H41" s="14"/>
      <c r="I41" s="15"/>
    </row>
    <row r="42" spans="1:9" ht="15">
      <c r="A42" s="15" t="s">
        <v>126</v>
      </c>
      <c r="B42" s="41">
        <f>PGL_Supplies!U7/1000</f>
        <v>140.732</v>
      </c>
      <c r="C42" s="41">
        <f>PGL_Supplies!U8/1000</f>
        <v>140.732</v>
      </c>
      <c r="D42" s="41">
        <f>PGL_Supplies!U9/1000</f>
        <v>140.732</v>
      </c>
      <c r="E42" s="41">
        <f>PGL_Supplies!U10/1000</f>
        <v>140.732</v>
      </c>
      <c r="F42" s="41">
        <f>PGL_Supplies!U11/1000</f>
        <v>140.732</v>
      </c>
      <c r="G42" s="41">
        <f>PGL_Supplies!U12/1000</f>
        <v>140.732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37157</v>
      </c>
      <c r="C44" s="89">
        <f t="shared" si="0"/>
        <v>37158</v>
      </c>
      <c r="D44" s="89">
        <f t="shared" si="0"/>
        <v>37159</v>
      </c>
      <c r="E44" s="89">
        <f t="shared" si="0"/>
        <v>37160</v>
      </c>
      <c r="F44" s="89">
        <f t="shared" si="0"/>
        <v>37161</v>
      </c>
      <c r="G44" s="89">
        <f t="shared" si="0"/>
        <v>37162</v>
      </c>
      <c r="H44" s="14"/>
      <c r="I44" s="15"/>
    </row>
    <row r="45" spans="1:9" ht="15">
      <c r="A45" s="15" t="s">
        <v>54</v>
      </c>
      <c r="B45" s="41">
        <f ca="1">NSG_6_Day_Report!D6</f>
        <v>44</v>
      </c>
      <c r="C45" s="41">
        <f ca="1">NSG_6_Day_Report!E6</f>
        <v>56</v>
      </c>
      <c r="D45" s="41">
        <f ca="1">NSG_6_Day_Report!F6</f>
        <v>60</v>
      </c>
      <c r="E45" s="41">
        <f ca="1">NSG_6_Day_Report!G6</f>
        <v>56</v>
      </c>
      <c r="F45" s="41">
        <f ca="1">NSG_6_Day_Report!H6</f>
        <v>53</v>
      </c>
      <c r="G45" s="41">
        <f ca="1">NSG_6_Day_Report!I6</f>
        <v>49</v>
      </c>
      <c r="H45" s="14"/>
      <c r="I45" s="15"/>
    </row>
    <row r="46" spans="1:9" ht="15">
      <c r="A46" s="42" t="s">
        <v>285</v>
      </c>
      <c r="B46" s="41">
        <f ca="1">NSG_6_Day_Report!D11</f>
        <v>50</v>
      </c>
      <c r="C46" s="41">
        <f ca="1">NSG_6_Day_Report!E11</f>
        <v>56</v>
      </c>
      <c r="D46" s="41">
        <f ca="1">NSG_6_Day_Report!F11</f>
        <v>60</v>
      </c>
      <c r="E46" s="41">
        <f ca="1">NSG_6_Day_Report!G11</f>
        <v>56</v>
      </c>
      <c r="F46" s="41">
        <f ca="1">NSG_6_Day_Report!H11</f>
        <v>53</v>
      </c>
      <c r="G46" s="41">
        <f ca="1">NSG_6_Day_Report!I11</f>
        <v>49</v>
      </c>
      <c r="H46" s="14"/>
      <c r="I46" s="15"/>
    </row>
    <row r="47" spans="1:9" ht="15">
      <c r="A47" s="42" t="s">
        <v>103</v>
      </c>
      <c r="B47" s="41">
        <f>SUM(NSG_Supplies!O7:Q7)/1000</f>
        <v>47.503999999999998</v>
      </c>
      <c r="C47" s="41">
        <f>SUM(NSG_Supplies!O8:Q8)/1000</f>
        <v>47.503999999999998</v>
      </c>
      <c r="D47" s="41">
        <f>SUM(NSG_Supplies!O9:Q9)/1000</f>
        <v>47.503999999999998</v>
      </c>
      <c r="E47" s="41">
        <f>SUM(NSG_Supplies!O10:Q10)/1000</f>
        <v>47.503999999999998</v>
      </c>
      <c r="F47" s="41">
        <f>SUM(NSG_Supplies!O11:Q11)/1000</f>
        <v>47.503999999999998</v>
      </c>
      <c r="G47" s="41">
        <f>SUM(NSG_Supplies!O12:Q12)/1000</f>
        <v>47.503999999999998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17.446999999999999</v>
      </c>
      <c r="C50" s="41">
        <f>NSG_Supplies!R8/1000</f>
        <v>17.446999999999999</v>
      </c>
      <c r="D50" s="41">
        <f>NSG_Supplies!R9/1000</f>
        <v>17.446999999999999</v>
      </c>
      <c r="E50" s="41">
        <f>NSG_Supplies!R10/1000</f>
        <v>17.446999999999999</v>
      </c>
      <c r="F50" s="41">
        <f>NSG_Supplies!R11/1000</f>
        <v>17.446999999999999</v>
      </c>
      <c r="G50" s="41">
        <f>NSG_Supplies!R12/1000</f>
        <v>17.446999999999999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37157</v>
      </c>
      <c r="C52" s="89">
        <f t="shared" si="1"/>
        <v>37158</v>
      </c>
      <c r="D52" s="89">
        <f t="shared" si="1"/>
        <v>37159</v>
      </c>
      <c r="E52" s="89">
        <f t="shared" si="1"/>
        <v>37160</v>
      </c>
      <c r="F52" s="89">
        <f t="shared" si="1"/>
        <v>37161</v>
      </c>
      <c r="G52" s="89">
        <f t="shared" si="1"/>
        <v>37162</v>
      </c>
      <c r="H52" s="14"/>
      <c r="I52" s="15"/>
    </row>
    <row r="53" spans="1:9" ht="15">
      <c r="A53" s="92" t="s">
        <v>289</v>
      </c>
      <c r="B53" s="41">
        <f>PGL_Requirements!O7/1000</f>
        <v>116.5</v>
      </c>
      <c r="C53" s="41">
        <f>PGL_Requirements!O8/1000</f>
        <v>116.5</v>
      </c>
      <c r="D53" s="41">
        <f>PGL_Requirements!O9/1000</f>
        <v>116.5</v>
      </c>
      <c r="E53" s="41">
        <f>PGL_Requirements!O10/1000</f>
        <v>116.5</v>
      </c>
      <c r="F53" s="41">
        <f>PGL_Requirements!O11/1000</f>
        <v>116.5</v>
      </c>
      <c r="G53" s="41">
        <f>PGL_Requirements!O12/1000</f>
        <v>116.5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6"/>
    </row>
    <row r="3" spans="1:8" ht="16.2" thickBot="1">
      <c r="A3" s="96" t="s">
        <v>295</v>
      </c>
    </row>
    <row r="4" spans="1:8">
      <c r="A4" s="97"/>
      <c r="B4" s="1027" t="str">
        <f>Six_Day_Summary!A10</f>
        <v>Monday</v>
      </c>
      <c r="C4" s="1028" t="str">
        <f>Six_Day_Summary!A15</f>
        <v>Tuesday</v>
      </c>
      <c r="D4" s="1028" t="str">
        <f>Six_Day_Summary!A20</f>
        <v>Wednesday</v>
      </c>
      <c r="E4" s="1028" t="str">
        <f>Six_Day_Summary!A25</f>
        <v>Thursday</v>
      </c>
      <c r="F4" s="1029" t="str">
        <f>Six_Day_Summary!A30</f>
        <v>Friday</v>
      </c>
      <c r="G4" s="98"/>
    </row>
    <row r="5" spans="1:8">
      <c r="A5" s="101" t="s">
        <v>296</v>
      </c>
      <c r="B5" s="1030">
        <f>Weather_Input!A6</f>
        <v>37158</v>
      </c>
      <c r="C5" s="1031">
        <f>Weather_Input!A7</f>
        <v>37159</v>
      </c>
      <c r="D5" s="1031">
        <f>Weather_Input!A8</f>
        <v>37160</v>
      </c>
      <c r="E5" s="1031">
        <f>Weather_Input!A9</f>
        <v>37161</v>
      </c>
      <c r="F5" s="1032">
        <f>Weather_Input!A10</f>
        <v>37162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25.994999999999997</v>
      </c>
      <c r="C6" s="1033">
        <f>PGL_Supplies!AB9/1000+PGL_Supplies!K9/1000-PGL_Requirements!N9/1000+C15-PGL_Requirements!S9/1000</f>
        <v>25.994999999999997</v>
      </c>
      <c r="D6" s="1033">
        <f>PGL_Supplies!AB10/1000+PGL_Supplies!K10/1000-PGL_Requirements!N10/1000+D15-PGL_Requirements!S10/1000</f>
        <v>25.994999999999997</v>
      </c>
      <c r="E6" s="1033">
        <f>PGL_Supplies!AB11/1000+PGL_Supplies!K11/1000-PGL_Requirements!N11/1000+E15-PGL_Requirements!S11/1000</f>
        <v>25.994999999999997</v>
      </c>
      <c r="F6" s="1034">
        <f>PGL_Supplies!AB12/1000+PGL_Supplies!K12/1000-PGL_Requirements!N12/1000+F15-PGL_Requirements!S12/1000</f>
        <v>25.994999999999997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6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Monday</v>
      </c>
      <c r="C21" s="1043" t="str">
        <f t="shared" si="0"/>
        <v>Tuesday</v>
      </c>
      <c r="D21" s="1043" t="str">
        <f t="shared" si="0"/>
        <v>Wednesday</v>
      </c>
      <c r="E21" s="1043" t="str">
        <f t="shared" si="0"/>
        <v>Thursday</v>
      </c>
      <c r="F21" s="1044" t="str">
        <f t="shared" si="0"/>
        <v>Friday</v>
      </c>
      <c r="G21" s="98"/>
    </row>
    <row r="22" spans="1:7">
      <c r="A22" s="105" t="s">
        <v>296</v>
      </c>
      <c r="B22" s="1045">
        <f t="shared" si="0"/>
        <v>37158</v>
      </c>
      <c r="C22" s="1045">
        <f t="shared" si="0"/>
        <v>37159</v>
      </c>
      <c r="D22" s="1045">
        <f t="shared" si="0"/>
        <v>37160</v>
      </c>
      <c r="E22" s="1045">
        <f t="shared" si="0"/>
        <v>37161</v>
      </c>
      <c r="F22" s="1046">
        <f t="shared" si="0"/>
        <v>37162</v>
      </c>
      <c r="G22" s="98"/>
    </row>
    <row r="23" spans="1:7">
      <c r="A23" s="98" t="s">
        <v>297</v>
      </c>
      <c r="B23" s="1039">
        <f>NSG_Supplies!Q8/1000+NSG_Supplies!F8/1000-NSG_Requirements!H8/1000</f>
        <v>27.504000000000001</v>
      </c>
      <c r="C23" s="1039">
        <f>NSG_Supplies!Q9/1000+NSG_Supplies!F9/1000-NSG_Requirements!H9/1000</f>
        <v>27.504000000000001</v>
      </c>
      <c r="D23" s="1039">
        <f>NSG_Supplies!Q10/1000+NSG_Supplies!F10/1000-NSG_Requirements!H10/1000</f>
        <v>27.504000000000001</v>
      </c>
      <c r="E23" s="1039">
        <f>NSG_Supplies!Q12/1000+NSG_Supplies!F11/1000-NSG_Requirements!H11/1000</f>
        <v>27.504000000000001</v>
      </c>
      <c r="F23" s="1034">
        <f>NSG_Supplies!Q12/1000+NSG_Supplies!F12/1000-NSG_Requirements!H12/1000</f>
        <v>27.504000000000001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6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 t="s">
        <v>9</v>
      </c>
      <c r="B1" s="1227" t="s">
        <v>763</v>
      </c>
      <c r="C1" s="1228">
        <f>Weather_Input!A6</f>
        <v>37158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116.5</v>
      </c>
      <c r="I4" s="173">
        <f>AVERAGE(H4/1.025)</f>
        <v>113.65853658536587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20</v>
      </c>
      <c r="D5" s="427"/>
      <c r="E5" s="1240">
        <f>AVERAGE(C5/24)</f>
        <v>0.83333333333333337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4.854166666666667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196.429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88.192999999999998</v>
      </c>
      <c r="D11" s="764"/>
      <c r="E11" s="1248"/>
      <c r="F11" s="1249" t="s">
        <v>778</v>
      </c>
      <c r="G11" s="1250">
        <f>G8+G10</f>
        <v>201.429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88.192999999999998</v>
      </c>
      <c r="D14" s="427"/>
      <c r="E14" s="1240">
        <f>AVERAGE(C14/24)</f>
        <v>3.6747083333333332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25.425000000000001</v>
      </c>
      <c r="D15" s="60"/>
      <c r="E15" s="158"/>
      <c r="F15" s="1252" t="s">
        <v>785</v>
      </c>
      <c r="G15" s="1250">
        <f>SUM(G11)-G16-G17-H13</f>
        <v>201.429</v>
      </c>
      <c r="H15" s="427" t="s">
        <v>9</v>
      </c>
      <c r="I15" s="1240">
        <f>AVERAGE(G15/24)</f>
        <v>8.3928750000000001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25.425000000000001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25.425000000000001</v>
      </c>
      <c r="D20" s="1260" t="s">
        <v>9</v>
      </c>
      <c r="E20" s="1240">
        <f>AVERAGE(C20/24)</f>
        <v>1.059375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1.01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1.01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1.01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2" customWidth="1"/>
    <col min="2" max="2" width="8.08984375" style="952" customWidth="1"/>
    <col min="3" max="3" width="7.90625" style="952" customWidth="1"/>
    <col min="4" max="4" width="5.90625" style="952" customWidth="1"/>
    <col min="5" max="5" width="4.453125" style="952" customWidth="1"/>
    <col min="6" max="6" width="5.1796875" style="952" customWidth="1"/>
    <col min="7" max="7" width="9" style="952" customWidth="1"/>
    <col min="8" max="11" width="8.90625" style="952"/>
    <col min="12" max="12" width="14.90625" style="952" customWidth="1"/>
    <col min="13" max="13" width="5.6328125" style="952" customWidth="1"/>
    <col min="14" max="16384" width="8.90625" style="952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37158</v>
      </c>
      <c r="I1" s="887"/>
      <c r="J1" s="889"/>
      <c r="K1" s="889"/>
    </row>
    <row r="2" spans="1:22" ht="16.5" customHeight="1">
      <c r="A2" s="907" t="s">
        <v>606</v>
      </c>
      <c r="C2" s="953">
        <v>330</v>
      </c>
      <c r="F2" s="954">
        <v>330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20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3</v>
      </c>
      <c r="H9" s="909">
        <f>NSG_Supplies!Q8/1000+NSG_Supplies!F8/1000-NSG_Requirements!H8/1000</f>
        <v>27.504000000000001</v>
      </c>
      <c r="I9" s="958"/>
      <c r="K9" s="887" t="s">
        <v>610</v>
      </c>
      <c r="L9" s="909">
        <f>NSG_Deliveries!C6/1000</f>
        <v>56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25.425000000000001</v>
      </c>
      <c r="B11" s="958"/>
      <c r="H11" s="909">
        <f>NSG_Supplies!T8/1000</f>
        <v>0</v>
      </c>
      <c r="K11" s="890" t="s">
        <v>611</v>
      </c>
      <c r="L11" s="915">
        <f>SUM(K4+K17+K19+H11+H9-L9)</f>
        <v>-8.4959999999999951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6">
        <f>PGL_Supplies!X8/1000</f>
        <v>88.192999999999998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2" t="s">
        <v>9</v>
      </c>
      <c r="C15" s="959">
        <v>330</v>
      </c>
      <c r="D15" s="952">
        <v>410</v>
      </c>
      <c r="F15" s="959">
        <v>330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570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201.429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285</v>
      </c>
      <c r="L26" s="887" t="s">
        <v>610</v>
      </c>
      <c r="M26" s="909">
        <f>NSG_Deliveries!C6/1000</f>
        <v>56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202.54700000000003</v>
      </c>
      <c r="L28" s="890" t="s">
        <v>650</v>
      </c>
      <c r="M28" s="915">
        <f>SUM(J2+K17+K19+H11+H9-M26)</f>
        <v>-8.4959999999999951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37157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25.994999999999997</v>
      </c>
    </row>
    <row r="30" spans="1:17" ht="10.5" customHeight="1">
      <c r="A30" s="892"/>
      <c r="B30" s="909"/>
      <c r="C30" s="890"/>
      <c r="D30" s="909"/>
      <c r="F30" s="1006">
        <f>PGL_Requirements!A8</f>
        <v>37158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-56.45799999999997</v>
      </c>
    </row>
    <row r="32" spans="1:17">
      <c r="A32" s="909">
        <f>PGL_Supplies!G8/1000</f>
        <v>1</v>
      </c>
      <c r="G32" s="909">
        <f>PGL_Requirements!O8/1000</f>
        <v>116.5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580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319.04700000000003</v>
      </c>
      <c r="B40" s="903"/>
      <c r="C40" s="902"/>
      <c r="D40" s="903"/>
      <c r="E40" s="903"/>
      <c r="F40" s="969"/>
      <c r="G40" s="969">
        <f>SUM(G30:G35)</f>
        <v>116.5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202.54700000000003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330</v>
      </c>
      <c r="E45" s="974"/>
      <c r="F45" s="975">
        <v>6.7000000000000004E-2</v>
      </c>
      <c r="G45" s="976">
        <f>(C45-D45)*F45</f>
        <v>5.36</v>
      </c>
      <c r="H45" s="976">
        <f>(D45-B45)*F45</f>
        <v>5.36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330</v>
      </c>
      <c r="E47" s="974"/>
      <c r="F47" s="975">
        <v>0.14099999999999999</v>
      </c>
      <c r="G47" s="976">
        <f>(C47-D47)*F47</f>
        <v>11.28</v>
      </c>
      <c r="H47" s="976">
        <f>(D47-B47)*F47</f>
        <v>11.28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575</v>
      </c>
      <c r="E48" s="974"/>
      <c r="F48" s="975">
        <v>0.161</v>
      </c>
      <c r="G48" s="976">
        <f>(C48-D48)*F48</f>
        <v>28.175000000000001</v>
      </c>
      <c r="H48" s="976">
        <f>(D48-B48)*F48</f>
        <v>44.274999999999999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44.814999999999998</v>
      </c>
      <c r="H49" s="976">
        <f>SUM(H45:H48)</f>
        <v>60.914999999999999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37157</v>
      </c>
      <c r="B5" s="11">
        <v>65</v>
      </c>
      <c r="C5" s="49">
        <v>45</v>
      </c>
      <c r="D5" s="49">
        <v>20</v>
      </c>
      <c r="E5" s="11" t="s">
        <v>820</v>
      </c>
      <c r="F5" s="11">
        <v>54</v>
      </c>
      <c r="G5" s="11">
        <v>54</v>
      </c>
      <c r="H5" s="11">
        <v>7</v>
      </c>
      <c r="I5" s="867" t="s">
        <v>821</v>
      </c>
      <c r="J5" s="867" t="s">
        <v>822</v>
      </c>
      <c r="K5" s="11">
        <v>3</v>
      </c>
      <c r="L5" s="11">
        <v>1</v>
      </c>
      <c r="N5" s="15" t="str">
        <f>I5&amp;" "&amp;I5</f>
        <v xml:space="preserve">MOSTLY CLOUDY WITH A CHANCE OF SHOWERS AND T-STORMS LIKELY. HIGH  MOSTLY CLOUDY WITH A CHANCE OF SHOWERS AND T-STORMS LIKELY. HIGH </v>
      </c>
      <c r="AE5" s="15">
        <v>1</v>
      </c>
      <c r="AH5" s="15" t="s">
        <v>32</v>
      </c>
    </row>
    <row r="6" spans="1:34" ht="16.5" customHeight="1">
      <c r="A6" s="86">
        <f>A5+1</f>
        <v>37158</v>
      </c>
      <c r="B6" s="11">
        <v>55</v>
      </c>
      <c r="C6" s="49">
        <v>40</v>
      </c>
      <c r="D6" s="49">
        <v>20</v>
      </c>
      <c r="E6" s="11" t="s">
        <v>9</v>
      </c>
      <c r="F6" s="11" t="s">
        <v>9</v>
      </c>
      <c r="G6" s="11"/>
      <c r="H6" s="11" t="s">
        <v>9</v>
      </c>
      <c r="I6" s="867" t="s">
        <v>823</v>
      </c>
      <c r="J6" s="867" t="s">
        <v>9</v>
      </c>
      <c r="K6" s="11">
        <v>2</v>
      </c>
      <c r="L6" s="11" t="s">
        <v>558</v>
      </c>
      <c r="N6" s="15" t="str">
        <f>I6&amp;" "&amp;J6</f>
        <v xml:space="preserve">CHANCE OF SHOWERS. HIGH IN THE UPPER 50S.  </v>
      </c>
      <c r="AE6" s="15">
        <v>1</v>
      </c>
      <c r="AH6" s="15" t="s">
        <v>33</v>
      </c>
    </row>
    <row r="7" spans="1:34" ht="16.5" customHeight="1">
      <c r="A7" s="86">
        <f>A6+1</f>
        <v>37159</v>
      </c>
      <c r="B7" s="11">
        <v>58</v>
      </c>
      <c r="C7" s="49">
        <v>42</v>
      </c>
      <c r="D7" s="49">
        <v>15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MOSTLY CLOUDY.LOW AROUND 40. HIGH AROUND 60.  </v>
      </c>
    </row>
    <row r="8" spans="1:34" ht="16.5" customHeight="1">
      <c r="A8" s="86">
        <f>A7+1</f>
        <v>37160</v>
      </c>
      <c r="B8" s="11">
        <v>62</v>
      </c>
      <c r="C8" s="49">
        <v>45</v>
      </c>
      <c r="D8" s="49">
        <v>12</v>
      </c>
      <c r="E8" s="11" t="s">
        <v>9</v>
      </c>
      <c r="F8" s="11" t="s">
        <v>9</v>
      </c>
      <c r="G8" s="11"/>
      <c r="H8" s="11" t="s">
        <v>9</v>
      </c>
      <c r="I8" s="867" t="s">
        <v>824</v>
      </c>
      <c r="J8" s="867" t="s">
        <v>9</v>
      </c>
      <c r="K8" s="11">
        <v>6</v>
      </c>
      <c r="L8" s="11"/>
      <c r="N8" s="15" t="str">
        <f>I8&amp;" "&amp;J8</f>
        <v xml:space="preserve">MOSTLY CLOUDY.LOW AROUND 40. HIGH AROUND 60.  </v>
      </c>
    </row>
    <row r="9" spans="1:34" ht="16.5" customHeight="1">
      <c r="A9" s="86">
        <f>A8+1</f>
        <v>37161</v>
      </c>
      <c r="B9" s="11">
        <v>65</v>
      </c>
      <c r="C9" s="49">
        <v>48</v>
      </c>
      <c r="D9" s="49">
        <v>8</v>
      </c>
      <c r="E9" s="11" t="s">
        <v>9</v>
      </c>
      <c r="F9" s="11" t="s">
        <v>9</v>
      </c>
      <c r="G9" s="11"/>
      <c r="H9" s="11" t="s">
        <v>9</v>
      </c>
      <c r="I9" s="867" t="s">
        <v>824</v>
      </c>
      <c r="J9" s="867" t="s">
        <v>9</v>
      </c>
      <c r="K9" s="11">
        <v>5</v>
      </c>
      <c r="L9" s="11">
        <v>0</v>
      </c>
      <c r="M9" s="87"/>
      <c r="N9" s="15" t="str">
        <f>I9&amp;" "&amp;J9</f>
        <v xml:space="preserve">MOSTLY CLOUDY.LOW AROUND 40. HIGH AROUND 60.  </v>
      </c>
    </row>
    <row r="10" spans="1:34" ht="16.5" customHeight="1">
      <c r="A10" s="86">
        <f>A9+1</f>
        <v>37162</v>
      </c>
      <c r="B10" s="11">
        <v>65</v>
      </c>
      <c r="C10" s="49">
        <v>48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67" t="s">
        <v>824</v>
      </c>
      <c r="J10" s="867" t="s">
        <v>9</v>
      </c>
      <c r="K10" s="11">
        <v>2</v>
      </c>
      <c r="L10" s="11" t="s">
        <v>382</v>
      </c>
      <c r="N10" s="15" t="str">
        <f>I10&amp;" "&amp;J10</f>
        <v xml:space="preserve">MOSTLY CLOUDY.LOW AROUND 40. HIGH AROUND 60.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1.8819999999999999</v>
      </c>
      <c r="C2" s="60"/>
      <c r="D2" s="118" t="s">
        <v>309</v>
      </c>
      <c r="E2" s="417">
        <f>Weather_Input!A5</f>
        <v>37157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88.05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18.268000000000001</v>
      </c>
      <c r="C12" s="63"/>
      <c r="D12" s="115" t="s">
        <v>198</v>
      </c>
      <c r="E12" s="151">
        <f>PGL_Deliveries!T5/1000</f>
        <v>1.41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0.47199999999999998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200.34299999999999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-116.492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37.216000000000001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7" t="s">
        <v>529</v>
      </c>
      <c r="B21" s="866">
        <f>SUM(B8:B20)-C17-C19-C20</f>
        <v>152.95299999999997</v>
      </c>
      <c r="C21" s="1268"/>
      <c r="D21" s="175" t="s">
        <v>530</v>
      </c>
      <c r="E21" s="174">
        <f>SUM(E7:E20)</f>
        <v>1.8819999999999999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88.192999999999998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0.1</v>
      </c>
      <c r="C23" s="63"/>
      <c r="D23" s="115" t="s">
        <v>174</v>
      </c>
      <c r="E23" s="151">
        <f>PGL_Deliveries!AY5/1000+B44</f>
        <v>1.7443499999999998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3.6263499999999995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88.292999999999992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25.425000000000001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25.425000000000001</v>
      </c>
      <c r="D27" s="242" t="s">
        <v>538</v>
      </c>
      <c r="E27" s="60" t="s">
        <v>9</v>
      </c>
      <c r="F27" s="173">
        <f>PGL_Deliveries!AS5/1000</f>
        <v>32.619999999999997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55.994999999999997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5">
        <f>PGL_Supplies!AC7/1000</f>
        <v>1.01</v>
      </c>
      <c r="C32" s="63"/>
      <c r="D32" s="1271" t="s">
        <v>209</v>
      </c>
      <c r="E32" s="220">
        <f>SUM(E25:E31)-SUM(F26:F31)-E29</f>
        <v>23.375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196.429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116.29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0.41799999999999998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65</v>
      </c>
      <c r="F45" s="1116"/>
    </row>
    <row r="46" spans="1:13" ht="15">
      <c r="A46" s="169" t="s">
        <v>548</v>
      </c>
      <c r="B46" s="151">
        <f>PGL_Deliveries!AY5/1000</f>
        <v>1.7443499999999998</v>
      </c>
      <c r="C46" s="63"/>
      <c r="D46" s="169" t="s">
        <v>550</v>
      </c>
      <c r="E46" s="230">
        <f>Weather_Input!C5</f>
        <v>45</v>
      </c>
      <c r="F46" s="158"/>
    </row>
    <row r="47" spans="1:13" ht="15">
      <c r="A47" s="172" t="s">
        <v>655</v>
      </c>
      <c r="B47" s="67"/>
      <c r="C47" s="1202">
        <f>PGL_Requirements!Q7/1000</f>
        <v>0.62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20</v>
      </c>
      <c r="F48" s="158"/>
    </row>
    <row r="49" spans="1:6" ht="15">
      <c r="A49" s="169" t="s">
        <v>683</v>
      </c>
      <c r="B49" s="151">
        <f>PGL_Deliveries!AL5/1000</f>
        <v>18.268000000000001</v>
      </c>
      <c r="C49" s="158"/>
      <c r="D49" s="169" t="s">
        <v>553</v>
      </c>
      <c r="E49" s="151">
        <f>PGL_Deliveries!AO5/1000</f>
        <v>1.0189999999999999</v>
      </c>
      <c r="F49" s="158"/>
    </row>
    <row r="50" spans="1:6" ht="15.6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37157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13.568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27.504000000000001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0.54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0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26.964000000000002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202.32900000000001</v>
      </c>
      <c r="E5" s="1263">
        <f>SUM(PGL_Nine_to_Nine!F24)*2</f>
        <v>0</v>
      </c>
      <c r="G5" s="1263">
        <f>SUM(C5-E5)</f>
        <v>202.32900000000001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37157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37156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89203</v>
      </c>
      <c r="O6" s="199">
        <v>0</v>
      </c>
      <c r="P6" s="199">
        <v>57696418</v>
      </c>
      <c r="Q6" s="199">
        <v>15045098</v>
      </c>
      <c r="R6" s="199">
        <v>42651320</v>
      </c>
      <c r="S6" s="199">
        <v>0</v>
      </c>
    </row>
    <row r="7" spans="1:19">
      <c r="A7" s="4">
        <f>B1</f>
        <v>37157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89203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57785621</v>
      </c>
      <c r="Q7">
        <f>IF(O7&gt;0,Q6+O7,Q6)</f>
        <v>15045098</v>
      </c>
      <c r="R7">
        <f>IF(P7&gt;Q7,P7-Q7,0)</f>
        <v>42740523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37157</v>
      </c>
      <c r="B5" s="1">
        <f>(Weather_Input!B5+Weather_Input!C5)/2</f>
        <v>55</v>
      </c>
      <c r="C5" s="868">
        <v>218000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472</v>
      </c>
      <c r="T5" s="874">
        <v>1410</v>
      </c>
      <c r="U5" s="1047">
        <v>0</v>
      </c>
      <c r="V5" s="868">
        <f>SUM(D5:T5)-U5</f>
        <v>1882</v>
      </c>
      <c r="W5" s="868">
        <v>88050</v>
      </c>
      <c r="X5" s="11">
        <v>0</v>
      </c>
      <c r="Y5" s="11">
        <v>0</v>
      </c>
      <c r="Z5" s="11">
        <v>0</v>
      </c>
      <c r="AA5" s="11">
        <v>200343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18268</v>
      </c>
      <c r="AM5" s="11">
        <v>0</v>
      </c>
      <c r="AN5" s="11">
        <v>0</v>
      </c>
      <c r="AO5" s="1">
        <v>1019</v>
      </c>
      <c r="AP5" s="1"/>
      <c r="AQ5" s="1">
        <v>37216</v>
      </c>
      <c r="AR5" s="1">
        <v>0</v>
      </c>
      <c r="AS5" s="1">
        <v>32620</v>
      </c>
      <c r="AT5" s="1">
        <v>0</v>
      </c>
      <c r="AU5" s="1">
        <v>0</v>
      </c>
      <c r="AV5" s="1">
        <v>418</v>
      </c>
      <c r="AW5" s="1">
        <v>116290</v>
      </c>
      <c r="AX5" s="1">
        <v>620</v>
      </c>
      <c r="AY5" s="610">
        <f>AW5*0.015</f>
        <v>1744.35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37158</v>
      </c>
      <c r="B6" s="886">
        <f>(Weather_Input!B6+Weather_Input!C6)/2</f>
        <v>47.5</v>
      </c>
      <c r="C6" s="868">
        <v>285000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37159</v>
      </c>
      <c r="B7" s="886">
        <f>(Weather_Input!B7+Weather_Input!C7)/2</f>
        <v>50</v>
      </c>
      <c r="C7" s="868">
        <v>305000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37160</v>
      </c>
      <c r="B8" s="886">
        <f>(Weather_Input!B8+Weather_Input!C8)/2</f>
        <v>53.5</v>
      </c>
      <c r="C8" s="868">
        <v>285000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37161</v>
      </c>
      <c r="B9" s="886">
        <f>(Weather_Input!B9+Weather_Input!C9)/2</f>
        <v>56.5</v>
      </c>
      <c r="C9" s="868">
        <v>260000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37162</v>
      </c>
      <c r="B10" s="886">
        <f>(Weather_Input!B10+Weather_Input!C10)/2</f>
        <v>56.5</v>
      </c>
      <c r="C10" s="868">
        <v>240000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37157</v>
      </c>
      <c r="B5" s="1">
        <f>(Weather_Input!B5+Weather_Input!C5)/2</f>
        <v>55</v>
      </c>
      <c r="C5" s="868">
        <v>44000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1005</v>
      </c>
      <c r="J5" s="1" t="s">
        <v>9</v>
      </c>
      <c r="K5" s="1">
        <v>540</v>
      </c>
      <c r="L5" s="1">
        <v>0</v>
      </c>
      <c r="M5" s="1">
        <v>13568</v>
      </c>
      <c r="N5" s="1">
        <v>0</v>
      </c>
    </row>
    <row r="6" spans="1:14">
      <c r="A6" s="12">
        <f>A5+1</f>
        <v>37158</v>
      </c>
      <c r="B6" s="886">
        <f>(Weather_Input!B6+Weather_Input!C6)/2</f>
        <v>47.5</v>
      </c>
      <c r="C6" s="868">
        <v>56000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37159</v>
      </c>
      <c r="B7" s="886">
        <f>(Weather_Input!B7+Weather_Input!C7)/2</f>
        <v>50</v>
      </c>
      <c r="C7" s="868">
        <v>60000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37160</v>
      </c>
      <c r="B8" s="886">
        <f>(Weather_Input!B8+Weather_Input!C8)/2</f>
        <v>53.5</v>
      </c>
      <c r="C8" s="868">
        <v>56000</v>
      </c>
      <c r="D8" s="871" t="s">
        <v>9</v>
      </c>
      <c r="E8" s="871"/>
      <c r="F8" s="871"/>
      <c r="G8" s="871"/>
      <c r="H8" s="15"/>
    </row>
    <row r="9" spans="1:14">
      <c r="A9" s="12">
        <f>A8+1</f>
        <v>37161</v>
      </c>
      <c r="B9" s="886">
        <f>(Weather_Input!B9+Weather_Input!C9)/2</f>
        <v>56.5</v>
      </c>
      <c r="C9" s="868">
        <v>53000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37162</v>
      </c>
      <c r="B10" s="886">
        <f>(Weather_Input!B10+Weather_Input!C10)/2</f>
        <v>56.5</v>
      </c>
      <c r="C10" s="868">
        <v>49000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20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3" width="9" bestFit="1" customWidth="1"/>
    <col min="34" max="34" width="10.08984375" bestFit="1" customWidth="1"/>
  </cols>
  <sheetData>
    <row r="1" spans="1:87" ht="15.6">
      <c r="A1" s="10"/>
      <c r="B1" s="5"/>
      <c r="C1" s="5"/>
      <c r="D1" s="5"/>
      <c r="E1" s="5"/>
      <c r="F1" s="5"/>
      <c r="G1" s="5"/>
    </row>
    <row r="2" spans="1:87" s="1" customFormat="1" ht="13.2">
      <c r="A2" s="10"/>
      <c r="B2" s="10"/>
      <c r="C2" s="10"/>
      <c r="D2" s="10"/>
      <c r="E2" s="10"/>
      <c r="F2" s="10"/>
      <c r="G2" s="10"/>
    </row>
    <row r="3" spans="1:87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3.2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3.2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3.2">
      <c r="A7" s="798">
        <f>Weather_Input!A5</f>
        <v>37157</v>
      </c>
      <c r="B7" s="877">
        <v>0</v>
      </c>
      <c r="C7" s="608">
        <v>0</v>
      </c>
      <c r="D7" s="608">
        <v>0</v>
      </c>
      <c r="E7" s="877">
        <v>1010</v>
      </c>
      <c r="F7" s="877">
        <v>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35000</v>
      </c>
      <c r="O7" s="608">
        <v>116500</v>
      </c>
      <c r="P7" s="610">
        <f t="shared" ref="P7:P12" si="0">O7*0.015</f>
        <v>1747.5</v>
      </c>
      <c r="Q7" s="608">
        <v>620</v>
      </c>
      <c r="R7" s="608">
        <v>0</v>
      </c>
      <c r="S7" s="608">
        <v>0</v>
      </c>
      <c r="T7" s="607">
        <v>25425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3.2">
      <c r="A8" s="798">
        <f>A7+1</f>
        <v>37158</v>
      </c>
      <c r="B8" s="877">
        <v>0</v>
      </c>
      <c r="C8" s="608">
        <v>0</v>
      </c>
      <c r="D8" s="608">
        <v>0</v>
      </c>
      <c r="E8" s="877">
        <v>1010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30000</v>
      </c>
      <c r="O8" s="608">
        <v>116500</v>
      </c>
      <c r="P8" s="610">
        <f t="shared" si="0"/>
        <v>1747.5</v>
      </c>
      <c r="Q8" s="608">
        <v>620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3.2">
      <c r="A9" s="798">
        <f>A8+1</f>
        <v>37159</v>
      </c>
      <c r="B9" s="877">
        <v>0</v>
      </c>
      <c r="C9" s="608">
        <v>0</v>
      </c>
      <c r="D9" s="608">
        <v>0</v>
      </c>
      <c r="E9" s="877">
        <v>1010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30000</v>
      </c>
      <c r="O9" s="608">
        <v>116500</v>
      </c>
      <c r="P9" s="610">
        <f t="shared" si="0"/>
        <v>1747.5</v>
      </c>
      <c r="Q9" s="608">
        <v>620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3.2">
      <c r="A10" s="798">
        <f>A9+1</f>
        <v>37160</v>
      </c>
      <c r="B10" s="877">
        <v>0</v>
      </c>
      <c r="C10" s="608">
        <v>0</v>
      </c>
      <c r="D10" s="608">
        <v>0</v>
      </c>
      <c r="E10" s="877">
        <v>1010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30000</v>
      </c>
      <c r="O10" s="608">
        <v>116500</v>
      </c>
      <c r="P10" s="610">
        <f t="shared" si="0"/>
        <v>1747.5</v>
      </c>
      <c r="Q10" s="608">
        <v>620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3.2">
      <c r="A11" s="798">
        <f>A10+1</f>
        <v>37161</v>
      </c>
      <c r="B11" s="877">
        <v>0</v>
      </c>
      <c r="C11" s="608">
        <v>0</v>
      </c>
      <c r="D11" s="608">
        <v>0</v>
      </c>
      <c r="E11" s="877">
        <v>1010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30000</v>
      </c>
      <c r="O11" s="608">
        <v>116500</v>
      </c>
      <c r="P11" s="610">
        <f t="shared" si="0"/>
        <v>1747.5</v>
      </c>
      <c r="Q11" s="608">
        <v>620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3.2">
      <c r="A12" s="798">
        <f>A11+1</f>
        <v>37162</v>
      </c>
      <c r="B12" s="877">
        <v>0</v>
      </c>
      <c r="C12" s="608">
        <v>0</v>
      </c>
      <c r="D12" s="608">
        <v>0</v>
      </c>
      <c r="E12" s="877">
        <v>1010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30000</v>
      </c>
      <c r="O12" s="608">
        <v>116500</v>
      </c>
      <c r="P12" s="610">
        <f t="shared" si="0"/>
        <v>1747.5</v>
      </c>
      <c r="Q12" s="608">
        <v>620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4:19">
      <c r="S17" s="608"/>
    </row>
    <row r="20" spans="14:19">
      <c r="N20" t="s">
        <v>825</v>
      </c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37157</v>
      </c>
      <c r="B7" s="610">
        <v>4250</v>
      </c>
      <c r="C7" s="610">
        <v>0</v>
      </c>
      <c r="D7" s="610">
        <v>900</v>
      </c>
      <c r="E7" s="610">
        <v>0</v>
      </c>
      <c r="F7" s="877">
        <v>0</v>
      </c>
      <c r="G7" s="608">
        <v>1000</v>
      </c>
      <c r="H7" s="608">
        <v>20000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10000</v>
      </c>
      <c r="S7" s="1266">
        <v>5000</v>
      </c>
      <c r="T7" s="608">
        <v>0</v>
      </c>
      <c r="U7" s="609">
        <v>140732</v>
      </c>
      <c r="V7" s="609">
        <v>0</v>
      </c>
      <c r="W7" s="607">
        <v>100</v>
      </c>
      <c r="X7" s="880">
        <v>88193</v>
      </c>
      <c r="Y7" s="609">
        <v>25425</v>
      </c>
      <c r="Z7" s="1">
        <v>0</v>
      </c>
      <c r="AA7" s="607">
        <v>196429</v>
      </c>
      <c r="AB7" s="607">
        <v>55995</v>
      </c>
      <c r="AC7" s="607">
        <v>1010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37158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10000</v>
      </c>
      <c r="S8" s="1266">
        <v>5000</v>
      </c>
      <c r="T8" s="608">
        <v>0</v>
      </c>
      <c r="U8" s="609">
        <v>140732</v>
      </c>
      <c r="V8" s="609">
        <v>0</v>
      </c>
      <c r="W8" s="607">
        <v>0</v>
      </c>
      <c r="X8" s="880">
        <v>88193</v>
      </c>
      <c r="Y8" s="609">
        <v>25425</v>
      </c>
      <c r="Z8" s="1">
        <v>0</v>
      </c>
      <c r="AA8" s="607">
        <v>196429</v>
      </c>
      <c r="AB8" s="607">
        <v>55995</v>
      </c>
      <c r="AC8" s="607">
        <v>1010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37159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140732</v>
      </c>
      <c r="V9" s="609">
        <v>0</v>
      </c>
      <c r="W9" s="607">
        <v>0</v>
      </c>
      <c r="X9" s="880">
        <v>88193</v>
      </c>
      <c r="Y9" s="609">
        <v>25425</v>
      </c>
      <c r="Z9" s="1">
        <v>0</v>
      </c>
      <c r="AA9" s="607">
        <v>190929</v>
      </c>
      <c r="AB9" s="607">
        <v>55995</v>
      </c>
      <c r="AC9" s="607">
        <v>1010</v>
      </c>
      <c r="AD9" s="880">
        <v>0</v>
      </c>
      <c r="AE9" s="798">
        <f t="shared" si="0"/>
        <v>3</v>
      </c>
    </row>
    <row r="10" spans="1:36">
      <c r="A10" s="798">
        <f>A9+1</f>
        <v>37160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140732</v>
      </c>
      <c r="V10" s="609">
        <v>0</v>
      </c>
      <c r="W10" s="607">
        <v>0</v>
      </c>
      <c r="X10" s="880">
        <v>88193</v>
      </c>
      <c r="Y10" s="609">
        <v>25425</v>
      </c>
      <c r="Z10" s="1">
        <v>0</v>
      </c>
      <c r="AA10" s="607">
        <v>190929</v>
      </c>
      <c r="AB10" s="607">
        <v>55995</v>
      </c>
      <c r="AC10" s="607">
        <v>1010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37161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140732</v>
      </c>
      <c r="V11" s="609">
        <v>0</v>
      </c>
      <c r="W11" s="607">
        <v>0</v>
      </c>
      <c r="X11" s="880">
        <v>88193</v>
      </c>
      <c r="Y11" s="609">
        <v>25425</v>
      </c>
      <c r="Z11" s="1">
        <v>0</v>
      </c>
      <c r="AA11" s="607">
        <v>190929</v>
      </c>
      <c r="AB11" s="607">
        <v>55995</v>
      </c>
      <c r="AC11" s="607">
        <v>1010</v>
      </c>
      <c r="AD11" s="880">
        <v>0</v>
      </c>
      <c r="AE11" s="798">
        <f t="shared" si="0"/>
        <v>5</v>
      </c>
    </row>
    <row r="12" spans="1:36">
      <c r="A12" s="798">
        <f>A11+1</f>
        <v>37162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140732</v>
      </c>
      <c r="V12" s="609">
        <v>0</v>
      </c>
      <c r="W12" s="607">
        <v>0</v>
      </c>
      <c r="X12" s="880">
        <v>88193</v>
      </c>
      <c r="Y12" s="609">
        <v>25425</v>
      </c>
      <c r="Z12" s="1">
        <v>0</v>
      </c>
      <c r="AA12" s="607">
        <v>190929</v>
      </c>
      <c r="AB12" s="607">
        <v>55995</v>
      </c>
      <c r="AC12" s="607">
        <v>1010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37157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6000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9">
        <f>Weather_Input!A5</f>
        <v>37157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37158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37158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37159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37159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37160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37160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37161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37161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37162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37162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37157</v>
      </c>
      <c r="B7" s="610">
        <v>0</v>
      </c>
      <c r="C7" s="611">
        <v>0</v>
      </c>
      <c r="D7" s="610">
        <v>0</v>
      </c>
      <c r="E7" s="610">
        <v>0</v>
      </c>
      <c r="F7" s="610">
        <v>2500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27504</v>
      </c>
      <c r="R7" s="610">
        <v>17447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37158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27504</v>
      </c>
      <c r="R8" s="610">
        <v>17447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37159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27504</v>
      </c>
      <c r="R9" s="610">
        <v>17447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37160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27504</v>
      </c>
      <c r="R10" s="610">
        <v>17447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37161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27504</v>
      </c>
      <c r="R11" s="610">
        <v>17447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37162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27504</v>
      </c>
      <c r="R12" s="610">
        <v>17447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SUN</v>
      </c>
      <c r="I1" s="803">
        <f>D4</f>
        <v>37157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SUN</v>
      </c>
      <c r="E3" s="808" t="str">
        <f t="shared" si="0"/>
        <v>MON</v>
      </c>
      <c r="F3" s="808" t="str">
        <f t="shared" si="0"/>
        <v>TUE</v>
      </c>
      <c r="G3" s="808" t="str">
        <f t="shared" si="0"/>
        <v>WED</v>
      </c>
      <c r="H3" s="808" t="str">
        <f t="shared" si="0"/>
        <v>THU</v>
      </c>
      <c r="I3" s="809" t="str">
        <f t="shared" si="0"/>
        <v>FRI</v>
      </c>
    </row>
    <row r="4" spans="1:256" ht="18.899999999999999" customHeight="1" thickBot="1">
      <c r="A4" s="810"/>
      <c r="B4" s="811"/>
      <c r="C4" s="811"/>
      <c r="D4" s="449">
        <f>Weather_Input!A5</f>
        <v>37157</v>
      </c>
      <c r="E4" s="449">
        <f>Weather_Input!A6</f>
        <v>37158</v>
      </c>
      <c r="F4" s="449">
        <f>Weather_Input!A7</f>
        <v>37159</v>
      </c>
      <c r="G4" s="449">
        <f>Weather_Input!A8</f>
        <v>37160</v>
      </c>
      <c r="H4" s="449">
        <f>Weather_Input!A9</f>
        <v>37161</v>
      </c>
      <c r="I4" s="450">
        <f>Weather_Input!A10</f>
        <v>37162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65/45/55</v>
      </c>
      <c r="E5" s="451" t="str">
        <f>TEXT(Weather_Input!B6,"0")&amp;"/"&amp;TEXT(Weather_Input!C6,"0") &amp; "/" &amp; TEXT((Weather_Input!B6+Weather_Input!C6)/2,"0")</f>
        <v>55/40/48</v>
      </c>
      <c r="F5" s="451" t="str">
        <f>TEXT(Weather_Input!B7,"0")&amp;"/"&amp;TEXT(Weather_Input!C7,"0") &amp; "/" &amp; TEXT((Weather_Input!B7+Weather_Input!C7)/2,"0")</f>
        <v>58/42/50</v>
      </c>
      <c r="G5" s="451" t="str">
        <f>TEXT(Weather_Input!B8,"0")&amp;"/"&amp;TEXT(Weather_Input!C8,"0") &amp; "/" &amp; TEXT((Weather_Input!B8+Weather_Input!C8)/2,"0")</f>
        <v>62/45/54</v>
      </c>
      <c r="H5" s="451" t="str">
        <f>TEXT(Weather_Input!B9,"0")&amp;"/"&amp;TEXT(Weather_Input!C9,"0") &amp; "/" &amp; TEXT((Weather_Input!B9+Weather_Input!C9)/2,"0")</f>
        <v>65/48/57</v>
      </c>
      <c r="I5" s="452" t="str">
        <f>TEXT(Weather_Input!B10,"0")&amp;"/"&amp;TEXT(Weather_Input!C10,"0") &amp; "/" &amp; TEXT((Weather_Input!B10+Weather_Input!C10)/2,"0")</f>
        <v>65/48/57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218</v>
      </c>
      <c r="E6" s="451">
        <f>PGL_Deliveries!C6/1000</f>
        <v>285</v>
      </c>
      <c r="F6" s="451">
        <f>PGL_Deliveries!C7/1000</f>
        <v>305</v>
      </c>
      <c r="G6" s="451">
        <f>PGL_Deliveries!C8/1000</f>
        <v>285</v>
      </c>
      <c r="H6" s="451">
        <f>PGL_Deliveries!C9/1000</f>
        <v>260</v>
      </c>
      <c r="I6" s="452">
        <f>PGL_Deliveries!C10/1000</f>
        <v>240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116.5</v>
      </c>
      <c r="E11" s="451">
        <f>PGL_Requirements!O8/1000</f>
        <v>116.5</v>
      </c>
      <c r="F11" s="451">
        <f>PGL_Requirements!O9/1000</f>
        <v>116.5</v>
      </c>
      <c r="G11" s="451">
        <f>PGL_Requirements!O10/1000</f>
        <v>116.5</v>
      </c>
      <c r="H11" s="451">
        <f>PGL_Requirements!O11/1000</f>
        <v>116.5</v>
      </c>
      <c r="I11" s="452">
        <f>PGL_Requirements!O12/1000</f>
        <v>116.5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1.7475000000000001</v>
      </c>
      <c r="E12" s="451">
        <f>PGL_Requirements!P8/1000</f>
        <v>1.7475000000000001</v>
      </c>
      <c r="F12" s="451">
        <f>PGL_Requirements!P9/1000</f>
        <v>1.7475000000000001</v>
      </c>
      <c r="G12" s="451">
        <f>PGL_Requirements!P10/1000</f>
        <v>1.7475000000000001</v>
      </c>
      <c r="H12" s="451">
        <f>PGL_Requirements!P11/1000</f>
        <v>1.7475000000000001</v>
      </c>
      <c r="I12" s="452">
        <f>PGL_Requirements!P12/1000</f>
        <v>1.7475000000000001</v>
      </c>
    </row>
    <row r="13" spans="1:256" ht="18.899999999999999" customHeight="1">
      <c r="A13" s="814"/>
      <c r="C13" s="805" t="s">
        <v>651</v>
      </c>
      <c r="D13" s="451">
        <f>PGL_Requirements!Q7/1000</f>
        <v>0.62</v>
      </c>
      <c r="E13" s="451">
        <f>PGL_Requirements!Q8/1000</f>
        <v>0.62</v>
      </c>
      <c r="F13" s="451">
        <f>PGL_Requirements!Q9/1000</f>
        <v>0.62</v>
      </c>
      <c r="G13" s="451">
        <f>PGL_Requirements!Q10/1000</f>
        <v>0.62</v>
      </c>
      <c r="H13" s="451">
        <f>PGL_Requirements!Q11/1000</f>
        <v>0.62</v>
      </c>
      <c r="I13" s="452">
        <f>PGL_Requirements!Q12/1000</f>
        <v>0.62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730</v>
      </c>
      <c r="D15" s="451">
        <f>PGL_Requirements!T7/1000</f>
        <v>25.425000000000001</v>
      </c>
      <c r="E15" s="451">
        <f>PGL_Requirements!T8/1000</f>
        <v>0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899999999999999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35</v>
      </c>
      <c r="E17" s="451">
        <f>PGL_Requirements!N8/1000</f>
        <v>30</v>
      </c>
      <c r="F17" s="451">
        <f>PGL_Requirements!N9/1000</f>
        <v>30</v>
      </c>
      <c r="G17" s="451">
        <f>PGL_Requirements!N10/1000</f>
        <v>30</v>
      </c>
      <c r="H17" s="451">
        <f>PGL_Requirements!N11/1000</f>
        <v>30</v>
      </c>
      <c r="I17" s="452">
        <f>PGL_Requirements!N12/1000</f>
        <v>30</v>
      </c>
    </row>
    <row r="18" spans="1:10" ht="18.899999999999999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1.01</v>
      </c>
      <c r="E24" s="453">
        <f>PGL_Requirements!E8/1000</f>
        <v>1.01</v>
      </c>
      <c r="F24" s="453">
        <f>PGL_Requirements!E9/1000</f>
        <v>1.01</v>
      </c>
      <c r="G24" s="453">
        <f>PGL_Requirements!E10/1000</f>
        <v>1.01</v>
      </c>
      <c r="H24" s="453">
        <f>PGL_Requirements!E11/1000</f>
        <v>1.01</v>
      </c>
      <c r="I24" s="454">
        <f>PGL_Requirements!E12/1000</f>
        <v>1.01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398.30250000000001</v>
      </c>
      <c r="E25" s="455">
        <f t="shared" si="1"/>
        <v>434.8775</v>
      </c>
      <c r="F25" s="455">
        <f t="shared" si="1"/>
        <v>454.8775</v>
      </c>
      <c r="G25" s="455">
        <f t="shared" si="1"/>
        <v>434.8775</v>
      </c>
      <c r="H25" s="455">
        <f t="shared" si="1"/>
        <v>409.8775</v>
      </c>
      <c r="I25" s="1060">
        <f t="shared" si="1"/>
        <v>389.8775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5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88.192999999999998</v>
      </c>
      <c r="E37" s="451">
        <f>PGL_Supplies!X8/1000</f>
        <v>88.192999999999998</v>
      </c>
      <c r="F37" s="451">
        <f>PGL_Supplies!X9/1000</f>
        <v>88.192999999999998</v>
      </c>
      <c r="G37" s="451">
        <f>PGL_Supplies!X10/1000</f>
        <v>88.192999999999998</v>
      </c>
      <c r="H37" s="451">
        <f>PGL_Supplies!X11/1000</f>
        <v>88.192999999999998</v>
      </c>
      <c r="I37" s="452">
        <f>PGL_Supplies!X12/1000</f>
        <v>88.192999999999998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25.425000000000001</v>
      </c>
      <c r="E38" s="451">
        <f>PGL_Supplies!Y8/1000</f>
        <v>25.425000000000001</v>
      </c>
      <c r="F38" s="451">
        <f>PGL_Supplies!Y9/1000</f>
        <v>25.425000000000001</v>
      </c>
      <c r="G38" s="451">
        <f>PGL_Supplies!Y10/1000</f>
        <v>25.425000000000001</v>
      </c>
      <c r="H38" s="451">
        <f>PGL_Supplies!Y11/1000</f>
        <v>25.425000000000001</v>
      </c>
      <c r="I38" s="452">
        <f>PGL_Supplies!Y12/1000</f>
        <v>25.425000000000001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196.429</v>
      </c>
      <c r="E40" s="451">
        <f>PGL_Supplies!AA8/1000</f>
        <v>196.429</v>
      </c>
      <c r="F40" s="451">
        <f>PGL_Supplies!AA9/1000</f>
        <v>190.929</v>
      </c>
      <c r="G40" s="451">
        <f>PGL_Supplies!AA10/1000</f>
        <v>190.929</v>
      </c>
      <c r="H40" s="451">
        <f>PGL_Supplies!AA11/1000</f>
        <v>190.929</v>
      </c>
      <c r="I40" s="452">
        <f>PGL_Supplies!AA12/1000</f>
        <v>190.929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55.994999999999997</v>
      </c>
      <c r="E41" s="451">
        <f>PGL_Supplies!AB8/1000</f>
        <v>55.994999999999997</v>
      </c>
      <c r="F41" s="451">
        <f>PGL_Supplies!AB9/1000</f>
        <v>55.994999999999997</v>
      </c>
      <c r="G41" s="451">
        <f>PGL_Supplies!AB10/1000</f>
        <v>55.994999999999997</v>
      </c>
      <c r="H41" s="451">
        <f>PGL_Supplies!AB11/1000</f>
        <v>55.994999999999997</v>
      </c>
      <c r="I41" s="452">
        <f>PGL_Supplies!AB12/1000</f>
        <v>55.994999999999997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1.01</v>
      </c>
      <c r="E42" s="451">
        <f>PGL_Supplies!AC8/1000</f>
        <v>1.01</v>
      </c>
      <c r="F42" s="451">
        <f>PGL_Supplies!AC9/1000</f>
        <v>1.01</v>
      </c>
      <c r="G42" s="451">
        <f>PGL_Supplies!AC10/1000</f>
        <v>1.01</v>
      </c>
      <c r="H42" s="451">
        <f>PGL_Supplies!AC11/1000</f>
        <v>1.01</v>
      </c>
      <c r="I42" s="452">
        <f>PGL_Supplies!AC12/1000</f>
        <v>1.01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20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4.25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0.1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0.9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398.30200000000002</v>
      </c>
      <c r="E50" s="461">
        <f t="shared" si="2"/>
        <v>376.05200000000002</v>
      </c>
      <c r="F50" s="461">
        <f t="shared" si="2"/>
        <v>365.55200000000002</v>
      </c>
      <c r="G50" s="461">
        <f t="shared" si="2"/>
        <v>365.55200000000002</v>
      </c>
      <c r="H50" s="461">
        <f t="shared" si="2"/>
        <v>365.55200000000002</v>
      </c>
      <c r="I50" s="1062">
        <f t="shared" si="2"/>
        <v>365.55200000000002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0</v>
      </c>
      <c r="E51" s="462">
        <f t="shared" si="3"/>
        <v>0</v>
      </c>
      <c r="F51" s="462">
        <f t="shared" si="3"/>
        <v>0</v>
      </c>
      <c r="G51" s="462">
        <f t="shared" si="3"/>
        <v>0</v>
      </c>
      <c r="H51" s="462">
        <f t="shared" si="3"/>
        <v>0</v>
      </c>
      <c r="I51" s="1063">
        <f t="shared" si="3"/>
        <v>0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4.9999999998817657E-4</v>
      </c>
      <c r="E52" s="463">
        <f t="shared" si="4"/>
        <v>58.825499999999977</v>
      </c>
      <c r="F52" s="463">
        <f t="shared" si="4"/>
        <v>89.325499999999977</v>
      </c>
      <c r="G52" s="463">
        <f t="shared" si="4"/>
        <v>69.325499999999977</v>
      </c>
      <c r="H52" s="463">
        <f t="shared" si="4"/>
        <v>44.325499999999977</v>
      </c>
      <c r="I52" s="1064">
        <f t="shared" si="4"/>
        <v>24.325499999999977</v>
      </c>
    </row>
    <row r="53" spans="1:9" ht="18.899999999999999" customHeight="1" thickTop="1" thickBot="1">
      <c r="A53" s="1051" t="s">
        <v>675</v>
      </c>
      <c r="B53" s="1052"/>
      <c r="C53" s="1052"/>
      <c r="D53" s="1053">
        <f>PGL_Supplies!U7/1000</f>
        <v>140.732</v>
      </c>
      <c r="E53" s="1053">
        <f>PGL_Supplies!U8/1000</f>
        <v>140.732</v>
      </c>
      <c r="F53" s="1053">
        <f>PGL_Supplies!U9/1000</f>
        <v>140.732</v>
      </c>
      <c r="G53" s="1053">
        <f>PGL_Supplies!U10/1000</f>
        <v>140.732</v>
      </c>
      <c r="H53" s="1053">
        <f>PGL_Supplies!U11/1000</f>
        <v>140.732</v>
      </c>
      <c r="I53" s="1054">
        <f>PGL_Supplies!U12/1000</f>
        <v>140.732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2001-09-24T09:04:49Z</cp:lastPrinted>
  <dcterms:created xsi:type="dcterms:W3CDTF">1997-07-16T16:14:22Z</dcterms:created>
  <dcterms:modified xsi:type="dcterms:W3CDTF">2023-09-10T11:13:08Z</dcterms:modified>
</cp:coreProperties>
</file>