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 firstSheet="19" activeTab="20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high_fcst">Weather_Input!$B$4</definedName>
    <definedName name="Imbalances">Imbalances!$B$7:$S$7</definedName>
    <definedName name="low_fcst">Weather_Input!$C$4</definedName>
    <definedName name="NSG_date">NSG_Gas_Summary!$E$3</definedName>
    <definedName name="NSG_First_date">NSG_Deliveries!$A$5</definedName>
    <definedName name="NSG_GC_Sendout_est">NSG_Deliveries!$C$4</definedName>
    <definedName name="NSG_sendout">NSG_Gas_Summary!$B$3</definedName>
    <definedName name="NSG_Sendout_Input">NSG_Deliveries!$C$6:$C$10</definedName>
    <definedName name="NSG_Sendouts">NSG_Deliveries!$A$5:$G$11</definedName>
    <definedName name="Old_Imbalance">Imbalances!$B$6:$S$6</definedName>
    <definedName name="PGL_date">PGL_Gas_Summary!$E$2</definedName>
    <definedName name="PGL_First_date">PGL_Deliveries!$A$5</definedName>
    <definedName name="PGL_GC_Sendout_est">PGL_Deliveries!$C$4</definedName>
    <definedName name="PGL_high">PGL_Gas_Summary!$E$45</definedName>
    <definedName name="PGL_low">PGL_Gas_Summary!$E$46</definedName>
    <definedName name="PGL_Nom_Input">PGL_Requirements!$J$8:$AD$12</definedName>
    <definedName name="PGL_Noms">PGL_Requirements!$A$7:$Y$12</definedName>
    <definedName name="PGL_sendout">PGL_Gas_Summary!$B$2</definedName>
    <definedName name="PGL_Sendout_Input">PGL_Deliveries!$C$6:$C$10</definedName>
    <definedName name="PGL_Sendouts">PGL_Deliveries!$A$5:$T$10</definedName>
    <definedName name="PGL_temp">PGL_Gas_Summary!$E$47</definedName>
    <definedName name="PGL_wind">PGL_Gas_Summary!$E$48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PGL_Requirements!$H$3:$AH$12</definedName>
    <definedName name="_xlnm.Print_Area" localSheetId="5">PGL_Supplies!$R$3:$AE$12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wind_fcst">Weather_Input!$D$4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PGL_Requirements!$H$3:$AH$12</definedName>
    <definedName name="Z_66C35B70_1DF5_11D4_B46C_0004ACEC7D4A_.wvu.PrintArea" localSheetId="5" hidden="1">PGL_Supplies!$R$3:$AE$12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B4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B16" i="18"/>
  <c r="C16" i="18"/>
  <c r="D16" i="18"/>
  <c r="G16" i="18"/>
  <c r="I16" i="18"/>
  <c r="C17" i="18"/>
  <c r="G17" i="18"/>
  <c r="I17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H9" i="34"/>
  <c r="L9" i="34"/>
  <c r="A11" i="34"/>
  <c r="H11" i="34"/>
  <c r="L11" i="34"/>
  <c r="A13" i="34"/>
  <c r="K17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C24" i="12"/>
  <c r="C25" i="12"/>
  <c r="E25" i="12"/>
  <c r="G25" i="12"/>
  <c r="I25" i="12"/>
  <c r="C27" i="12"/>
  <c r="E27" i="12"/>
  <c r="G27" i="12"/>
  <c r="I27" i="12"/>
  <c r="B29" i="12"/>
  <c r="B30" i="12"/>
  <c r="B31" i="12"/>
  <c r="B32" i="12"/>
  <c r="B33" i="12"/>
  <c r="B34" i="12"/>
  <c r="B35" i="12"/>
  <c r="B36" i="12"/>
  <c r="B37" i="12"/>
  <c r="B40" i="12"/>
  <c r="B41" i="12"/>
  <c r="B44" i="12"/>
  <c r="B45" i="12"/>
  <c r="B47" i="12"/>
  <c r="B48" i="12"/>
  <c r="B49" i="12"/>
  <c r="B50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V5" i="3"/>
  <c r="AY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B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B16" i="20"/>
  <c r="E16" i="20"/>
  <c r="C17" i="20"/>
  <c r="E17" i="20"/>
  <c r="B18" i="20"/>
  <c r="E18" i="20"/>
  <c r="C19" i="20"/>
  <c r="E19" i="20"/>
  <c r="C20" i="20"/>
  <c r="E20" i="20"/>
  <c r="B21" i="20"/>
  <c r="E21" i="20"/>
  <c r="B22" i="20"/>
  <c r="E22" i="20"/>
  <c r="B23" i="20"/>
  <c r="E23" i="20"/>
  <c r="C24" i="20"/>
  <c r="E24" i="20"/>
  <c r="B25" i="20"/>
  <c r="E25" i="20"/>
  <c r="B26" i="20"/>
  <c r="F26" i="20"/>
  <c r="C27" i="20"/>
  <c r="F27" i="20"/>
  <c r="B28" i="20"/>
  <c r="E28" i="20"/>
  <c r="E29" i="20"/>
  <c r="B30" i="20"/>
  <c r="E30" i="20"/>
  <c r="B32" i="20"/>
  <c r="E32" i="20"/>
  <c r="B33" i="20"/>
  <c r="B35" i="20"/>
  <c r="B36" i="20"/>
  <c r="F36" i="20"/>
  <c r="C37" i="20"/>
  <c r="E37" i="20"/>
  <c r="C38" i="20"/>
  <c r="E38" i="20"/>
  <c r="C39" i="20"/>
  <c r="F39" i="20"/>
  <c r="B40" i="20"/>
  <c r="E40" i="20"/>
  <c r="C41" i="20"/>
  <c r="E41" i="20"/>
  <c r="B42" i="20"/>
  <c r="F42" i="20"/>
  <c r="B43" i="20"/>
  <c r="F43" i="20"/>
  <c r="B44" i="20"/>
  <c r="B45" i="20"/>
  <c r="C45" i="20"/>
  <c r="E45" i="20"/>
  <c r="B46" i="20"/>
  <c r="E46" i="20"/>
  <c r="C47" i="20"/>
  <c r="E47" i="20"/>
  <c r="B48" i="20"/>
  <c r="E48" i="20"/>
  <c r="B49" i="20"/>
  <c r="E49" i="20"/>
  <c r="B50" i="20"/>
  <c r="M1" i="11"/>
  <c r="N1" i="11"/>
  <c r="B2" i="11"/>
  <c r="B3" i="11"/>
  <c r="J3" i="11"/>
  <c r="K3" i="11"/>
  <c r="F4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G35" i="11"/>
  <c r="B36" i="11"/>
  <c r="B37" i="11"/>
  <c r="B39" i="11"/>
  <c r="A7" i="5"/>
  <c r="P7" i="5"/>
  <c r="AH7" i="5"/>
  <c r="A8" i="5"/>
  <c r="P8" i="5"/>
  <c r="AH8" i="5"/>
  <c r="A9" i="5"/>
  <c r="P9" i="5"/>
  <c r="AH9" i="5"/>
  <c r="A10" i="5"/>
  <c r="P10" i="5"/>
  <c r="AH10" i="5"/>
  <c r="A11" i="5"/>
  <c r="P11" i="5"/>
  <c r="AH11" i="5"/>
  <c r="A12" i="5"/>
  <c r="P12" i="5"/>
  <c r="AH12" i="5"/>
  <c r="A7" i="6"/>
  <c r="AE7" i="6"/>
  <c r="A8" i="6"/>
  <c r="AE8" i="6"/>
  <c r="A9" i="6"/>
  <c r="AE9" i="6"/>
  <c r="A10" i="6"/>
  <c r="AE10" i="6"/>
  <c r="A11" i="6"/>
  <c r="AE11" i="6"/>
  <c r="A12" i="6"/>
  <c r="AE12" i="6"/>
  <c r="C5" i="33"/>
  <c r="E5" i="33"/>
  <c r="G5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<sst xmlns="http://schemas.openxmlformats.org/spreadsheetml/2006/main" count="2085" uniqueCount="828">
  <si>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</si>
  <si>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</si>
  <si>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</si>
  <si>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</si>
  <si>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</si>
  <si>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</si>
  <si>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</si>
  <si>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</si>
  <si>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</si>
  <si>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</si>
  <si>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</si>
  <si>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</si>
  <si>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</si>
  <si>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</si>
  <si>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</si>
  <si>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</si>
  <si>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</si>
  <si>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</si>
  <si>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</si>
  <si>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</si>
  <si>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</si>
  <si>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</si>
  <si>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</si>
  <si>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</si>
  <si>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</si>
  <si>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</si>
  <si>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</si>
  <si>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</si>
  <si>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</si>
  <si>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</si>
  <si>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</si>
  <si>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</si>
  <si>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</si>
  <si>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</si>
  <si>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</si>
  <si>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</si>
  <si>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</si>
  <si>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</si>
  <si>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</si>
  <si>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</si>
  <si>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</si>
  <si>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</si>
  <si>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</si>
  <si>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</si>
  <si>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</si>
  <si>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</si>
  <si>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</si>
  <si>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</si>
  <si>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</si>
  <si>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</si>
  <si>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</si>
  <si>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</si>
  <si>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</si>
  <si>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</si>
  <si>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</si>
  <si>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</si>
  <si>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</si>
  <si>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</si>
  <si>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</si>
  <si>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</si>
  <si>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</si>
  <si>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</si>
  <si>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</si>
  <si>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</si>
  <si>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</si>
  <si>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</si>
  <si>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</si>
  <si>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</si>
  <si>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</si>
  <si>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</si>
  <si>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</si>
  <si>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</si>
  <si>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</si>
  <si>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</si>
  <si>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</si>
  <si>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</si>
  <si>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</si>
  <si>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</si>
  <si>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</si>
  <si>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</si>
  <si>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</si>
  <si>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</si>
  <si>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</si>
  <si>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</si>
  <si>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</si>
  <si>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</si>
  <si>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</si>
  <si>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</si>
  <si>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</si>
  <si>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</si>
  <si>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</si>
  <si>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</si>
  <si>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</si>
  <si>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</si>
  <si>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</si>
  <si>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</si>
  <si>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</si>
  <si>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</si>
  <si>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</si>
  <si>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</si>
  <si>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</si>
  <si>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</si>
  <si>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</si>
  <si>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</si>
  <si>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</si>
  <si>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</si>
  <si>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</si>
  <si>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</si>
  <si>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</si>
  <si>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</si>
  <si>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</si>
  <si>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</si>
  <si>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</si>
  <si>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</si>
  <si>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</si>
  <si>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</si>
  <si>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</si>
  <si>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</si>
  <si>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</si>
  <si>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</si>
  <si>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</si>
  <si>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</si>
  <si>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</si>
  <si>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</si>
  <si>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</si>
  <si>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</si>
  <si>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</si>
  <si>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</si>
  <si>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</si>
  <si>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</si>
  <si>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</si>
  <si>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</si>
  <si>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</si>
  <si>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</si>
  <si>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</si>
  <si>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</si>
  <si>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</si>
  <si>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</si>
  <si>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</si>
  <si>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</si>
  <si>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</si>
  <si>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</si>
  <si>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</si>
  <si>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</si>
  <si>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</si>
  <si>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</si>
  <si>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</si>
  <si>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</si>
  <si>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</si>
  <si>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</si>
  <si>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</si>
  <si>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</si>
  <si>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</si>
  <si>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</si>
  <si>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</si>
  <si>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</si>
  <si>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</si>
  <si>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</si>
  <si>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</si>
  <si>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</si>
  <si>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</si>
  <si>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</si>
  <si>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</si>
  <si>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</si>
  <si>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</si>
  <si>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</si>
  <si>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</si>
  <si>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</si>
  <si>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</si>
  <si>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</si>
  <si>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</si>
  <si>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</si>
  <si>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</si>
  <si>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</si>
  <si>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</si>
  <si>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</si>
  <si>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</si>
  <si>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</si>
  <si>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</si>
  <si>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</si>
  <si>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</si>
  <si>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</si>
  <si>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</si>
  <si>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</si>
  <si>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</si>
  <si>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</si>
  <si>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</si>
  <si>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</si>
  <si>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</si>
  <si>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</si>
  <si>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</si>
  <si>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</si>
  <si>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</si>
  <si>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</si>
  <si>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</si>
  <si>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</si>
  <si>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</si>
  <si>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</si>
  <si>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</si>
  <si>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</si>
  <si>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</si>
  <si>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</si>
  <si>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</si>
  <si>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</si>
  <si>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</si>
  <si>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</si>
  <si>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</si>
  <si>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</si>
  <si>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</si>
  <si>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</si>
  <si>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</si>
  <si>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</si>
  <si>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</si>
  <si>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</si>
  <si>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</si>
  <si>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</si>
  <si>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</si>
  <si>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</si>
  <si>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</si>
  <si>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</si>
  <si>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</si>
  <si>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</si>
  <si>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</si>
  <si>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</si>
  <si>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</si>
  <si>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</si>
  <si>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</si>
  <si>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</si>
  <si>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</si>
  <si>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</si>
  <si>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</si>
  <si>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</si>
  <si>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</si>
  <si>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</si>
  <si>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</si>
  <si>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</si>
  <si>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</si>
  <si>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</si>
  <si>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</si>
  <si>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</si>
  <si>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</si>
  <si>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</si>
  <si>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</si>
  <si>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</si>
  <si>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</si>
  <si>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</si>
  <si>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</si>
  <si>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</si>
  <si>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</si>
  <si>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</si>
  <si>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</si>
  <si>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</si>
  <si>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</si>
  <si>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</si>
  <si>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</si>
  <si>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</si>
  <si>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</si>
  <si>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</si>
  <si>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</si>
  <si>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</si>
  <si>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</si>
  <si>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</si>
  <si>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</si>
  <si>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</si>
  <si>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</si>
  <si>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</si>
  <si>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</si>
  <si>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</si>
  <si>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</si>
  <si>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</si>
  <si>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</si>
  <si>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</si>
  <si>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</si>
  <si>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</si>
  <si>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</si>
  <si>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</si>
  <si>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</si>
  <si>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</si>
  <si>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</si>
  <si>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</si>
  <si>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</si>
  <si>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</si>
  <si>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</si>
  <si>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</si>
  <si>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</si>
  <si>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</si>
  <si>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</si>
  <si>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</si>
  <si>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</si>
  <si>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</si>
  <si>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</si>
  <si>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</si>
  <si>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</si>
  <si>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</si>
  <si>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</si>
  <si>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</si>
  <si>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</si>
  <si>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</si>
  <si>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</si>
  <si>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</si>
  <si>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</si>
  <si>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</si>
  <si>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</si>
  <si>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</si>
  <si>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</si>
  <si>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</si>
  <si>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</si>
  <si>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</si>
  <si>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</si>
  <si>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</si>
  <si>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</si>
  <si>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</si>
  <si>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</si>
  <si>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</si>
  <si>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</si>
  <si>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</si>
  <si>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</si>
  <si>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</si>
  <si>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</si>
  <si>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</si>
  <si>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</si>
  <si>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</si>
  <si>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</si>
  <si>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</si>
  <si>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</si>
  <si>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</si>
  <si>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</si>
  <si>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</si>
  <si>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</si>
  <si>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</si>
  <si>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</si>
  <si>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</si>
  <si>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</si>
  <si>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</si>
  <si>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</si>
  <si>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</si>
  <si>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</si>
  <si>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</si>
  <si>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</si>
  <si>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</si>
  <si>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</si>
  <si>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</si>
  <si>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</si>
  <si>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</si>
  <si>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</si>
  <si>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</si>
  <si>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</si>
  <si>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</si>
  <si>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</si>
  <si>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</si>
  <si>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</si>
  <si>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</si>
  <si>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</si>
  <si>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</si>
  <si>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</si>
  <si>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</si>
  <si>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</si>
  <si>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</si>
  <si>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</si>
  <si>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</si>
  <si>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</si>
  <si>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</si>
  <si>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</si>
  <si>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</si>
  <si>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</si>
  <si>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</si>
  <si>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</si>
  <si>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</si>
  <si>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</si>
  <si>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</si>
  <si>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</si>
  <si>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</si>
  <si>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</si>
  <si>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</si>
  <si>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</si>
  <si>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</si>
  <si>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</si>
  <si>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</si>
  <si>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</si>
  <si>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</si>
  <si>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</si>
  <si>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</si>
  <si>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</si>
  <si>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</si>
  <si>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</si>
  <si>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</si>
  <si>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</si>
  <si>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</si>
  <si>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</si>
  <si>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</si>
  <si>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</si>
  <si>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</si>
  <si>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</si>
  <si>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</si>
  <si>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</si>
  <si>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</si>
  <si>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</si>
  <si>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</si>
  <si>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</si>
  <si>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</si>
  <si>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</si>
  <si>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</si>
  <si>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</si>
  <si>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</si>
  <si>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</si>
  <si>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</si>
  <si>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</si>
  <si>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</si>
  <si>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</si>
  <si>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</si>
  <si>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</si>
  <si>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</si>
  <si>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</si>
  <si>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</si>
  <si>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</si>
  <si>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</si>
  <si>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</si>
  <si>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</si>
  <si>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</si>
  <si>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</si>
  <si>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</si>
  <si>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</si>
  <si>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</si>
  <si>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</si>
  <si>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</si>
  <si>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</si>
  <si>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</si>
  <si>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</si>
  <si>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</si>
  <si>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</si>
  <si>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</si>
  <si>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</si>
  <si>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</si>
  <si>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</si>
  <si>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</si>
  <si>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</si>
  <si>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</si>
  <si>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</si>
  <si>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</si>
  <si>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</si>
  <si>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</si>
  <si>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</si>
  <si>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</si>
  <si>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</si>
  <si>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</si>
  <si>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</si>
  <si>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</si>
  <si>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</si>
  <si>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</si>
  <si>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</si>
  <si>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</si>
  <si>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</si>
  <si>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</si>
  <si>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</si>
  <si>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</si>
  <si>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</si>
  <si>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</si>
  <si>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</si>
  <si>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</si>
  <si>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</si>
  <si>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</si>
  <si>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</si>
  <si>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</si>
  <si>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</si>
  <si>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</si>
  <si>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</si>
  <si>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</si>
  <si>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</si>
  <si>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</si>
  <si>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</si>
  <si>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</si>
  <si>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</si>
  <si>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</si>
  <si>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</si>
  <si>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</si>
  <si>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</si>
  <si>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</si>
  <si>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</si>
  <si>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</si>
  <si>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</si>
  <si>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</si>
  <si>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</si>
  <si>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</si>
  <si>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</si>
  <si>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</si>
  <si>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</si>
  <si>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</si>
  <si>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</si>
  <si>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</si>
  <si>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</si>
  <si>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</si>
  <si>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</si>
  <si>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</si>
  <si>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</si>
  <si>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</si>
  <si>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</si>
  <si>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</si>
  <si>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</si>
  <si>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</si>
  <si>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</si>
  <si>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</si>
  <si>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</si>
  <si>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</si>
  <si>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</si>
  <si>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</si>
  <si>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</si>
  <si>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</si>
  <si>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</si>
  <si>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>via NBDR</t>
  </si>
  <si>
    <t>Morning Avg.</t>
  </si>
  <si>
    <t>Evening Avg.</t>
  </si>
  <si>
    <t xml:space="preserve">Nights Avg. </t>
  </si>
  <si>
    <t>Deliveries to Manlove</t>
  </si>
  <si>
    <t>Linepack Out   (+)</t>
  </si>
  <si>
    <t>Linepack In      (-)</t>
  </si>
  <si>
    <t>Elwood Energy</t>
  </si>
  <si>
    <t>Man. North</t>
  </si>
  <si>
    <t>Man. South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</si>
  <si>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</si>
  <si>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</si>
  <si>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</si>
  <si>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</si>
  <si>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</si>
  <si>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</si>
  <si>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</si>
  <si>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</si>
  <si>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</si>
  <si>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</si>
  <si>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</si>
  <si>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</si>
  <si>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</si>
  <si>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</si>
  <si>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</si>
  <si>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</si>
  <si>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MW SYSTEM SUPPLY</t>
  </si>
  <si>
    <t>TGL-30 @ MIDWESTERN</t>
  </si>
  <si>
    <t>TL SYSTEM SUPPLY</t>
  </si>
  <si>
    <t>TEJAS/QNT</t>
  </si>
  <si>
    <t>NO-NOTICE  (INJ)</t>
  </si>
  <si>
    <t>NO-NOTICE  (W/D)</t>
  </si>
  <si>
    <t>TOTAL DELIVERIES</t>
  </si>
  <si>
    <t>DELIVERY TO LNG</t>
  </si>
  <si>
    <t>DELIVERY TO INJ.</t>
  </si>
  <si>
    <t>MANLOVE INJ. TOTAL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</si>
  <si>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</si>
  <si>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</si>
  <si>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</si>
  <si>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</si>
  <si>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</si>
  <si>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</si>
  <si>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</si>
  <si>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</si>
  <si>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</si>
  <si>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</si>
  <si>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</si>
  <si>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</si>
  <si>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</si>
  <si>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</si>
  <si>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</si>
  <si>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</si>
  <si>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</si>
  <si>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</si>
  <si>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</si>
  <si>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</si>
  <si>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</si>
  <si>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</si>
  <si>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</si>
  <si>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</si>
  <si>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</si>
  <si>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</si>
  <si>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</si>
  <si>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</si>
  <si>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</si>
  <si>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</si>
  <si>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</si>
  <si>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</si>
  <si>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</si>
  <si>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</si>
  <si>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</si>
  <si>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</si>
  <si>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</si>
  <si>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</si>
  <si>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</si>
  <si>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</si>
  <si>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</si>
  <si>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</si>
  <si>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</si>
  <si>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</si>
  <si>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</si>
  <si>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</si>
  <si>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</si>
  <si>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</si>
  <si>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</si>
  <si>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</si>
  <si>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</si>
  <si>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</si>
  <si>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</si>
  <si>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</si>
  <si>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</si>
  <si>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</si>
  <si>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</si>
  <si>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</si>
  <si>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</si>
  <si>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</si>
  <si>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</si>
  <si>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</si>
  <si>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</si>
  <si>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</si>
  <si>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</si>
  <si>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</si>
  <si>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</si>
  <si>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</si>
  <si>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</si>
  <si>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</si>
  <si>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</si>
  <si>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</si>
  <si>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</si>
  <si>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</si>
  <si>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</si>
  <si>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</si>
  <si>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</si>
  <si>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</si>
  <si>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</si>
  <si>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</si>
  <si>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</si>
  <si>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</si>
  <si>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</si>
  <si>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</si>
  <si>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</si>
  <si>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</si>
  <si>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</si>
  <si>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</si>
  <si>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No-Notice Withdraw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</si>
  <si>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</si>
  <si>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</si>
  <si>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</si>
  <si>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</si>
  <si>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</si>
  <si>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</si>
  <si>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</si>
  <si>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</si>
  <si>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</si>
  <si>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</si>
  <si>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</si>
  <si>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</si>
  <si>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</si>
  <si>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</si>
  <si>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</si>
  <si>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</si>
  <si>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</si>
  <si>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</si>
  <si>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</si>
  <si>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</si>
  <si>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</si>
  <si>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</si>
  <si>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</si>
  <si>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</si>
  <si>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</si>
  <si>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</si>
  <si>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</si>
  <si>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</si>
  <si>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</si>
  <si>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</si>
  <si>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</si>
  <si>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</si>
  <si>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</si>
  <si>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</si>
  <si>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</si>
  <si>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</si>
  <si>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</si>
  <si>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</si>
  <si>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</si>
  <si>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</si>
  <si>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</si>
  <si>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</si>
  <si>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</si>
  <si>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</si>
  <si>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</si>
  <si>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</si>
  <si>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</si>
  <si>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</si>
  <si>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</si>
  <si>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</si>
  <si>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</si>
  <si>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</si>
  <si>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ALIIANCE TO MANLOVE</t>
  </si>
  <si>
    <t>Allegheny</t>
  </si>
  <si>
    <t>Wilton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</si>
  <si>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</si>
  <si>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</si>
  <si>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</si>
  <si>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</si>
  <si>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</si>
  <si>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</si>
  <si>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</si>
  <si>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</si>
  <si>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</si>
  <si>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</si>
  <si>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</si>
  <si>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</si>
  <si>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</si>
  <si>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</si>
  <si>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</si>
  <si>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</si>
  <si>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</si>
  <si>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</si>
  <si>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</si>
  <si>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</si>
  <si>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</si>
  <si>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</si>
  <si>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</si>
  <si>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</si>
  <si>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</si>
  <si>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</si>
  <si>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</si>
  <si>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</si>
  <si>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</si>
  <si>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</si>
  <si>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</si>
  <si>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</si>
  <si>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</si>
  <si>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</si>
  <si>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</si>
  <si>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</si>
  <si>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</si>
  <si>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</si>
  <si>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</si>
  <si>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</si>
  <si>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</si>
  <si>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</si>
  <si>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</si>
  <si>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</si>
  <si>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</si>
  <si>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</si>
  <si>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</si>
  <si>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</si>
  <si>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</si>
  <si>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</si>
  <si>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</si>
  <si>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</si>
  <si>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</si>
  <si>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</si>
  <si>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</si>
  <si>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</si>
  <si>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</si>
  <si>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</si>
  <si>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</si>
  <si>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</si>
  <si>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</si>
  <si>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</si>
  <si>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</si>
  <si>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</si>
  <si>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</si>
  <si>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</si>
  <si>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</si>
  <si>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</si>
  <si>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</si>
  <si>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</si>
  <si>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</si>
  <si>
    <t>Deliveries to Alleghney(Wilton)</t>
  </si>
  <si>
    <t xml:space="preserve">Ave Wind </t>
  </si>
  <si>
    <t>Wisvest</t>
  </si>
  <si>
    <t>Alleghney</t>
  </si>
  <si>
    <t>Gas Day:</t>
  </si>
  <si>
    <t>NEW DAY NOMINATIONS/DELIVERIES</t>
  </si>
  <si>
    <t>ANR SOMERS RD.</t>
  </si>
  <si>
    <t>DKT</t>
  </si>
  <si>
    <t>MCF</t>
  </si>
  <si>
    <t xml:space="preserve">Injection </t>
  </si>
  <si>
    <t>Deliveries to Somers Rd.</t>
  </si>
  <si>
    <t>Busse Rd.</t>
  </si>
  <si>
    <t>Manlove Hourly Rate</t>
  </si>
  <si>
    <t>ANR-50 W/D</t>
  </si>
  <si>
    <t>Northern Borders</t>
  </si>
  <si>
    <t xml:space="preserve"> Elwood Energy</t>
  </si>
  <si>
    <t>Payback NSG TO NICOR</t>
  </si>
  <si>
    <t>Lincoln Energy</t>
  </si>
  <si>
    <t xml:space="preserve">Deliveries @ Busse </t>
  </si>
  <si>
    <t>Total Nominations</t>
  </si>
  <si>
    <t>DELIVERY TO MANLOVE</t>
  </si>
  <si>
    <t>Payback NBDR-PGL</t>
  </si>
  <si>
    <t>Payback PGL-NBDR</t>
  </si>
  <si>
    <t>Alliance Deliveries</t>
  </si>
  <si>
    <t>Deliveries @ Man.North</t>
  </si>
  <si>
    <t>ANR System Supply</t>
  </si>
  <si>
    <t xml:space="preserve">Deliveries @ Man.South </t>
  </si>
  <si>
    <t>Deliveries @ Elwood Energy</t>
  </si>
  <si>
    <t>Deliveries @ Lincoln Energy</t>
  </si>
  <si>
    <t>Oakton to NICOR</t>
  </si>
  <si>
    <t>Deliveries to NICOR</t>
  </si>
  <si>
    <t>Deliveries @ E. Joliet</t>
  </si>
  <si>
    <t>Midwestern System Supply</t>
  </si>
  <si>
    <t>Payback MIDW-PGL</t>
  </si>
  <si>
    <t>Payback TGC-PGL</t>
  </si>
  <si>
    <t>Payback PGL-MIDW</t>
  </si>
  <si>
    <t>Payback PGL-TGC</t>
  </si>
  <si>
    <t>Deliveries @ Midwest</t>
  </si>
  <si>
    <t>Deliveries @ Manlove</t>
  </si>
  <si>
    <t xml:space="preserve">NOTE: If Elwood is to burn any gas make sure Northern Border knows it. </t>
  </si>
  <si>
    <t xml:space="preserve">             Don't call suppliers till we get a nomination from NICOR.</t>
  </si>
  <si>
    <t>Northern Borders nomination</t>
  </si>
  <si>
    <t>Flow to PGL</t>
  </si>
  <si>
    <t>Number of hours left in gas day</t>
  </si>
  <si>
    <t>Hourly flow to PGL to finsh day</t>
  </si>
  <si>
    <t>Elwood usage nominated</t>
  </si>
  <si>
    <t>Elwood usage actual</t>
  </si>
  <si>
    <t>Flow to PGL actual north and south to this time</t>
  </si>
  <si>
    <t>N.Border</t>
  </si>
  <si>
    <t>Nom</t>
  </si>
  <si>
    <t>Total</t>
  </si>
  <si>
    <t xml:space="preserve">N Border </t>
  </si>
  <si>
    <t>ALLIANCE THRU MANLOVE</t>
  </si>
  <si>
    <t>ALLEGHNEY ENERGY</t>
  </si>
  <si>
    <t>WISVEST</t>
  </si>
  <si>
    <t>ENERGY</t>
  </si>
  <si>
    <t>Will Lincoln run? 815-478-3799</t>
  </si>
  <si>
    <t>YES</t>
  </si>
  <si>
    <t>NO</t>
  </si>
  <si>
    <t>Time on</t>
  </si>
  <si>
    <t>Will Elwood run? 815-423-9973</t>
  </si>
  <si>
    <t xml:space="preserve">   RATHER CLOUDY, COOL AND BREEZY.</t>
  </si>
  <si>
    <t xml:space="preserve">  TODAY - A GOOD DEAL OF SUNSHINE</t>
  </si>
  <si>
    <t xml:space="preserve">  TONIGHT - CLEAR TO PARTLY CLOUDY.</t>
  </si>
  <si>
    <t xml:space="preserve">  PARTLY TO MOSTLY SUNNY IN THE MORNING </t>
  </si>
  <si>
    <t xml:space="preserve">  FOLLOWED BY THICKENING CLOUDS.</t>
  </si>
  <si>
    <t xml:space="preserve">  MAINLY CLOUDY</t>
  </si>
  <si>
    <t xml:space="preserve">  PARTLY SUNNY</t>
  </si>
  <si>
    <t xml:space="preserve">  MOSTLY CLOUDY; IT MAY SHOWER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</si>
</sst>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  <font>
      <b/>
      <u/>
      <sz val="12"/>
      <name val="Arial"/>
      <family val="2"/>
    </font>
    <font>
      <b/>
      <u/>
      <sz val="1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77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0" fontId="7" fillId="2" borderId="12" xfId="0" applyFont="1" applyFill="1" applyBorder="1"/>
    <xf numFmtId="0" fontId="7" fillId="2" borderId="5" xfId="0" applyFont="1" applyFill="1" applyBorder="1"/>
    <xf numFmtId="0" fontId="7" fillId="2" borderId="36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7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8" xfId="0" applyBorder="1"/>
    <xf numFmtId="0" fontId="1" fillId="2" borderId="37" xfId="0" quotePrefix="1" applyFont="1" applyFill="1" applyBorder="1" applyAlignment="1">
      <alignment horizontal="left"/>
    </xf>
    <xf numFmtId="0" fontId="0" fillId="0" borderId="39" xfId="0" applyBorder="1"/>
    <xf numFmtId="167" fontId="1" fillId="2" borderId="38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39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0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1" xfId="0" applyFont="1" applyFill="1" applyBorder="1" applyAlignment="1"/>
    <xf numFmtId="0" fontId="28" fillId="0" borderId="41" xfId="0" applyFont="1" applyFill="1" applyBorder="1" applyAlignment="1"/>
    <xf numFmtId="164" fontId="28" fillId="0" borderId="41" xfId="0" applyNumberFormat="1" applyFont="1" applyFill="1" applyBorder="1" applyAlignment="1"/>
    <xf numFmtId="0" fontId="29" fillId="0" borderId="42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3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3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8" xfId="0" applyFont="1" applyFill="1" applyBorder="1" applyAlignment="1"/>
    <xf numFmtId="0" fontId="29" fillId="0" borderId="6" xfId="0" applyFont="1" applyFill="1" applyBorder="1" applyAlignment="1"/>
    <xf numFmtId="0" fontId="29" fillId="0" borderId="39" xfId="0" applyFont="1" applyFill="1" applyBorder="1" applyAlignment="1"/>
    <xf numFmtId="0" fontId="29" fillId="0" borderId="5" xfId="0" applyFont="1" applyFill="1" applyBorder="1" applyAlignment="1"/>
    <xf numFmtId="0" fontId="28" fillId="0" borderId="44" xfId="0" quotePrefix="1" applyFont="1" applyFill="1" applyBorder="1" applyAlignment="1">
      <alignment horizontal="left"/>
    </xf>
    <xf numFmtId="166" fontId="29" fillId="0" borderId="41" xfId="0" applyNumberFormat="1" applyFont="1" applyFill="1" applyBorder="1" applyAlignment="1" applyProtection="1"/>
    <xf numFmtId="171" fontId="29" fillId="0" borderId="45" xfId="0" applyNumberFormat="1" applyFont="1" applyFill="1" applyBorder="1" applyAlignment="1"/>
    <xf numFmtId="0" fontId="29" fillId="0" borderId="45" xfId="0" applyFont="1" applyFill="1" applyBorder="1" applyAlignment="1"/>
    <xf numFmtId="0" fontId="29" fillId="0" borderId="46" xfId="0" applyFont="1" applyFill="1" applyBorder="1" applyAlignment="1"/>
    <xf numFmtId="0" fontId="28" fillId="5" borderId="47" xfId="0" quotePrefix="1" applyFont="1" applyFill="1" applyBorder="1" applyAlignment="1">
      <alignment horizontal="left"/>
    </xf>
    <xf numFmtId="0" fontId="28" fillId="5" borderId="48" xfId="0" quotePrefix="1" applyFont="1" applyFill="1" applyBorder="1" applyAlignment="1">
      <alignment horizontal="center"/>
    </xf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left"/>
    </xf>
    <xf numFmtId="0" fontId="28" fillId="0" borderId="50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8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1" xfId="0" applyFont="1" applyFill="1" applyBorder="1" applyAlignment="1"/>
    <xf numFmtId="0" fontId="28" fillId="0" borderId="52" xfId="0" quotePrefix="1" applyFont="1" applyFill="1" applyBorder="1" applyAlignment="1">
      <alignment horizontal="left"/>
    </xf>
    <xf numFmtId="166" fontId="29" fillId="0" borderId="53" xfId="0" applyNumberFormat="1" applyFont="1" applyFill="1" applyBorder="1" applyAlignment="1"/>
    <xf numFmtId="166" fontId="29" fillId="0" borderId="54" xfId="0" applyNumberFormat="1" applyFont="1" applyFill="1" applyBorder="1" applyAlignment="1"/>
    <xf numFmtId="0" fontId="29" fillId="0" borderId="55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6" xfId="0" applyNumberFormat="1" applyFont="1" applyFill="1" applyBorder="1" applyAlignment="1"/>
    <xf numFmtId="166" fontId="29" fillId="0" borderId="45" xfId="0" applyNumberFormat="1" applyFont="1" applyFill="1" applyBorder="1" applyAlignment="1"/>
    <xf numFmtId="171" fontId="29" fillId="0" borderId="38" xfId="0" applyNumberFormat="1" applyFont="1" applyFill="1" applyBorder="1" applyAlignment="1"/>
    <xf numFmtId="0" fontId="29" fillId="0" borderId="57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8" xfId="0" quotePrefix="1" applyFont="1" applyFill="1" applyBorder="1" applyAlignment="1">
      <alignment horizontal="left"/>
    </xf>
    <xf numFmtId="166" fontId="28" fillId="0" borderId="59" xfId="0" applyNumberFormat="1" applyFont="1" applyFill="1" applyBorder="1" applyAlignment="1"/>
    <xf numFmtId="166" fontId="28" fillId="0" borderId="60" xfId="0" applyNumberFormat="1" applyFont="1" applyFill="1" applyBorder="1" applyAlignment="1"/>
    <xf numFmtId="0" fontId="29" fillId="0" borderId="61" xfId="0" applyFont="1" applyFill="1" applyBorder="1" applyAlignment="1"/>
    <xf numFmtId="167" fontId="29" fillId="0" borderId="62" xfId="0" applyNumberFormat="1" applyFont="1" applyFill="1" applyBorder="1" applyAlignment="1"/>
    <xf numFmtId="167" fontId="29" fillId="0" borderId="57" xfId="0" applyNumberFormat="1" applyFont="1" applyFill="1" applyBorder="1" applyAlignment="1"/>
    <xf numFmtId="0" fontId="28" fillId="0" borderId="63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59" xfId="0" applyNumberFormat="1" applyFont="1" applyFill="1" applyBorder="1" applyAlignment="1"/>
    <xf numFmtId="167" fontId="29" fillId="0" borderId="64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0" xfId="0" applyNumberFormat="1" applyFont="1" applyBorder="1"/>
    <xf numFmtId="167" fontId="28" fillId="0" borderId="2" xfId="0" applyNumberFormat="1" applyFont="1" applyBorder="1"/>
    <xf numFmtId="167" fontId="28" fillId="0" borderId="51" xfId="0" applyNumberFormat="1" applyFont="1" applyBorder="1"/>
    <xf numFmtId="0" fontId="31" fillId="0" borderId="60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0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1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1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0" xfId="0" applyNumberFormat="1" applyFont="1" applyBorder="1"/>
    <xf numFmtId="167" fontId="29" fillId="0" borderId="60" xfId="0" applyNumberFormat="1" applyFont="1" applyBorder="1"/>
    <xf numFmtId="0" fontId="28" fillId="0" borderId="65" xfId="0" quotePrefix="1" applyFont="1" applyBorder="1" applyAlignment="1">
      <alignment horizontal="left"/>
    </xf>
    <xf numFmtId="0" fontId="34" fillId="6" borderId="63" xfId="0" applyFont="1" applyFill="1" applyBorder="1" applyAlignment="1">
      <alignment horizontal="left"/>
    </xf>
    <xf numFmtId="0" fontId="30" fillId="6" borderId="66" xfId="0" applyFont="1" applyFill="1" applyBorder="1" applyAlignment="1">
      <alignment horizontal="centerContinuous"/>
    </xf>
    <xf numFmtId="0" fontId="35" fillId="6" borderId="66" xfId="0" applyFont="1" applyFill="1" applyBorder="1" applyAlignment="1">
      <alignment horizontal="centerContinuous"/>
    </xf>
    <xf numFmtId="0" fontId="28" fillId="6" borderId="66" xfId="0" applyFont="1" applyFill="1" applyBorder="1" applyAlignment="1">
      <alignment horizontal="centerContinuous"/>
    </xf>
    <xf numFmtId="0" fontId="35" fillId="6" borderId="61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4" xfId="0" applyFont="1" applyBorder="1"/>
    <xf numFmtId="0" fontId="28" fillId="0" borderId="0" xfId="0" quotePrefix="1" applyFont="1" applyAlignment="1">
      <alignment horizontal="left"/>
    </xf>
    <xf numFmtId="0" fontId="31" fillId="0" borderId="41" xfId="0" applyFont="1" applyBorder="1"/>
    <xf numFmtId="0" fontId="31" fillId="5" borderId="13" xfId="0" applyFont="1" applyFill="1" applyBorder="1"/>
    <xf numFmtId="0" fontId="28" fillId="0" borderId="60" xfId="0" applyFont="1" applyBorder="1" applyAlignment="1">
      <alignment horizontal="left"/>
    </xf>
    <xf numFmtId="0" fontId="28" fillId="0" borderId="60" xfId="0" quotePrefix="1" applyFont="1" applyBorder="1" applyAlignment="1">
      <alignment horizontal="left"/>
    </xf>
    <xf numFmtId="174" fontId="29" fillId="0" borderId="38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0" xfId="0" applyFont="1" applyBorder="1"/>
    <xf numFmtId="174" fontId="29" fillId="0" borderId="68" xfId="0" applyNumberFormat="1" applyFont="1" applyBorder="1"/>
    <xf numFmtId="0" fontId="31" fillId="0" borderId="69" xfId="0" applyFont="1" applyBorder="1"/>
    <xf numFmtId="0" fontId="31" fillId="0" borderId="70" xfId="0" applyFont="1" applyBorder="1"/>
    <xf numFmtId="0" fontId="36" fillId="6" borderId="63" xfId="0" applyFont="1" applyFill="1" applyBorder="1" applyAlignment="1">
      <alignment horizontal="left"/>
    </xf>
    <xf numFmtId="0" fontId="36" fillId="6" borderId="66" xfId="0" applyFont="1" applyFill="1" applyBorder="1" applyAlignment="1">
      <alignment horizontal="centerContinuous"/>
    </xf>
    <xf numFmtId="0" fontId="28" fillId="0" borderId="71" xfId="0" applyFont="1" applyBorder="1"/>
    <xf numFmtId="0" fontId="31" fillId="0" borderId="72" xfId="0" applyFont="1" applyBorder="1"/>
    <xf numFmtId="0" fontId="31" fillId="0" borderId="0" xfId="0" applyFont="1" applyBorder="1"/>
    <xf numFmtId="0" fontId="31" fillId="0" borderId="62" xfId="0" applyFont="1" applyBorder="1"/>
    <xf numFmtId="0" fontId="31" fillId="0" borderId="61" xfId="0" applyFont="1" applyBorder="1"/>
    <xf numFmtId="0" fontId="28" fillId="0" borderId="58" xfId="0" applyFont="1" applyBorder="1" applyAlignment="1">
      <alignment horizontal="left"/>
    </xf>
    <xf numFmtId="0" fontId="28" fillId="0" borderId="63" xfId="0" applyFont="1" applyBorder="1" applyAlignment="1">
      <alignment horizontal="left"/>
    </xf>
    <xf numFmtId="0" fontId="31" fillId="0" borderId="73" xfId="0" applyFont="1" applyBorder="1"/>
    <xf numFmtId="0" fontId="31" fillId="0" borderId="1" xfId="0" applyFont="1" applyBorder="1"/>
    <xf numFmtId="0" fontId="37" fillId="0" borderId="60" xfId="0" applyFont="1" applyBorder="1"/>
    <xf numFmtId="0" fontId="28" fillId="6" borderId="63" xfId="0" applyFont="1" applyFill="1" applyBorder="1" applyAlignment="1">
      <alignment horizontal="centerContinuous"/>
    </xf>
    <xf numFmtId="0" fontId="31" fillId="6" borderId="66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29" fillId="0" borderId="71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1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0" xfId="0" quotePrefix="1" applyFont="1" applyBorder="1" applyAlignment="1">
      <alignment horizontal="left"/>
    </xf>
    <xf numFmtId="167" fontId="29" fillId="2" borderId="74" xfId="0" applyNumberFormat="1" applyFont="1" applyFill="1" applyBorder="1" applyProtection="1"/>
    <xf numFmtId="0" fontId="29" fillId="0" borderId="75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6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1" xfId="0" quotePrefix="1" applyFont="1" applyBorder="1" applyAlignment="1">
      <alignment horizontal="left"/>
    </xf>
    <xf numFmtId="172" fontId="28" fillId="0" borderId="51" xfId="0" applyNumberFormat="1" applyFont="1" applyBorder="1"/>
    <xf numFmtId="0" fontId="33" fillId="0" borderId="12" xfId="0" applyFont="1" applyBorder="1"/>
    <xf numFmtId="167" fontId="33" fillId="0" borderId="60" xfId="0" applyNumberFormat="1" applyFont="1" applyBorder="1"/>
    <xf numFmtId="0" fontId="31" fillId="0" borderId="12" xfId="0" applyFont="1" applyBorder="1"/>
    <xf numFmtId="0" fontId="29" fillId="0" borderId="71" xfId="0" quotePrefix="1" applyFont="1" applyBorder="1" applyAlignment="1">
      <alignment horizontal="left"/>
    </xf>
    <xf numFmtId="0" fontId="29" fillId="0" borderId="2" xfId="0" applyFont="1" applyBorder="1"/>
    <xf numFmtId="0" fontId="29" fillId="0" borderId="38" xfId="0" applyFont="1" applyBorder="1"/>
    <xf numFmtId="167" fontId="29" fillId="2" borderId="12" xfId="0" applyNumberFormat="1" applyFont="1" applyFill="1" applyBorder="1" applyProtection="1"/>
    <xf numFmtId="167" fontId="29" fillId="2" borderId="38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8" xfId="0" applyNumberFormat="1" applyFont="1" applyFill="1" applyBorder="1" applyProtection="1"/>
    <xf numFmtId="167" fontId="29" fillId="2" borderId="77" xfId="0" applyNumberFormat="1" applyFont="1" applyFill="1" applyBorder="1" applyProtection="1"/>
    <xf numFmtId="0" fontId="29" fillId="0" borderId="1" xfId="0" applyFont="1" applyBorder="1"/>
    <xf numFmtId="0" fontId="29" fillId="0" borderId="78" xfId="0" applyFont="1" applyBorder="1"/>
    <xf numFmtId="0" fontId="29" fillId="0" borderId="79" xfId="0" applyFont="1" applyBorder="1"/>
    <xf numFmtId="0" fontId="29" fillId="0" borderId="2" xfId="0" quotePrefix="1" applyFont="1" applyBorder="1" applyAlignment="1">
      <alignment horizontal="left"/>
    </xf>
    <xf numFmtId="0" fontId="31" fillId="0" borderId="38" xfId="0" applyFont="1" applyBorder="1"/>
    <xf numFmtId="0" fontId="31" fillId="0" borderId="38" xfId="0" quotePrefix="1" applyFont="1" applyBorder="1" applyAlignment="1">
      <alignment horizontal="left"/>
    </xf>
    <xf numFmtId="0" fontId="31" fillId="0" borderId="38" xfId="0" applyFont="1" applyBorder="1" applyAlignment="1">
      <alignment horizontal="center"/>
    </xf>
    <xf numFmtId="0" fontId="28" fillId="0" borderId="65" xfId="0" applyFont="1" applyBorder="1"/>
    <xf numFmtId="167" fontId="28" fillId="0" borderId="80" xfId="0" applyNumberFormat="1" applyFont="1" applyBorder="1"/>
    <xf numFmtId="0" fontId="31" fillId="0" borderId="80" xfId="0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5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8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69" xfId="0" quotePrefix="1" applyFont="1" applyBorder="1" applyAlignment="1">
      <alignment horizontal="left"/>
    </xf>
    <xf numFmtId="0" fontId="28" fillId="0" borderId="83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4" xfId="0" applyNumberFormat="1" applyFont="1" applyBorder="1"/>
    <xf numFmtId="166" fontId="29" fillId="2" borderId="60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8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4" xfId="0" applyBorder="1"/>
    <xf numFmtId="0" fontId="40" fillId="0" borderId="0" xfId="0" applyFont="1"/>
    <xf numFmtId="0" fontId="0" fillId="0" borderId="61" xfId="0" applyBorder="1"/>
    <xf numFmtId="0" fontId="0" fillId="0" borderId="85" xfId="0" applyBorder="1"/>
    <xf numFmtId="0" fontId="0" fillId="0" borderId="48" xfId="0" applyBorder="1"/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39" xfId="0" applyNumberFormat="1" applyFont="1" applyFill="1" applyBorder="1"/>
    <xf numFmtId="164" fontId="0" fillId="0" borderId="0" xfId="0" applyNumberFormat="1" applyAlignment="1" applyProtection="1">
      <alignment horizontal="left"/>
    </xf>
    <xf numFmtId="0" fontId="15" fillId="0" borderId="0" xfId="0" applyFont="1" applyAlignment="1">
      <alignment horizontal="left"/>
    </xf>
    <xf numFmtId="167" fontId="29" fillId="0" borderId="59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2" fillId="0" borderId="0" xfId="0" applyFont="1"/>
    <xf numFmtId="0" fontId="28" fillId="5" borderId="48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86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0" xfId="0" applyFont="1" applyFill="1" applyBorder="1" applyAlignment="1"/>
    <xf numFmtId="179" fontId="16" fillId="2" borderId="87" xfId="0" applyNumberFormat="1" applyFont="1" applyFill="1" applyBorder="1" applyAlignment="1" applyProtection="1">
      <alignment horizontal="center"/>
    </xf>
    <xf numFmtId="1" fontId="44" fillId="8" borderId="88" xfId="0" applyNumberFormat="1" applyFont="1" applyFill="1" applyBorder="1" applyAlignment="1">
      <alignment horizontal="left"/>
    </xf>
    <xf numFmtId="0" fontId="45" fillId="0" borderId="0" xfId="0" applyFont="1" applyProtection="1">
      <protection locked="0"/>
    </xf>
    <xf numFmtId="0" fontId="44" fillId="0" borderId="0" xfId="0" applyFont="1" applyProtection="1">
      <protection locked="0"/>
    </xf>
    <xf numFmtId="164" fontId="16" fillId="2" borderId="87" xfId="0" applyNumberFormat="1" applyFont="1" applyFill="1" applyBorder="1" applyProtection="1"/>
    <xf numFmtId="164" fontId="16" fillId="2" borderId="89" xfId="0" applyNumberFormat="1" applyFont="1" applyFill="1" applyBorder="1" applyProtection="1"/>
    <xf numFmtId="166" fontId="16" fillId="2" borderId="90" xfId="0" applyNumberFormat="1" applyFont="1" applyFill="1" applyBorder="1" applyProtection="1"/>
    <xf numFmtId="166" fontId="16" fillId="2" borderId="91" xfId="0" applyNumberFormat="1" applyFont="1" applyFill="1" applyBorder="1" applyProtection="1"/>
    <xf numFmtId="166" fontId="16" fillId="2" borderId="74" xfId="0" applyNumberFormat="1" applyFont="1" applyFill="1" applyBorder="1" applyProtection="1"/>
    <xf numFmtId="166" fontId="16" fillId="2" borderId="92" xfId="0" applyNumberFormat="1" applyFont="1" applyFill="1" applyBorder="1" applyProtection="1"/>
    <xf numFmtId="166" fontId="16" fillId="2" borderId="93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4" xfId="0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2" fontId="16" fillId="2" borderId="74" xfId="0" applyNumberFormat="1" applyFont="1" applyFill="1" applyBorder="1" applyProtection="1"/>
    <xf numFmtId="2" fontId="16" fillId="2" borderId="93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4" fillId="0" borderId="0" xfId="0" applyFont="1" applyAlignment="1" applyProtection="1">
      <alignment horizontal="left"/>
      <protection locked="0"/>
    </xf>
    <xf numFmtId="0" fontId="36" fillId="0" borderId="66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6" xfId="0" applyFont="1" applyFill="1" applyBorder="1" applyAlignment="1">
      <alignment horizontal="right"/>
    </xf>
    <xf numFmtId="0" fontId="6" fillId="5" borderId="66" xfId="0" applyFont="1" applyFill="1" applyBorder="1"/>
    <xf numFmtId="0" fontId="30" fillId="6" borderId="66" xfId="0" applyFont="1" applyFill="1" applyBorder="1" applyAlignment="1">
      <alignment horizontal="left"/>
    </xf>
    <xf numFmtId="0" fontId="28" fillId="5" borderId="48" xfId="0" applyFont="1" applyFill="1" applyBorder="1" applyAlignment="1">
      <alignment horizontal="left"/>
    </xf>
    <xf numFmtId="0" fontId="28" fillId="0" borderId="96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2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97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4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98" xfId="0" applyNumberFormat="1" applyFont="1" applyFill="1" applyBorder="1" applyAlignment="1" applyProtection="1"/>
    <xf numFmtId="0" fontId="29" fillId="0" borderId="73" xfId="0" applyFont="1" applyFill="1" applyBorder="1" applyAlignment="1"/>
    <xf numFmtId="0" fontId="29" fillId="0" borderId="98" xfId="0" applyFont="1" applyFill="1" applyBorder="1" applyAlignment="1"/>
    <xf numFmtId="0" fontId="28" fillId="5" borderId="97" xfId="0" applyFont="1" applyFill="1" applyBorder="1" applyAlignment="1">
      <alignment horizontal="center"/>
    </xf>
    <xf numFmtId="166" fontId="29" fillId="5" borderId="99" xfId="0" applyNumberFormat="1" applyFont="1" applyFill="1" applyBorder="1" applyAlignment="1"/>
    <xf numFmtId="166" fontId="29" fillId="5" borderId="100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0" xfId="0" applyFont="1" applyFill="1" applyBorder="1" applyAlignment="1"/>
    <xf numFmtId="0" fontId="29" fillId="5" borderId="101" xfId="0" applyFont="1" applyFill="1" applyBorder="1" applyAlignment="1"/>
    <xf numFmtId="0" fontId="29" fillId="5" borderId="84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8" xfId="0" applyFont="1" applyFill="1" applyBorder="1" applyAlignment="1">
      <alignment horizontal="left"/>
    </xf>
    <xf numFmtId="0" fontId="28" fillId="0" borderId="63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1" xfId="0" applyNumberFormat="1" applyFont="1" applyFill="1" applyBorder="1" applyAlignment="1"/>
    <xf numFmtId="0" fontId="28" fillId="6" borderId="66" xfId="0" applyFont="1" applyFill="1" applyBorder="1" applyAlignment="1">
      <alignment horizontal="center"/>
    </xf>
    <xf numFmtId="0" fontId="37" fillId="6" borderId="66" xfId="0" applyFont="1" applyFill="1" applyBorder="1" applyAlignment="1">
      <alignment horizontal="center"/>
    </xf>
    <xf numFmtId="0" fontId="28" fillId="0" borderId="97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99" xfId="0" applyFont="1" applyBorder="1"/>
    <xf numFmtId="0" fontId="31" fillId="0" borderId="55" xfId="0" applyFont="1" applyBorder="1"/>
    <xf numFmtId="167" fontId="29" fillId="2" borderId="56" xfId="0" applyNumberFormat="1" applyFont="1" applyFill="1" applyBorder="1" applyProtection="1"/>
    <xf numFmtId="0" fontId="31" fillId="0" borderId="56" xfId="0" applyFont="1" applyBorder="1"/>
    <xf numFmtId="0" fontId="31" fillId="0" borderId="102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2" xfId="0" applyNumberFormat="1" applyFont="1" applyBorder="1"/>
    <xf numFmtId="0" fontId="28" fillId="6" borderId="65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79" xfId="0" applyFont="1" applyFill="1" applyBorder="1" applyAlignment="1">
      <alignment horizontal="centerContinuous"/>
    </xf>
    <xf numFmtId="0" fontId="31" fillId="0" borderId="100" xfId="0" applyFont="1" applyBorder="1"/>
    <xf numFmtId="0" fontId="31" fillId="0" borderId="103" xfId="0" applyFont="1" applyBorder="1"/>
    <xf numFmtId="167" fontId="28" fillId="0" borderId="54" xfId="0" applyNumberFormat="1" applyFont="1" applyBorder="1"/>
    <xf numFmtId="0" fontId="31" fillId="0" borderId="54" xfId="0" applyFont="1" applyBorder="1"/>
    <xf numFmtId="0" fontId="31" fillId="0" borderId="104" xfId="0" applyFont="1" applyBorder="1"/>
    <xf numFmtId="0" fontId="31" fillId="0" borderId="105" xfId="0" applyFont="1" applyBorder="1"/>
    <xf numFmtId="0" fontId="29" fillId="0" borderId="50" xfId="0" applyFont="1" applyBorder="1"/>
    <xf numFmtId="0" fontId="29" fillId="0" borderId="18" xfId="0" applyFont="1" applyBorder="1"/>
    <xf numFmtId="0" fontId="29" fillId="0" borderId="61" xfId="0" applyFont="1" applyBorder="1"/>
    <xf numFmtId="0" fontId="29" fillId="0" borderId="59" xfId="0" applyFont="1" applyBorder="1"/>
    <xf numFmtId="0" fontId="31" fillId="0" borderId="46" xfId="0" applyFont="1" applyBorder="1"/>
    <xf numFmtId="0" fontId="29" fillId="0" borderId="106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39" xfId="0" applyFont="1" applyBorder="1"/>
    <xf numFmtId="0" fontId="29" fillId="0" borderId="39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59" xfId="0" applyFont="1" applyBorder="1"/>
    <xf numFmtId="0" fontId="29" fillId="0" borderId="107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08" xfId="0" applyFont="1" applyBorder="1"/>
    <xf numFmtId="0" fontId="36" fillId="6" borderId="65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97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99" xfId="0" applyNumberFormat="1" applyFont="1" applyBorder="1"/>
    <xf numFmtId="167" fontId="29" fillId="0" borderId="100" xfId="0" applyNumberFormat="1" applyFont="1" applyBorder="1"/>
    <xf numFmtId="167" fontId="29" fillId="0" borderId="56" xfId="0" applyNumberFormat="1" applyFont="1" applyBorder="1"/>
    <xf numFmtId="0" fontId="29" fillId="0" borderId="109" xfId="0" applyFont="1" applyBorder="1"/>
    <xf numFmtId="0" fontId="29" fillId="0" borderId="86" xfId="0" applyFont="1" applyBorder="1"/>
    <xf numFmtId="172" fontId="29" fillId="0" borderId="99" xfId="0" applyNumberFormat="1" applyFont="1" applyBorder="1"/>
    <xf numFmtId="167" fontId="29" fillId="0" borderId="84" xfId="0" applyNumberFormat="1" applyFont="1" applyBorder="1"/>
    <xf numFmtId="0" fontId="29" fillId="0" borderId="58" xfId="0" applyFont="1" applyBorder="1"/>
    <xf numFmtId="167" fontId="29" fillId="2" borderId="2" xfId="0" applyNumberFormat="1" applyFont="1" applyFill="1" applyBorder="1"/>
    <xf numFmtId="167" fontId="29" fillId="0" borderId="42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6" xfId="0" applyFont="1" applyBorder="1"/>
    <xf numFmtId="0" fontId="29" fillId="0" borderId="106" xfId="0" applyFont="1" applyBorder="1"/>
    <xf numFmtId="0" fontId="29" fillId="0" borderId="28" xfId="0" applyFont="1" applyBorder="1"/>
    <xf numFmtId="167" fontId="28" fillId="0" borderId="42" xfId="0" applyNumberFormat="1" applyFont="1" applyBorder="1"/>
    <xf numFmtId="0" fontId="29" fillId="0" borderId="65" xfId="0" applyFont="1" applyBorder="1"/>
    <xf numFmtId="0" fontId="29" fillId="0" borderId="98" xfId="0" applyFont="1" applyBorder="1"/>
    <xf numFmtId="0" fontId="29" fillId="0" borderId="67" xfId="0" applyFont="1" applyBorder="1"/>
    <xf numFmtId="0" fontId="29" fillId="0" borderId="96" xfId="0" applyFont="1" applyBorder="1" applyAlignment="1">
      <alignment horizontal="left"/>
    </xf>
    <xf numFmtId="0" fontId="28" fillId="0" borderId="86" xfId="0" quotePrefix="1" applyFont="1" applyBorder="1" applyAlignment="1">
      <alignment horizontal="left"/>
    </xf>
    <xf numFmtId="0" fontId="31" fillId="0" borderId="84" xfId="0" applyFont="1" applyBorder="1"/>
    <xf numFmtId="0" fontId="31" fillId="0" borderId="98" xfId="0" applyFont="1" applyBorder="1"/>
    <xf numFmtId="0" fontId="31" fillId="0" borderId="67" xfId="0" applyFont="1" applyBorder="1"/>
    <xf numFmtId="0" fontId="29" fillId="0" borderId="42" xfId="0" applyFont="1" applyBorder="1" applyAlignment="1">
      <alignment horizontal="left"/>
    </xf>
    <xf numFmtId="0" fontId="28" fillId="0" borderId="110" xfId="0" applyFont="1" applyFill="1" applyBorder="1" applyAlignment="1">
      <alignment horizontal="left"/>
    </xf>
    <xf numFmtId="0" fontId="29" fillId="0" borderId="111" xfId="0" applyFont="1" applyFill="1" applyBorder="1" applyAlignment="1"/>
    <xf numFmtId="0" fontId="28" fillId="0" borderId="112" xfId="0" applyFont="1" applyFill="1" applyBorder="1" applyAlignment="1"/>
    <xf numFmtId="179" fontId="16" fillId="2" borderId="113" xfId="0" applyNumberFormat="1" applyFont="1" applyFill="1" applyBorder="1" applyAlignment="1" applyProtection="1">
      <alignment horizontal="center"/>
    </xf>
    <xf numFmtId="164" fontId="28" fillId="0" borderId="112" xfId="0" applyNumberFormat="1" applyFont="1" applyFill="1" applyBorder="1" applyAlignment="1"/>
    <xf numFmtId="0" fontId="29" fillId="0" borderId="112" xfId="0" applyFont="1" applyFill="1" applyBorder="1" applyAlignment="1"/>
    <xf numFmtId="0" fontId="29" fillId="0" borderId="114" xfId="0" applyFont="1" applyFill="1" applyBorder="1" applyAlignment="1"/>
    <xf numFmtId="0" fontId="29" fillId="0" borderId="0" xfId="0" applyFont="1" applyBorder="1"/>
    <xf numFmtId="0" fontId="28" fillId="0" borderId="106" xfId="0" applyFont="1" applyBorder="1"/>
    <xf numFmtId="0" fontId="6" fillId="0" borderId="115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16" xfId="0" quotePrefix="1" applyFont="1" applyFill="1" applyBorder="1" applyAlignment="1"/>
    <xf numFmtId="0" fontId="29" fillId="0" borderId="117" xfId="0" applyFont="1" applyFill="1" applyBorder="1" applyAlignment="1"/>
    <xf numFmtId="0" fontId="29" fillId="0" borderId="107" xfId="0" quotePrefix="1" applyFont="1" applyFill="1" applyBorder="1" applyAlignment="1"/>
    <xf numFmtId="0" fontId="29" fillId="0" borderId="118" xfId="0" applyFont="1" applyFill="1" applyBorder="1" applyAlignment="1"/>
    <xf numFmtId="0" fontId="29" fillId="0" borderId="62" xfId="0" applyFont="1" applyFill="1" applyBorder="1" applyAlignment="1"/>
    <xf numFmtId="0" fontId="29" fillId="0" borderId="119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3" xfId="0" applyFont="1" applyBorder="1"/>
    <xf numFmtId="167" fontId="29" fillId="0" borderId="72" xfId="0" applyNumberFormat="1" applyFont="1" applyBorder="1"/>
    <xf numFmtId="167" fontId="28" fillId="0" borderId="39" xfId="0" applyNumberFormat="1" applyFont="1" applyBorder="1"/>
    <xf numFmtId="0" fontId="6" fillId="0" borderId="45" xfId="0" applyFont="1" applyBorder="1"/>
    <xf numFmtId="166" fontId="29" fillId="0" borderId="6" xfId="0" applyNumberFormat="1" applyFont="1" applyFill="1" applyBorder="1" applyAlignment="1"/>
    <xf numFmtId="166" fontId="29" fillId="0" borderId="120" xfId="0" applyNumberFormat="1" applyFont="1" applyFill="1" applyBorder="1" applyAlignment="1"/>
    <xf numFmtId="0" fontId="28" fillId="0" borderId="97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1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59" xfId="0" applyFont="1" applyFill="1" applyBorder="1" applyAlignment="1"/>
    <xf numFmtId="166" fontId="29" fillId="0" borderId="99" xfId="0" applyNumberFormat="1" applyFont="1" applyFill="1" applyBorder="1" applyAlignment="1"/>
    <xf numFmtId="0" fontId="29" fillId="0" borderId="84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7" fillId="0" borderId="28" xfId="0" applyFont="1" applyBorder="1"/>
    <xf numFmtId="167" fontId="0" fillId="0" borderId="53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97" xfId="0" applyFont="1" applyFill="1" applyBorder="1" applyAlignment="1">
      <alignment horizontal="left"/>
    </xf>
    <xf numFmtId="0" fontId="47" fillId="0" borderId="111" xfId="0" applyFont="1" applyBorder="1"/>
    <xf numFmtId="0" fontId="47" fillId="0" borderId="112" xfId="0" applyFont="1" applyBorder="1"/>
    <xf numFmtId="0" fontId="47" fillId="0" borderId="11" xfId="0" applyFont="1" applyBorder="1"/>
    <xf numFmtId="0" fontId="48" fillId="0" borderId="0" xfId="0" applyFont="1" applyBorder="1"/>
    <xf numFmtId="0" fontId="48" fillId="0" borderId="85" xfId="0" applyFont="1" applyBorder="1"/>
    <xf numFmtId="0" fontId="48" fillId="0" borderId="13" xfId="0" applyFont="1" applyBorder="1"/>
    <xf numFmtId="0" fontId="47" fillId="0" borderId="8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7" fillId="0" borderId="13" xfId="0" applyFont="1" applyBorder="1" applyAlignment="1">
      <alignment horizontal="center"/>
    </xf>
    <xf numFmtId="0" fontId="48" fillId="0" borderId="121" xfId="0" applyFont="1" applyBorder="1" applyAlignment="1">
      <alignment horizontal="center"/>
    </xf>
    <xf numFmtId="1" fontId="47" fillId="0" borderId="9" xfId="0" applyNumberFormat="1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7" fillId="0" borderId="122" xfId="0" applyFont="1" applyBorder="1" applyAlignment="1">
      <alignment horizontal="center"/>
    </xf>
    <xf numFmtId="0" fontId="47" fillId="0" borderId="9" xfId="0" applyFont="1" applyBorder="1" applyAlignment="1">
      <alignment horizontal="center"/>
    </xf>
    <xf numFmtId="0" fontId="47" fillId="0" borderId="123" xfId="0" applyFont="1" applyBorder="1" applyAlignment="1">
      <alignment horizontal="center"/>
    </xf>
    <xf numFmtId="0" fontId="49" fillId="0" borderId="124" xfId="0" applyFont="1" applyBorder="1"/>
    <xf numFmtId="0" fontId="50" fillId="0" borderId="9" xfId="0" applyFont="1" applyBorder="1"/>
    <xf numFmtId="171" fontId="50" fillId="0" borderId="26" xfId="0" applyNumberFormat="1" applyFont="1" applyBorder="1"/>
    <xf numFmtId="0" fontId="50" fillId="0" borderId="26" xfId="0" applyFont="1" applyBorder="1"/>
    <xf numFmtId="0" fontId="50" fillId="0" borderId="79" xfId="0" applyFont="1" applyBorder="1"/>
    <xf numFmtId="0" fontId="47" fillId="5" borderId="97" xfId="0" applyFont="1" applyFill="1" applyBorder="1"/>
    <xf numFmtId="0" fontId="47" fillId="5" borderId="31" xfId="0" applyFont="1" applyFill="1" applyBorder="1"/>
    <xf numFmtId="0" fontId="47" fillId="5" borderId="29" xfId="0" applyFont="1" applyFill="1" applyBorder="1"/>
    <xf numFmtId="0" fontId="47" fillId="5" borderId="30" xfId="0" applyFont="1" applyFill="1" applyBorder="1"/>
    <xf numFmtId="0" fontId="47" fillId="5" borderId="84" xfId="0" applyFont="1" applyFill="1" applyBorder="1"/>
    <xf numFmtId="0" fontId="49" fillId="0" borderId="11" xfId="0" applyFont="1" applyBorder="1"/>
    <xf numFmtId="0" fontId="50" fillId="0" borderId="1" xfId="0" applyFont="1" applyBorder="1"/>
    <xf numFmtId="0" fontId="47" fillId="5" borderId="7" xfId="0" applyFont="1" applyFill="1" applyBorder="1"/>
    <xf numFmtId="0" fontId="47" fillId="5" borderId="27" xfId="0" applyFont="1" applyFill="1" applyBorder="1"/>
    <xf numFmtId="0" fontId="47" fillId="2" borderId="106" xfId="0" applyFont="1" applyFill="1" applyBorder="1"/>
    <xf numFmtId="0" fontId="47" fillId="2" borderId="125" xfId="0" applyFont="1" applyFill="1" applyBorder="1"/>
    <xf numFmtId="171" fontId="50" fillId="0" borderId="126" xfId="0" applyNumberFormat="1" applyFont="1" applyBorder="1"/>
    <xf numFmtId="0" fontId="47" fillId="2" borderId="53" xfId="0" applyFont="1" applyFill="1" applyBorder="1"/>
    <xf numFmtId="0" fontId="47" fillId="2" borderId="27" xfId="0" applyFont="1" applyFill="1" applyBorder="1"/>
    <xf numFmtId="0" fontId="47" fillId="2" borderId="7" xfId="0" applyFont="1" applyFill="1" applyBorder="1"/>
    <xf numFmtId="0" fontId="47" fillId="2" borderId="127" xfId="0" applyFont="1" applyFill="1" applyBorder="1"/>
    <xf numFmtId="0" fontId="47" fillId="2" borderId="128" xfId="0" applyFont="1" applyFill="1" applyBorder="1"/>
    <xf numFmtId="0" fontId="47" fillId="2" borderId="129" xfId="0" applyFont="1" applyFill="1" applyBorder="1"/>
    <xf numFmtId="171" fontId="50" fillId="0" borderId="85" xfId="0" applyNumberFormat="1" applyFont="1" applyBorder="1"/>
    <xf numFmtId="0" fontId="47" fillId="2" borderId="61" xfId="0" applyFont="1" applyFill="1" applyBorder="1"/>
    <xf numFmtId="0" fontId="47" fillId="2" borderId="85" xfId="0" applyFont="1" applyFill="1" applyBorder="1"/>
    <xf numFmtId="0" fontId="47" fillId="2" borderId="57" xfId="0" applyFont="1" applyFill="1" applyBorder="1"/>
    <xf numFmtId="0" fontId="47" fillId="2" borderId="10" xfId="0" applyFont="1" applyFill="1" applyBorder="1"/>
    <xf numFmtId="0" fontId="47" fillId="2" borderId="32" xfId="0" applyFont="1" applyFill="1" applyBorder="1"/>
    <xf numFmtId="0" fontId="47" fillId="2" borderId="121" xfId="0" applyFont="1" applyFill="1" applyBorder="1"/>
    <xf numFmtId="0" fontId="47" fillId="2" borderId="1" xfId="0" applyFont="1" applyFill="1" applyBorder="1"/>
    <xf numFmtId="0" fontId="47" fillId="2" borderId="26" xfId="0" applyFont="1" applyFill="1" applyBorder="1"/>
    <xf numFmtId="0" fontId="47" fillId="2" borderId="9" xfId="0" applyFont="1" applyFill="1" applyBorder="1"/>
    <xf numFmtId="0" fontId="47" fillId="2" borderId="79" xfId="0" applyFont="1" applyFill="1" applyBorder="1"/>
    <xf numFmtId="0" fontId="49" fillId="0" borderId="121" xfId="0" applyFont="1" applyBorder="1"/>
    <xf numFmtId="0" fontId="49" fillId="0" borderId="9" xfId="0" applyFont="1" applyBorder="1"/>
    <xf numFmtId="0" fontId="49" fillId="0" borderId="26" xfId="0" applyFont="1" applyBorder="1"/>
    <xf numFmtId="0" fontId="49" fillId="0" borderId="1" xfId="0" applyFont="1" applyBorder="1"/>
    <xf numFmtId="0" fontId="49" fillId="0" borderId="79" xfId="0" applyFont="1" applyBorder="1"/>
    <xf numFmtId="0" fontId="46" fillId="5" borderId="97" xfId="0" applyFont="1" applyFill="1" applyBorder="1" applyAlignment="1">
      <alignment horizontal="center"/>
    </xf>
    <xf numFmtId="0" fontId="50" fillId="0" borderId="11" xfId="0" applyFont="1" applyBorder="1"/>
    <xf numFmtId="0" fontId="50" fillId="0" borderId="8" xfId="0" applyFont="1" applyBorder="1"/>
    <xf numFmtId="1" fontId="50" fillId="0" borderId="24" xfId="0" applyNumberFormat="1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13" xfId="0" applyFont="1" applyBorder="1"/>
    <xf numFmtId="0" fontId="46" fillId="5" borderId="124" xfId="0" applyFont="1" applyFill="1" applyBorder="1" applyAlignment="1">
      <alignment horizontal="center"/>
    </xf>
    <xf numFmtId="0" fontId="49" fillId="0" borderId="97" xfId="0" applyFont="1" applyBorder="1"/>
    <xf numFmtId="0" fontId="50" fillId="0" borderId="31" xfId="0" applyFont="1" applyBorder="1"/>
    <xf numFmtId="171" fontId="50" fillId="0" borderId="29" xfId="0" applyNumberFormat="1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84" xfId="0" applyFont="1" applyBorder="1"/>
    <xf numFmtId="0" fontId="48" fillId="0" borderId="11" xfId="0" applyFont="1" applyBorder="1"/>
    <xf numFmtId="0" fontId="47" fillId="0" borderId="10" xfId="0" applyFont="1" applyBorder="1"/>
    <xf numFmtId="166" fontId="47" fillId="0" borderId="32" xfId="0" applyNumberFormat="1" applyFont="1" applyBorder="1"/>
    <xf numFmtId="0" fontId="47" fillId="0" borderId="2" xfId="0" applyFont="1" applyBorder="1"/>
    <xf numFmtId="0" fontId="48" fillId="0" borderId="128" xfId="0" applyFont="1" applyBorder="1"/>
    <xf numFmtId="0" fontId="47" fillId="0" borderId="8" xfId="0" applyFont="1" applyBorder="1"/>
    <xf numFmtId="0" fontId="47" fillId="0" borderId="0" xfId="0" applyFont="1" applyBorder="1"/>
    <xf numFmtId="0" fontId="47" fillId="0" borderId="24" xfId="0" applyFont="1" applyBorder="1"/>
    <xf numFmtId="0" fontId="47" fillId="0" borderId="129" xfId="0" applyFont="1" applyBorder="1"/>
    <xf numFmtId="0" fontId="47" fillId="0" borderId="61" xfId="0" applyFont="1" applyBorder="1"/>
    <xf numFmtId="0" fontId="47" fillId="0" borderId="85" xfId="0" applyFont="1" applyBorder="1"/>
    <xf numFmtId="0" fontId="47" fillId="0" borderId="9" xfId="0" applyFont="1" applyBorder="1"/>
    <xf numFmtId="0" fontId="47" fillId="0" borderId="26" xfId="0" applyFont="1" applyBorder="1"/>
    <xf numFmtId="0" fontId="50" fillId="5" borderId="97" xfId="0" applyFont="1" applyFill="1" applyBorder="1"/>
    <xf numFmtId="0" fontId="50" fillId="5" borderId="30" xfId="0" applyFont="1" applyFill="1" applyBorder="1"/>
    <xf numFmtId="0" fontId="49" fillId="5" borderId="30" xfId="0" applyFont="1" applyFill="1" applyBorder="1" applyAlignment="1">
      <alignment horizontal="center"/>
    </xf>
    <xf numFmtId="0" fontId="50" fillId="5" borderId="29" xfId="0" applyFont="1" applyFill="1" applyBorder="1"/>
    <xf numFmtId="0" fontId="49" fillId="5" borderId="30" xfId="0" applyFont="1" applyFill="1" applyBorder="1"/>
    <xf numFmtId="0" fontId="50" fillId="5" borderId="84" xfId="0" applyFont="1" applyFill="1" applyBorder="1"/>
    <xf numFmtId="167" fontId="47" fillId="0" borderId="45" xfId="0" applyNumberFormat="1" applyFont="1" applyBorder="1"/>
    <xf numFmtId="0" fontId="47" fillId="0" borderId="41" xfId="0" applyFont="1" applyBorder="1"/>
    <xf numFmtId="0" fontId="47" fillId="0" borderId="45" xfId="0" applyFont="1" applyBorder="1"/>
    <xf numFmtId="0" fontId="47" fillId="0" borderId="126" xfId="0" applyFont="1" applyBorder="1"/>
    <xf numFmtId="0" fontId="51" fillId="0" borderId="0" xfId="0" applyFont="1" applyBorder="1"/>
    <xf numFmtId="0" fontId="47" fillId="0" borderId="53" xfId="0" applyFont="1" applyBorder="1"/>
    <xf numFmtId="0" fontId="47" fillId="2" borderId="13" xfId="0" applyFont="1" applyFill="1" applyBorder="1"/>
    <xf numFmtId="167" fontId="47" fillId="0" borderId="38" xfId="0" applyNumberFormat="1" applyFont="1" applyBorder="1"/>
    <xf numFmtId="0" fontId="47" fillId="0" borderId="60" xfId="0" applyFont="1" applyBorder="1"/>
    <xf numFmtId="0" fontId="47" fillId="0" borderId="39" xfId="0" applyFont="1" applyBorder="1"/>
    <xf numFmtId="167" fontId="47" fillId="0" borderId="78" xfId="0" applyNumberFormat="1" applyFont="1" applyBorder="1"/>
    <xf numFmtId="0" fontId="47" fillId="0" borderId="1" xfId="0" applyFont="1" applyBorder="1"/>
    <xf numFmtId="0" fontId="47" fillId="0" borderId="78" xfId="0" applyFont="1" applyBorder="1"/>
    <xf numFmtId="0" fontId="46" fillId="0" borderId="97" xfId="0" applyFont="1" applyBorder="1"/>
    <xf numFmtId="0" fontId="48" fillId="0" borderId="100" xfId="0" applyFont="1" applyBorder="1"/>
    <xf numFmtId="0" fontId="48" fillId="0" borderId="103" xfId="0" applyFont="1" applyBorder="1"/>
    <xf numFmtId="0" fontId="48" fillId="0" borderId="54" xfId="0" applyFont="1" applyBorder="1"/>
    <xf numFmtId="0" fontId="48" fillId="0" borderId="27" xfId="0" applyFont="1" applyBorder="1"/>
    <xf numFmtId="0" fontId="48" fillId="0" borderId="39" xfId="0" applyFont="1" applyBorder="1"/>
    <xf numFmtId="0" fontId="48" fillId="0" borderId="24" xfId="0" applyFont="1" applyBorder="1"/>
    <xf numFmtId="0" fontId="47" fillId="0" borderId="100" xfId="0" applyFont="1" applyBorder="1"/>
    <xf numFmtId="0" fontId="47" fillId="0" borderId="30" xfId="0" applyFont="1" applyBorder="1"/>
    <xf numFmtId="0" fontId="47" fillId="0" borderId="29" xfId="0" applyFont="1" applyBorder="1"/>
    <xf numFmtId="0" fontId="47" fillId="0" borderId="62" xfId="0" applyFont="1" applyBorder="1"/>
    <xf numFmtId="0" fontId="48" fillId="0" borderId="5" xfId="0" applyFont="1" applyBorder="1"/>
    <xf numFmtId="0" fontId="52" fillId="0" borderId="130" xfId="0" applyFont="1" applyBorder="1"/>
    <xf numFmtId="0" fontId="48" fillId="0" borderId="131" xfId="0" applyFont="1" applyBorder="1"/>
    <xf numFmtId="0" fontId="48" fillId="0" borderId="60" xfId="0" applyFont="1" applyBorder="1"/>
    <xf numFmtId="0" fontId="48" fillId="0" borderId="132" xfId="0" applyFont="1" applyBorder="1"/>
    <xf numFmtId="0" fontId="48" fillId="0" borderId="14" xfId="0" applyFont="1" applyBorder="1"/>
    <xf numFmtId="1" fontId="47" fillId="0" borderId="122" xfId="0" applyNumberFormat="1" applyFont="1" applyBorder="1" applyAlignment="1">
      <alignment horizontal="center"/>
    </xf>
    <xf numFmtId="167" fontId="52" fillId="0" borderId="38" xfId="0" applyNumberFormat="1" applyFont="1" applyBorder="1"/>
    <xf numFmtId="167" fontId="52" fillId="0" borderId="45" xfId="0" applyNumberFormat="1" applyFont="1" applyBorder="1"/>
    <xf numFmtId="167" fontId="52" fillId="0" borderId="60" xfId="0" applyNumberFormat="1" applyFont="1" applyBorder="1"/>
    <xf numFmtId="167" fontId="52" fillId="0" borderId="100" xfId="0" applyNumberFormat="1" applyFont="1" applyBorder="1"/>
    <xf numFmtId="171" fontId="49" fillId="0" borderId="26" xfId="0" applyNumberFormat="1" applyFont="1" applyBorder="1"/>
    <xf numFmtId="0" fontId="48" fillId="0" borderId="11" xfId="0" quotePrefix="1" applyFont="1" applyBorder="1" applyAlignment="1">
      <alignment horizontal="left"/>
    </xf>
    <xf numFmtId="0" fontId="48" fillId="0" borderId="133" xfId="0" applyFont="1" applyBorder="1"/>
    <xf numFmtId="0" fontId="48" fillId="0" borderId="134" xfId="0" applyFont="1" applyBorder="1"/>
    <xf numFmtId="0" fontId="48" fillId="0" borderId="69" xfId="0" applyFont="1" applyBorder="1"/>
    <xf numFmtId="0" fontId="48" fillId="0" borderId="135" xfId="0" applyFont="1" applyBorder="1"/>
    <xf numFmtId="0" fontId="47" fillId="0" borderId="14" xfId="0" applyFont="1" applyBorder="1"/>
    <xf numFmtId="167" fontId="4" fillId="2" borderId="5" xfId="0" applyNumberFormat="1" applyFont="1" applyFill="1" applyBorder="1"/>
    <xf numFmtId="0" fontId="7" fillId="0" borderId="136" xfId="0" quotePrefix="1" applyFont="1" applyBorder="1" applyAlignment="1">
      <alignment horizontal="left"/>
    </xf>
    <xf numFmtId="167" fontId="47" fillId="0" borderId="42" xfId="0" applyNumberFormat="1" applyFont="1" applyBorder="1"/>
    <xf numFmtId="167" fontId="47" fillId="0" borderId="57" xfId="0" applyNumberFormat="1" applyFont="1" applyBorder="1"/>
    <xf numFmtId="167" fontId="47" fillId="0" borderId="12" xfId="0" applyNumberFormat="1" applyFont="1" applyBorder="1"/>
    <xf numFmtId="0" fontId="7" fillId="0" borderId="39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7" xfId="0" quotePrefix="1" applyFont="1" applyBorder="1" applyAlignment="1">
      <alignment horizontal="left"/>
    </xf>
    <xf numFmtId="0" fontId="13" fillId="2" borderId="0" xfId="0" applyFont="1" applyFill="1" applyBorder="1"/>
    <xf numFmtId="0" fontId="52" fillId="0" borderId="11" xfId="0" applyFont="1" applyBorder="1"/>
    <xf numFmtId="0" fontId="52" fillId="0" borderId="11" xfId="0" quotePrefix="1" applyFont="1" applyBorder="1" applyAlignment="1">
      <alignment horizontal="left"/>
    </xf>
    <xf numFmtId="167" fontId="47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120" xfId="0" applyFont="1" applyBorder="1"/>
    <xf numFmtId="0" fontId="0" fillId="0" borderId="111" xfId="0" applyBorder="1"/>
    <xf numFmtId="0" fontId="16" fillId="0" borderId="0" xfId="0" quotePrefix="1" applyFont="1" applyBorder="1" applyAlignment="1">
      <alignment horizontal="left"/>
    </xf>
    <xf numFmtId="0" fontId="16" fillId="0" borderId="85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38" xfId="0" applyNumberFormat="1" applyFont="1" applyFill="1" applyBorder="1"/>
    <xf numFmtId="0" fontId="28" fillId="0" borderId="97" xfId="0" applyFont="1" applyBorder="1"/>
    <xf numFmtId="0" fontId="11" fillId="0" borderId="0" xfId="0" applyFont="1"/>
    <xf numFmtId="0" fontId="7" fillId="0" borderId="39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7" fillId="0" borderId="53" xfId="0" applyFont="1" applyBorder="1"/>
    <xf numFmtId="167" fontId="7" fillId="2" borderId="0" xfId="0" applyNumberFormat="1" applyFont="1" applyFill="1" applyBorder="1" applyProtection="1"/>
    <xf numFmtId="0" fontId="0" fillId="0" borderId="0" xfId="0" applyAlignment="1"/>
    <xf numFmtId="0" fontId="0" fillId="0" borderId="57" xfId="0" applyBorder="1"/>
    <xf numFmtId="167" fontId="1" fillId="2" borderId="60" xfId="0" applyNumberFormat="1" applyFont="1" applyFill="1" applyBorder="1"/>
    <xf numFmtId="167" fontId="7" fillId="0" borderId="72" xfId="0" applyNumberFormat="1" applyFont="1" applyBorder="1"/>
    <xf numFmtId="167" fontId="7" fillId="0" borderId="13" xfId="0" applyNumberFormat="1" applyFont="1" applyBorder="1"/>
    <xf numFmtId="167" fontId="7" fillId="0" borderId="78" xfId="0" applyNumberFormat="1" applyFont="1" applyBorder="1"/>
    <xf numFmtId="167" fontId="7" fillId="0" borderId="79" xfId="0" applyNumberFormat="1" applyFont="1" applyBorder="1"/>
    <xf numFmtId="0" fontId="0" fillId="0" borderId="139" xfId="0" applyBorder="1"/>
    <xf numFmtId="0" fontId="8" fillId="0" borderId="129" xfId="0" applyFont="1" applyBorder="1"/>
    <xf numFmtId="167" fontId="48" fillId="0" borderId="54" xfId="0" applyNumberFormat="1" applyFont="1" applyBorder="1"/>
    <xf numFmtId="167" fontId="47" fillId="0" borderId="60" xfId="0" applyNumberFormat="1" applyFont="1" applyBorder="1"/>
    <xf numFmtId="167" fontId="48" fillId="0" borderId="39" xfId="0" applyNumberFormat="1" applyFont="1" applyBorder="1"/>
    <xf numFmtId="167" fontId="47" fillId="0" borderId="100" xfId="0" applyNumberFormat="1" applyFont="1" applyBorder="1"/>
    <xf numFmtId="0" fontId="47" fillId="5" borderId="106" xfId="0" applyFont="1" applyFill="1" applyBorder="1"/>
    <xf numFmtId="0" fontId="47" fillId="5" borderId="53" xfId="0" applyFont="1" applyFill="1" applyBorder="1"/>
    <xf numFmtId="0" fontId="47" fillId="5" borderId="127" xfId="0" applyFont="1" applyFill="1" applyBorder="1"/>
    <xf numFmtId="0" fontId="4" fillId="2" borderId="140" xfId="0" applyFont="1" applyFill="1" applyBorder="1"/>
    <xf numFmtId="0" fontId="49" fillId="2" borderId="106" xfId="0" applyFont="1" applyFill="1" applyBorder="1"/>
    <xf numFmtId="0" fontId="46" fillId="5" borderId="84" xfId="0" applyFont="1" applyFill="1" applyBorder="1" applyAlignment="1">
      <alignment horizontal="left"/>
    </xf>
    <xf numFmtId="0" fontId="49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5" fillId="2" borderId="111" xfId="0" applyFont="1" applyFill="1" applyBorder="1" applyProtection="1"/>
    <xf numFmtId="164" fontId="55" fillId="2" borderId="111" xfId="0" applyNumberFormat="1" applyFont="1" applyFill="1" applyBorder="1" applyAlignment="1" applyProtection="1">
      <alignment horizontal="center"/>
    </xf>
    <xf numFmtId="164" fontId="55" fillId="2" borderId="15" xfId="0" applyNumberFormat="1" applyFont="1" applyFill="1" applyBorder="1" applyAlignment="1" applyProtection="1">
      <alignment horizontal="center"/>
    </xf>
    <xf numFmtId="0" fontId="54" fillId="2" borderId="11" xfId="0" quotePrefix="1" applyFont="1" applyFill="1" applyBorder="1" applyAlignment="1" applyProtection="1">
      <alignment horizontal="left"/>
    </xf>
    <xf numFmtId="0" fontId="55" fillId="2" borderId="0" xfId="0" applyFont="1" applyFill="1" applyBorder="1" applyProtection="1"/>
    <xf numFmtId="0" fontId="55" fillId="2" borderId="13" xfId="0" applyFont="1" applyFill="1" applyBorder="1" applyProtection="1"/>
    <xf numFmtId="0" fontId="56" fillId="2" borderId="11" xfId="0" applyFont="1" applyFill="1" applyBorder="1" applyProtection="1"/>
    <xf numFmtId="0" fontId="54" fillId="2" borderId="0" xfId="0" applyFont="1" applyFill="1" applyBorder="1" applyAlignment="1" applyProtection="1">
      <alignment horizontal="center"/>
    </xf>
    <xf numFmtId="0" fontId="54" fillId="2" borderId="13" xfId="0" applyFont="1" applyFill="1" applyBorder="1" applyAlignment="1" applyProtection="1">
      <alignment horizontal="center"/>
    </xf>
    <xf numFmtId="0" fontId="56" fillId="2" borderId="141" xfId="0" applyFont="1" applyFill="1" applyBorder="1" applyAlignment="1" applyProtection="1">
      <alignment horizontal="left"/>
    </xf>
    <xf numFmtId="0" fontId="55" fillId="2" borderId="142" xfId="0" applyFont="1" applyFill="1" applyBorder="1" applyProtection="1"/>
    <xf numFmtId="164" fontId="55" fillId="2" borderId="87" xfId="0" applyNumberFormat="1" applyFont="1" applyFill="1" applyBorder="1" applyProtection="1"/>
    <xf numFmtId="164" fontId="55" fillId="2" borderId="89" xfId="0" applyNumberFormat="1" applyFont="1" applyFill="1" applyBorder="1" applyProtection="1"/>
    <xf numFmtId="0" fontId="57" fillId="2" borderId="11" xfId="0" applyFont="1" applyFill="1" applyBorder="1" applyProtection="1"/>
    <xf numFmtId="166" fontId="55" fillId="2" borderId="90" xfId="0" applyNumberFormat="1" applyFont="1" applyFill="1" applyBorder="1" applyProtection="1"/>
    <xf numFmtId="166" fontId="55" fillId="2" borderId="91" xfId="0" applyNumberFormat="1" applyFont="1" applyFill="1" applyBorder="1" applyProtection="1"/>
    <xf numFmtId="0" fontId="57" fillId="2" borderId="11" xfId="0" applyFont="1" applyFill="1" applyBorder="1" applyAlignment="1" applyProtection="1">
      <alignment horizontal="left"/>
    </xf>
    <xf numFmtId="0" fontId="55" fillId="2" borderId="0" xfId="0" applyFont="1" applyFill="1" applyBorder="1"/>
    <xf numFmtId="0" fontId="55" fillId="2" borderId="0" xfId="0" quotePrefix="1" applyFont="1" applyFill="1" applyBorder="1" applyAlignment="1" applyProtection="1">
      <alignment horizontal="left"/>
    </xf>
    <xf numFmtId="166" fontId="55" fillId="2" borderId="143" xfId="0" applyNumberFormat="1" applyFont="1" applyFill="1" applyBorder="1" applyProtection="1"/>
    <xf numFmtId="0" fontId="55" fillId="2" borderId="0" xfId="0" applyFont="1" applyFill="1" applyBorder="1" applyAlignment="1" applyProtection="1">
      <alignment horizontal="left"/>
    </xf>
    <xf numFmtId="0" fontId="57" fillId="2" borderId="144" xfId="0" applyFont="1" applyFill="1" applyBorder="1" applyAlignment="1" applyProtection="1">
      <alignment horizontal="left"/>
    </xf>
    <xf numFmtId="0" fontId="55" fillId="2" borderId="145" xfId="0" applyFont="1" applyFill="1" applyBorder="1" applyProtection="1"/>
    <xf numFmtId="166" fontId="55" fillId="2" borderId="93" xfId="0" applyNumberFormat="1" applyFont="1" applyFill="1" applyBorder="1" applyProtection="1"/>
    <xf numFmtId="166" fontId="55" fillId="2" borderId="146" xfId="0" applyNumberFormat="1" applyFont="1" applyFill="1" applyBorder="1" applyProtection="1"/>
    <xf numFmtId="0" fontId="54" fillId="2" borderId="0" xfId="0" applyFont="1" applyFill="1" applyBorder="1" applyProtection="1"/>
    <xf numFmtId="0" fontId="56" fillId="2" borderId="147" xfId="0" applyFont="1" applyFill="1" applyBorder="1" applyAlignment="1" applyProtection="1">
      <alignment horizontal="left"/>
    </xf>
    <xf numFmtId="0" fontId="55" fillId="2" borderId="148" xfId="0" applyFont="1" applyFill="1" applyBorder="1" applyProtection="1"/>
    <xf numFmtId="166" fontId="55" fillId="2" borderId="94" xfId="0" applyNumberFormat="1" applyFont="1" applyFill="1" applyBorder="1" applyProtection="1"/>
    <xf numFmtId="166" fontId="55" fillId="2" borderId="149" xfId="0" applyNumberFormat="1" applyFont="1" applyFill="1" applyBorder="1" applyProtection="1"/>
    <xf numFmtId="0" fontId="57" fillId="2" borderId="11" xfId="0" quotePrefix="1" applyFont="1" applyFill="1" applyBorder="1" applyAlignment="1" applyProtection="1">
      <alignment horizontal="left"/>
    </xf>
    <xf numFmtId="0" fontId="57" fillId="2" borderId="43" xfId="0" applyFont="1" applyFill="1" applyBorder="1" applyProtection="1"/>
    <xf numFmtId="0" fontId="55" fillId="2" borderId="2" xfId="0" applyFont="1" applyFill="1" applyBorder="1" applyProtection="1"/>
    <xf numFmtId="0" fontId="57" fillId="2" borderId="150" xfId="0" applyFont="1" applyFill="1" applyBorder="1" applyAlignment="1" applyProtection="1">
      <alignment horizontal="left"/>
    </xf>
    <xf numFmtId="0" fontId="55" fillId="2" borderId="151" xfId="0" applyFont="1" applyFill="1" applyBorder="1" applyProtection="1"/>
    <xf numFmtId="0" fontId="55" fillId="2" borderId="152" xfId="0" applyFont="1" applyFill="1" applyBorder="1" applyAlignment="1" applyProtection="1">
      <alignment horizontal="left"/>
    </xf>
    <xf numFmtId="0" fontId="55" fillId="2" borderId="25" xfId="0" applyFont="1" applyFill="1" applyBorder="1" applyProtection="1"/>
    <xf numFmtId="0" fontId="55" fillId="2" borderId="144" xfId="0" applyFont="1" applyFill="1" applyBorder="1" applyAlignment="1" applyProtection="1">
      <alignment horizontal="left"/>
    </xf>
    <xf numFmtId="0" fontId="55" fillId="2" borderId="14" xfId="0" applyFont="1" applyFill="1" applyBorder="1" applyProtection="1"/>
    <xf numFmtId="2" fontId="55" fillId="2" borderId="93" xfId="0" applyNumberFormat="1" applyFont="1" applyFill="1" applyBorder="1" applyProtection="1"/>
    <xf numFmtId="2" fontId="55" fillId="2" borderId="146" xfId="0" applyNumberFormat="1" applyFont="1" applyFill="1" applyBorder="1" applyProtection="1"/>
    <xf numFmtId="0" fontId="54" fillId="2" borderId="110" xfId="0" applyFont="1" applyFill="1" applyBorder="1" applyAlignment="1" applyProtection="1">
      <alignment horizontal="left"/>
    </xf>
    <xf numFmtId="164" fontId="55" fillId="2" borderId="111" xfId="0" applyNumberFormat="1" applyFont="1" applyFill="1" applyBorder="1" applyAlignment="1" applyProtection="1">
      <alignment horizontal="right"/>
    </xf>
    <xf numFmtId="164" fontId="55" fillId="2" borderId="15" xfId="0" applyNumberFormat="1" applyFont="1" applyFill="1" applyBorder="1" applyAlignment="1" applyProtection="1">
      <alignment horizontal="left"/>
    </xf>
    <xf numFmtId="166" fontId="55" fillId="2" borderId="90" xfId="0" applyNumberFormat="1" applyFont="1" applyFill="1" applyBorder="1" applyAlignment="1" applyProtection="1">
      <alignment horizontal="right"/>
    </xf>
    <xf numFmtId="166" fontId="55" fillId="2" borderId="91" xfId="0" applyNumberFormat="1" applyFont="1" applyFill="1" applyBorder="1" applyAlignment="1" applyProtection="1">
      <alignment horizontal="right"/>
    </xf>
    <xf numFmtId="166" fontId="55" fillId="2" borderId="153" xfId="0" applyNumberFormat="1" applyFont="1" applyFill="1" applyBorder="1" applyProtection="1"/>
    <xf numFmtId="166" fontId="55" fillId="2" borderId="77" xfId="0" applyNumberFormat="1" applyFont="1" applyFill="1" applyBorder="1" applyProtection="1"/>
    <xf numFmtId="0" fontId="57" fillId="2" borderId="115" xfId="0" applyFont="1" applyFill="1" applyBorder="1" applyAlignment="1" applyProtection="1">
      <alignment horizontal="left"/>
    </xf>
    <xf numFmtId="0" fontId="57" fillId="2" borderId="0" xfId="0" applyFont="1" applyFill="1" applyProtection="1"/>
    <xf numFmtId="0" fontId="55" fillId="2" borderId="0" xfId="0" applyFont="1" applyFill="1" applyProtection="1"/>
    <xf numFmtId="166" fontId="55" fillId="2" borderId="0" xfId="0" applyNumberFormat="1" applyFont="1" applyFill="1" applyProtection="1"/>
    <xf numFmtId="0" fontId="58" fillId="2" borderId="147" xfId="0" applyFont="1" applyFill="1" applyBorder="1" applyAlignment="1" applyProtection="1">
      <alignment horizontal="left"/>
    </xf>
    <xf numFmtId="0" fontId="55" fillId="2" borderId="154" xfId="0" applyFont="1" applyFill="1" applyBorder="1" applyAlignment="1" applyProtection="1">
      <alignment horizontal="left"/>
    </xf>
    <xf numFmtId="0" fontId="55" fillId="2" borderId="155" xfId="0" applyFont="1" applyFill="1" applyBorder="1" applyProtection="1"/>
    <xf numFmtId="2" fontId="55" fillId="2" borderId="87" xfId="0" applyNumberFormat="1" applyFont="1" applyFill="1" applyBorder="1" applyProtection="1"/>
    <xf numFmtId="2" fontId="55" fillId="2" borderId="89" xfId="0" applyNumberFormat="1" applyFont="1" applyFill="1" applyBorder="1" applyProtection="1"/>
    <xf numFmtId="0" fontId="55" fillId="2" borderId="115" xfId="0" applyFont="1" applyFill="1" applyBorder="1" applyAlignment="1" applyProtection="1">
      <alignment horizontal="left"/>
    </xf>
    <xf numFmtId="0" fontId="55" fillId="2" borderId="0" xfId="0" applyFont="1" applyFill="1"/>
    <xf numFmtId="0" fontId="55" fillId="0" borderId="0" xfId="0" applyFont="1"/>
    <xf numFmtId="0" fontId="55" fillId="2" borderId="156" xfId="0" quotePrefix="1" applyFont="1" applyFill="1" applyBorder="1" applyAlignment="1">
      <alignment horizontal="left"/>
    </xf>
    <xf numFmtId="0" fontId="55" fillId="2" borderId="157" xfId="0" applyFont="1" applyFill="1" applyBorder="1"/>
    <xf numFmtId="1" fontId="55" fillId="2" borderId="158" xfId="0" applyNumberFormat="1" applyFont="1" applyFill="1" applyBorder="1"/>
    <xf numFmtId="0" fontId="55" fillId="2" borderId="159" xfId="0" applyFont="1" applyFill="1" applyBorder="1"/>
    <xf numFmtId="0" fontId="57" fillId="2" borderId="111" xfId="0" applyFont="1" applyFill="1" applyBorder="1" applyProtection="1"/>
    <xf numFmtId="167" fontId="11" fillId="0" borderId="30" xfId="0" applyNumberFormat="1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39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59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0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0" fillId="0" borderId="0" xfId="0" applyFont="1"/>
    <xf numFmtId="0" fontId="60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0" fillId="0" borderId="0" xfId="0" applyNumberFormat="1" applyFont="1" applyAlignment="1">
      <alignment horizontal="right" wrapText="1"/>
    </xf>
    <xf numFmtId="0" fontId="60" fillId="0" borderId="0" xfId="0" applyFont="1" applyAlignment="1">
      <alignment horizontal="center" wrapText="1"/>
    </xf>
    <xf numFmtId="0" fontId="60" fillId="0" borderId="0" xfId="0" applyFont="1" applyAlignment="1">
      <alignment wrapText="1"/>
    </xf>
    <xf numFmtId="49" fontId="60" fillId="0" borderId="0" xfId="0" applyNumberFormat="1" applyFont="1" applyAlignment="1">
      <alignment wrapText="1"/>
    </xf>
    <xf numFmtId="49" fontId="60" fillId="0" borderId="0" xfId="0" applyNumberFormat="1" applyFont="1" applyAlignment="1"/>
    <xf numFmtId="0" fontId="60" fillId="0" borderId="0" xfId="0" applyFont="1" applyBorder="1" applyAlignment="1"/>
    <xf numFmtId="0" fontId="60" fillId="0" borderId="0" xfId="0" applyFont="1" applyAlignment="1">
      <alignment horizontal="left"/>
    </xf>
    <xf numFmtId="49" fontId="60" fillId="0" borderId="0" xfId="0" applyNumberFormat="1" applyFont="1" applyAlignment="1">
      <alignment horizontal="right"/>
    </xf>
    <xf numFmtId="167" fontId="60" fillId="0" borderId="0" xfId="0" applyNumberFormat="1" applyFont="1" applyAlignment="1">
      <alignment wrapText="1"/>
    </xf>
    <xf numFmtId="0" fontId="60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0" fillId="0" borderId="0" xfId="0" quotePrefix="1" applyFont="1" applyBorder="1" applyAlignment="1">
      <alignment horizontal="center"/>
    </xf>
    <xf numFmtId="167" fontId="60" fillId="0" borderId="0" xfId="0" applyNumberFormat="1" applyFont="1" applyBorder="1" applyAlignment="1">
      <alignment horizontal="left"/>
    </xf>
    <xf numFmtId="167" fontId="60" fillId="0" borderId="0" xfId="0" applyNumberFormat="1" applyFont="1" applyAlignment="1">
      <alignment horizontal="left"/>
    </xf>
    <xf numFmtId="0" fontId="16" fillId="0" borderId="85" xfId="0" applyFont="1" applyBorder="1" applyAlignment="1">
      <alignment horizontal="center"/>
    </xf>
    <xf numFmtId="167" fontId="60" fillId="0" borderId="0" xfId="0" applyNumberFormat="1" applyFont="1" applyBorder="1" applyAlignment="1">
      <alignment horizontal="center"/>
    </xf>
    <xf numFmtId="49" fontId="60" fillId="0" borderId="0" xfId="0" applyNumberFormat="1" applyFont="1" applyBorder="1" applyAlignment="1">
      <alignment horizontal="left"/>
    </xf>
    <xf numFmtId="0" fontId="60" fillId="0" borderId="0" xfId="0" applyFont="1" applyBorder="1" applyAlignment="1">
      <alignment horizontal="right"/>
    </xf>
    <xf numFmtId="0" fontId="60" fillId="0" borderId="0" xfId="0" applyFont="1" applyBorder="1" applyAlignment="1">
      <alignment horizontal="left"/>
    </xf>
    <xf numFmtId="0" fontId="60" fillId="0" borderId="0" xfId="0" applyFont="1" applyBorder="1"/>
    <xf numFmtId="0" fontId="60" fillId="10" borderId="0" xfId="0" applyFont="1" applyFill="1" applyBorder="1" applyAlignment="1">
      <alignment horizontal="left"/>
    </xf>
    <xf numFmtId="167" fontId="60" fillId="0" borderId="0" xfId="0" applyNumberFormat="1" applyFont="1" applyAlignment="1">
      <alignment horizontal="center"/>
    </xf>
    <xf numFmtId="167" fontId="60" fillId="0" borderId="0" xfId="0" applyNumberFormat="1" applyFont="1" applyBorder="1" applyAlignment="1">
      <alignment horizontal="right"/>
    </xf>
    <xf numFmtId="0" fontId="29" fillId="0" borderId="38" xfId="0" applyFont="1" applyFill="1" applyBorder="1" applyAlignment="1">
      <alignment horizontal="center"/>
    </xf>
    <xf numFmtId="1" fontId="29" fillId="0" borderId="38" xfId="0" applyNumberFormat="1" applyFont="1" applyFill="1" applyBorder="1" applyAlignment="1">
      <alignment horizontal="center"/>
    </xf>
    <xf numFmtId="166" fontId="28" fillId="0" borderId="62" xfId="0" applyNumberFormat="1" applyFont="1" applyBorder="1"/>
    <xf numFmtId="166" fontId="29" fillId="5" borderId="101" xfId="0" applyNumberFormat="1" applyFont="1" applyFill="1" applyBorder="1" applyAlignment="1"/>
    <xf numFmtId="166" fontId="29" fillId="0" borderId="62" xfId="0" applyNumberFormat="1" applyFont="1" applyFill="1" applyBorder="1" applyAlignment="1"/>
    <xf numFmtId="166" fontId="28" fillId="0" borderId="107" xfId="0" applyNumberFormat="1" applyFont="1" applyFill="1" applyBorder="1" applyAlignment="1"/>
    <xf numFmtId="0" fontId="29" fillId="0" borderId="160" xfId="0" applyFont="1" applyFill="1" applyBorder="1" applyAlignment="1"/>
    <xf numFmtId="167" fontId="29" fillId="0" borderId="160" xfId="0" applyNumberFormat="1" applyFont="1" applyFill="1" applyBorder="1" applyAlignment="1"/>
    <xf numFmtId="166" fontId="29" fillId="0" borderId="161" xfId="0" applyNumberFormat="1" applyFont="1" applyFill="1" applyBorder="1" applyAlignment="1"/>
    <xf numFmtId="167" fontId="29" fillId="0" borderId="161" xfId="0" applyNumberFormat="1" applyFont="1" applyFill="1" applyBorder="1" applyAlignment="1"/>
    <xf numFmtId="167" fontId="29" fillId="0" borderId="49" xfId="0" applyNumberFormat="1" applyFont="1" applyFill="1" applyBorder="1" applyAlignment="1"/>
    <xf numFmtId="0" fontId="6" fillId="0" borderId="59" xfId="0" applyFont="1" applyBorder="1"/>
    <xf numFmtId="166" fontId="28" fillId="0" borderId="57" xfId="0" applyNumberFormat="1" applyFont="1" applyBorder="1"/>
    <xf numFmtId="166" fontId="29" fillId="0" borderId="62" xfId="0" applyNumberFormat="1" applyFont="1" applyBorder="1"/>
    <xf numFmtId="167" fontId="29" fillId="0" borderId="57" xfId="0" applyNumberFormat="1" applyFont="1" applyBorder="1"/>
    <xf numFmtId="0" fontId="6" fillId="0" borderId="3" xfId="0" applyFont="1" applyFill="1" applyBorder="1"/>
    <xf numFmtId="0" fontId="6" fillId="0" borderId="59" xfId="0" applyFont="1" applyFill="1" applyBorder="1"/>
    <xf numFmtId="166" fontId="29" fillId="0" borderId="57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0" xfId="0" applyNumberFormat="1" applyFont="1" applyBorder="1"/>
    <xf numFmtId="167" fontId="29" fillId="0" borderId="30" xfId="0" applyNumberFormat="1" applyFont="1" applyBorder="1"/>
    <xf numFmtId="167" fontId="29" fillId="0" borderId="59" xfId="0" applyNumberFormat="1" applyFont="1" applyBorder="1"/>
    <xf numFmtId="167" fontId="29" fillId="0" borderId="64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4" xfId="0" applyBorder="1"/>
    <xf numFmtId="0" fontId="0" fillId="0" borderId="72" xfId="0" applyBorder="1"/>
    <xf numFmtId="167" fontId="29" fillId="0" borderId="38" xfId="0" applyNumberFormat="1" applyFont="1" applyBorder="1"/>
    <xf numFmtId="167" fontId="5" fillId="0" borderId="100" xfId="0" applyNumberFormat="1" applyFont="1" applyBorder="1"/>
    <xf numFmtId="0" fontId="29" fillId="0" borderId="14" xfId="0" applyFont="1" applyBorder="1"/>
    <xf numFmtId="167" fontId="7" fillId="2" borderId="108" xfId="0" applyNumberFormat="1" applyFont="1" applyFill="1" applyBorder="1"/>
    <xf numFmtId="0" fontId="7" fillId="2" borderId="0" xfId="0" applyFont="1" applyFill="1" applyBorder="1"/>
    <xf numFmtId="0" fontId="7" fillId="0" borderId="136" xfId="0" applyFont="1" applyBorder="1"/>
    <xf numFmtId="179" fontId="60" fillId="0" borderId="0" xfId="0" applyNumberFormat="1" applyFont="1" applyBorder="1" applyAlignment="1">
      <alignment horizontal="right"/>
    </xf>
    <xf numFmtId="179" fontId="60" fillId="0" borderId="0" xfId="0" applyNumberFormat="1" applyFont="1" applyBorder="1" applyAlignment="1">
      <alignment horizontal="left"/>
    </xf>
    <xf numFmtId="0" fontId="61" fillId="0" borderId="0" xfId="0" applyFont="1"/>
    <xf numFmtId="0" fontId="60" fillId="10" borderId="0" xfId="0" applyFont="1" applyFill="1" applyAlignment="1">
      <alignment horizontal="left"/>
    </xf>
    <xf numFmtId="0" fontId="60" fillId="10" borderId="0" xfId="0" applyFont="1" applyFill="1" applyAlignment="1">
      <alignment horizontal="right"/>
    </xf>
    <xf numFmtId="167" fontId="60" fillId="0" borderId="0" xfId="0" applyNumberFormat="1" applyFont="1" applyAlignment="1">
      <alignment horizontal="center" wrapText="1"/>
    </xf>
    <xf numFmtId="167" fontId="62" fillId="0" borderId="12" xfId="0" applyNumberFormat="1" applyFont="1" applyBorder="1" applyAlignment="1">
      <alignment horizontal="center"/>
    </xf>
    <xf numFmtId="0" fontId="61" fillId="0" borderId="0" xfId="0" applyFont="1" applyAlignment="1">
      <alignment horizontal="center"/>
    </xf>
    <xf numFmtId="0" fontId="61" fillId="0" borderId="0" xfId="0" applyFont="1" applyBorder="1"/>
    <xf numFmtId="0" fontId="60" fillId="10" borderId="0" xfId="0" applyFont="1" applyFill="1" applyAlignment="1">
      <alignment horizontal="center"/>
    </xf>
    <xf numFmtId="0" fontId="60" fillId="0" borderId="0" xfId="0" applyFont="1" applyFill="1" applyAlignment="1">
      <alignment horizontal="center"/>
    </xf>
    <xf numFmtId="0" fontId="61" fillId="0" borderId="0" xfId="0" applyFont="1" applyFill="1"/>
    <xf numFmtId="0" fontId="61" fillId="0" borderId="0" xfId="0" applyFont="1" applyFill="1" applyAlignment="1">
      <alignment horizontal="center"/>
    </xf>
    <xf numFmtId="167" fontId="60" fillId="10" borderId="0" xfId="0" applyNumberFormat="1" applyFont="1" applyFill="1" applyAlignment="1">
      <alignment horizontal="center"/>
    </xf>
    <xf numFmtId="167" fontId="60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0" fillId="2" borderId="0" xfId="0" applyNumberFormat="1" applyFont="1" applyFill="1" applyBorder="1" applyAlignment="1" applyProtection="1">
      <alignment horizontal="center"/>
    </xf>
    <xf numFmtId="166" fontId="60" fillId="2" borderId="0" xfId="0" applyNumberFormat="1" applyFont="1" applyFill="1" applyBorder="1" applyAlignment="1" applyProtection="1">
      <alignment horizontal="center"/>
    </xf>
    <xf numFmtId="2" fontId="60" fillId="0" borderId="0" xfId="0" applyNumberFormat="1" applyFont="1" applyAlignment="1">
      <alignment horizontal="center"/>
    </xf>
    <xf numFmtId="167" fontId="60" fillId="0" borderId="0" xfId="0" quotePrefix="1" applyNumberFormat="1" applyFont="1" applyBorder="1" applyAlignment="1">
      <alignment horizontal="center"/>
    </xf>
    <xf numFmtId="0" fontId="61" fillId="10" borderId="0" xfId="0" applyFont="1" applyFill="1"/>
    <xf numFmtId="0" fontId="60" fillId="10" borderId="0" xfId="0" applyFont="1" applyFill="1" applyBorder="1" applyAlignment="1">
      <alignment horizontal="center"/>
    </xf>
    <xf numFmtId="1" fontId="60" fillId="10" borderId="60" xfId="0" applyNumberFormat="1" applyFont="1" applyFill="1" applyBorder="1" applyAlignment="1">
      <alignment horizontal="center"/>
    </xf>
    <xf numFmtId="1" fontId="60" fillId="0" borderId="60" xfId="0" applyNumberFormat="1" applyFont="1" applyBorder="1" applyAlignment="1">
      <alignment horizontal="center"/>
    </xf>
    <xf numFmtId="167" fontId="61" fillId="0" borderId="0" xfId="0" applyNumberFormat="1" applyFont="1" applyBorder="1" applyAlignment="1">
      <alignment horizontal="center"/>
    </xf>
    <xf numFmtId="167" fontId="60" fillId="0" borderId="60" xfId="0" applyNumberFormat="1" applyFont="1" applyBorder="1" applyAlignment="1"/>
    <xf numFmtId="167" fontId="60" fillId="0" borderId="60" xfId="0" applyNumberFormat="1" applyFont="1" applyBorder="1" applyAlignment="1">
      <alignment horizontal="center"/>
    </xf>
    <xf numFmtId="0" fontId="61" fillId="0" borderId="0" xfId="0" applyFont="1" applyAlignment="1">
      <alignment horizontal="right"/>
    </xf>
    <xf numFmtId="0" fontId="60" fillId="10" borderId="60" xfId="0" applyFont="1" applyFill="1" applyBorder="1" applyAlignment="1">
      <alignment horizontal="center"/>
    </xf>
    <xf numFmtId="167" fontId="61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27" xfId="0" applyNumberFormat="1" applyFont="1" applyBorder="1"/>
    <xf numFmtId="167" fontId="16" fillId="0" borderId="42" xfId="0" applyNumberFormat="1" applyFont="1" applyBorder="1"/>
    <xf numFmtId="172" fontId="16" fillId="0" borderId="57" xfId="0" applyNumberFormat="1" applyFont="1" applyBorder="1"/>
    <xf numFmtId="0" fontId="29" fillId="0" borderId="45" xfId="0" applyFont="1" applyBorder="1"/>
    <xf numFmtId="0" fontId="29" fillId="0" borderId="60" xfId="0" applyFont="1" applyBorder="1" applyAlignment="1">
      <alignment horizontal="left"/>
    </xf>
    <xf numFmtId="0" fontId="46" fillId="0" borderId="128" xfId="0" applyFont="1" applyBorder="1" applyAlignment="1">
      <alignment horizontal="center"/>
    </xf>
    <xf numFmtId="0" fontId="48" fillId="0" borderId="22" xfId="0" applyFont="1" applyBorder="1"/>
    <xf numFmtId="0" fontId="46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59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100" xfId="0" applyBorder="1"/>
    <xf numFmtId="0" fontId="47" fillId="0" borderId="110" xfId="0" applyFont="1" applyBorder="1"/>
    <xf numFmtId="0" fontId="29" fillId="0" borderId="0" xfId="0" applyFont="1" applyBorder="1" applyAlignment="1">
      <alignment horizontal="left"/>
    </xf>
    <xf numFmtId="166" fontId="29" fillId="0" borderId="162" xfId="0" applyNumberFormat="1" applyFont="1" applyFill="1" applyBorder="1" applyAlignment="1"/>
    <xf numFmtId="166" fontId="29" fillId="0" borderId="163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3" fillId="0" borderId="0" xfId="0" applyFont="1" applyAlignment="1"/>
    <xf numFmtId="179" fontId="60" fillId="0" borderId="0" xfId="0" applyNumberFormat="1" applyFont="1" applyBorder="1" applyAlignment="1">
      <alignment horizontal="center"/>
    </xf>
    <xf numFmtId="166" fontId="50" fillId="0" borderId="29" xfId="0" applyNumberFormat="1" applyFont="1" applyFill="1" applyBorder="1" applyProtection="1">
      <protection locked="0"/>
    </xf>
    <xf numFmtId="0" fontId="0" fillId="0" borderId="78" xfId="0" applyBorder="1"/>
    <xf numFmtId="0" fontId="0" fillId="0" borderId="59" xfId="0" applyBorder="1"/>
    <xf numFmtId="0" fontId="0" fillId="0" borderId="60" xfId="0" applyBorder="1"/>
    <xf numFmtId="0" fontId="0" fillId="0" borderId="62" xfId="0" applyBorder="1"/>
    <xf numFmtId="166" fontId="29" fillId="0" borderId="72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0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7" xfId="0" applyFon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3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3" fillId="0" borderId="0" xfId="0" applyFont="1"/>
    <xf numFmtId="0" fontId="0" fillId="0" borderId="54" xfId="0" applyBorder="1" applyAlignment="1">
      <alignment horizontal="center"/>
    </xf>
    <xf numFmtId="0" fontId="0" fillId="0" borderId="137" xfId="0" applyBorder="1" applyAlignment="1">
      <alignment horizontal="center"/>
    </xf>
    <xf numFmtId="0" fontId="0" fillId="0" borderId="104" xfId="0" applyBorder="1" applyAlignment="1">
      <alignment horizontal="center"/>
    </xf>
    <xf numFmtId="164" fontId="16" fillId="0" borderId="38" xfId="0" applyNumberFormat="1" applyFont="1" applyBorder="1"/>
    <xf numFmtId="164" fontId="0" fillId="0" borderId="4" xfId="0" applyNumberFormat="1" applyBorder="1"/>
    <xf numFmtId="164" fontId="0" fillId="0" borderId="139" xfId="0" applyNumberFormat="1" applyBorder="1"/>
    <xf numFmtId="166" fontId="0" fillId="0" borderId="72" xfId="0" applyNumberFormat="1" applyBorder="1"/>
    <xf numFmtId="166" fontId="0" fillId="0" borderId="164" xfId="0" applyNumberFormat="1" applyBorder="1"/>
    <xf numFmtId="166" fontId="0" fillId="0" borderId="165" xfId="0" applyNumberFormat="1" applyBorder="1"/>
    <xf numFmtId="166" fontId="0" fillId="3" borderId="107" xfId="0" applyNumberFormat="1" applyFill="1" applyBorder="1"/>
    <xf numFmtId="166" fontId="0" fillId="3" borderId="165" xfId="0" applyNumberFormat="1" applyFill="1" applyBorder="1"/>
    <xf numFmtId="166" fontId="0" fillId="0" borderId="107" xfId="0" applyNumberFormat="1" applyBorder="1" applyProtection="1">
      <protection locked="0"/>
    </xf>
    <xf numFmtId="166" fontId="0" fillId="0" borderId="107" xfId="0" applyNumberFormat="1" applyBorder="1"/>
    <xf numFmtId="166" fontId="0" fillId="0" borderId="98" xfId="0" applyNumberFormat="1" applyBorder="1" applyProtection="1">
      <protection locked="0"/>
    </xf>
    <xf numFmtId="166" fontId="0" fillId="0" borderId="98" xfId="0" applyNumberFormat="1" applyBorder="1"/>
    <xf numFmtId="166" fontId="0" fillId="0" borderId="105" xfId="0" applyNumberFormat="1" applyBorder="1"/>
    <xf numFmtId="164" fontId="0" fillId="0" borderId="137" xfId="0" applyNumberFormat="1" applyBorder="1" applyAlignment="1">
      <alignment horizontal="center"/>
    </xf>
    <xf numFmtId="1" fontId="0" fillId="0" borderId="10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66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166" fontId="29" fillId="0" borderId="4" xfId="0" applyNumberFormat="1" applyFont="1" applyFill="1" applyBorder="1" applyAlignment="1" applyProtection="1"/>
    <xf numFmtId="0" fontId="0" fillId="0" borderId="98" xfId="0" applyBorder="1"/>
    <xf numFmtId="0" fontId="0" fillId="0" borderId="73" xfId="0" applyBorder="1"/>
    <xf numFmtId="0" fontId="16" fillId="2" borderId="47" xfId="0" applyFont="1" applyFill="1" applyBorder="1"/>
    <xf numFmtId="0" fontId="16" fillId="2" borderId="48" xfId="0" applyFont="1" applyFill="1" applyBorder="1"/>
    <xf numFmtId="166" fontId="16" fillId="2" borderId="167" xfId="0" applyNumberFormat="1" applyFont="1" applyFill="1" applyBorder="1" applyProtection="1"/>
    <xf numFmtId="166" fontId="16" fillId="2" borderId="168" xfId="0" applyNumberFormat="1" applyFont="1" applyFill="1" applyBorder="1" applyProtection="1"/>
    <xf numFmtId="0" fontId="7" fillId="2" borderId="0" xfId="0" applyFont="1" applyFill="1" applyBorder="1" applyProtection="1"/>
    <xf numFmtId="0" fontId="55" fillId="2" borderId="47" xfId="0" applyFont="1" applyFill="1" applyBorder="1"/>
    <xf numFmtId="0" fontId="55" fillId="2" borderId="48" xfId="0" applyFont="1" applyFill="1" applyBorder="1"/>
    <xf numFmtId="166" fontId="55" fillId="2" borderId="167" xfId="0" applyNumberFormat="1" applyFont="1" applyFill="1" applyBorder="1" applyProtection="1"/>
    <xf numFmtId="166" fontId="55" fillId="2" borderId="168" xfId="0" applyNumberFormat="1" applyFont="1" applyFill="1" applyBorder="1" applyProtection="1"/>
    <xf numFmtId="166" fontId="16" fillId="2" borderId="169" xfId="0" applyNumberFormat="1" applyFont="1" applyFill="1" applyBorder="1" applyProtection="1"/>
    <xf numFmtId="166" fontId="16" fillId="2" borderId="170" xfId="0" applyNumberFormat="1" applyFont="1" applyFill="1" applyBorder="1" applyProtection="1"/>
    <xf numFmtId="166" fontId="16" fillId="2" borderId="171" xfId="0" applyNumberFormat="1" applyFont="1" applyFill="1" applyBorder="1" applyProtection="1"/>
    <xf numFmtId="2" fontId="16" fillId="2" borderId="92" xfId="0" applyNumberFormat="1" applyFont="1" applyFill="1" applyBorder="1" applyProtection="1"/>
    <xf numFmtId="2" fontId="16" fillId="2" borderId="169" xfId="0" applyNumberFormat="1" applyFont="1" applyFill="1" applyBorder="1" applyProtection="1"/>
    <xf numFmtId="172" fontId="29" fillId="0" borderId="64" xfId="0" applyNumberFormat="1" applyFont="1" applyBorder="1"/>
    <xf numFmtId="166" fontId="0" fillId="0" borderId="164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0" xfId="0" applyNumberFormat="1" applyFont="1" applyFill="1" applyBorder="1" applyProtection="1"/>
    <xf numFmtId="0" fontId="43" fillId="0" borderId="0" xfId="0" applyFont="1" applyAlignment="1">
      <alignment horizontal="fill"/>
    </xf>
    <xf numFmtId="0" fontId="64" fillId="0" borderId="106" xfId="0" applyFont="1" applyBorder="1"/>
    <xf numFmtId="0" fontId="64" fillId="0" borderId="11" xfId="0" applyFont="1" applyBorder="1"/>
    <xf numFmtId="0" fontId="64" fillId="0" borderId="43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5" xfId="0" applyBorder="1"/>
    <xf numFmtId="0" fontId="31" fillId="0" borderId="45" xfId="0" applyFont="1" applyBorder="1"/>
    <xf numFmtId="0" fontId="60" fillId="0" borderId="172" xfId="0" quotePrefix="1" applyFont="1" applyBorder="1" applyAlignment="1">
      <alignment horizontal="left"/>
    </xf>
    <xf numFmtId="0" fontId="0" fillId="0" borderId="69" xfId="0" applyBorder="1"/>
    <xf numFmtId="167" fontId="28" fillId="0" borderId="83" xfId="0" applyNumberFormat="1" applyFont="1" applyBorder="1" applyAlignment="1">
      <alignment horizontal="center"/>
    </xf>
    <xf numFmtId="167" fontId="29" fillId="2" borderId="107" xfId="0" applyNumberFormat="1" applyFont="1" applyFill="1" applyBorder="1" applyProtection="1"/>
    <xf numFmtId="0" fontId="29" fillId="0" borderId="63" xfId="0" applyFont="1" applyBorder="1" applyAlignment="1">
      <alignment horizontal="left"/>
    </xf>
    <xf numFmtId="0" fontId="29" fillId="0" borderId="66" xfId="0" applyFont="1" applyBorder="1"/>
    <xf numFmtId="0" fontId="29" fillId="0" borderId="105" xfId="0" applyFont="1" applyBorder="1"/>
    <xf numFmtId="0" fontId="31" fillId="0" borderId="164" xfId="0" applyFont="1" applyBorder="1"/>
    <xf numFmtId="0" fontId="31" fillId="0" borderId="165" xfId="0" applyFont="1" applyBorder="1"/>
    <xf numFmtId="0" fontId="31" fillId="0" borderId="173" xfId="0" applyFont="1" applyBorder="1"/>
    <xf numFmtId="0" fontId="29" fillId="0" borderId="164" xfId="0" applyFont="1" applyBorder="1"/>
    <xf numFmtId="0" fontId="0" fillId="0" borderId="164" xfId="0" applyBorder="1"/>
    <xf numFmtId="0" fontId="31" fillId="6" borderId="174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6" xfId="0" applyFont="1" applyBorder="1" applyAlignment="1">
      <alignment horizontal="left"/>
    </xf>
    <xf numFmtId="0" fontId="29" fillId="0" borderId="85" xfId="0" applyFont="1" applyBorder="1" applyAlignment="1">
      <alignment horizontal="left"/>
    </xf>
    <xf numFmtId="167" fontId="29" fillId="0" borderId="126" xfId="0" applyNumberFormat="1" applyFont="1" applyBorder="1"/>
    <xf numFmtId="0" fontId="30" fillId="6" borderId="175" xfId="0" applyFont="1" applyFill="1" applyBorder="1" applyAlignment="1">
      <alignment horizontal="left"/>
    </xf>
    <xf numFmtId="0" fontId="28" fillId="6" borderId="175" xfId="0" quotePrefix="1" applyFont="1" applyFill="1" applyBorder="1" applyAlignment="1">
      <alignment horizontal="center"/>
    </xf>
    <xf numFmtId="0" fontId="6" fillId="5" borderId="175" xfId="0" applyFont="1" applyFill="1" applyBorder="1"/>
    <xf numFmtId="0" fontId="28" fillId="6" borderId="176" xfId="0" applyFont="1" applyFill="1" applyBorder="1" applyAlignment="1">
      <alignment horizontal="centerContinuous"/>
    </xf>
    <xf numFmtId="0" fontId="28" fillId="6" borderId="175" xfId="0" applyFont="1" applyFill="1" applyBorder="1" applyAlignment="1">
      <alignment horizontal="centerContinuous"/>
    </xf>
    <xf numFmtId="0" fontId="31" fillId="6" borderId="175" xfId="0" applyFont="1" applyFill="1" applyBorder="1" applyAlignment="1">
      <alignment horizontal="centerContinuous"/>
    </xf>
    <xf numFmtId="0" fontId="31" fillId="6" borderId="177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78" xfId="0" applyBorder="1"/>
    <xf numFmtId="0" fontId="0" fillId="0" borderId="103" xfId="0" applyBorder="1"/>
    <xf numFmtId="0" fontId="16" fillId="0" borderId="129" xfId="0" applyFont="1" applyBorder="1"/>
    <xf numFmtId="0" fontId="16" fillId="0" borderId="179" xfId="0" applyFont="1" applyBorder="1"/>
    <xf numFmtId="0" fontId="0" fillId="0" borderId="180" xfId="0" applyBorder="1"/>
    <xf numFmtId="0" fontId="0" fillId="0" borderId="181" xfId="0" applyBorder="1"/>
    <xf numFmtId="0" fontId="0" fillId="0" borderId="45" xfId="0" applyBorder="1"/>
    <xf numFmtId="0" fontId="0" fillId="0" borderId="173" xfId="0" applyBorder="1"/>
    <xf numFmtId="0" fontId="0" fillId="0" borderId="182" xfId="0" applyBorder="1"/>
    <xf numFmtId="0" fontId="0" fillId="0" borderId="165" xfId="0" applyBorder="1"/>
    <xf numFmtId="0" fontId="0" fillId="0" borderId="122" xfId="0" applyBorder="1"/>
    <xf numFmtId="0" fontId="0" fillId="0" borderId="183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120" xfId="0" applyFont="1" applyBorder="1"/>
    <xf numFmtId="166" fontId="29" fillId="0" borderId="98" xfId="0" applyNumberFormat="1" applyFont="1" applyFill="1" applyBorder="1" applyAlignment="1"/>
    <xf numFmtId="167" fontId="29" fillId="0" borderId="1" xfId="0" applyNumberFormat="1" applyFont="1" applyFill="1" applyBorder="1" applyAlignment="1"/>
    <xf numFmtId="0" fontId="29" fillId="0" borderId="0" xfId="0" quotePrefix="1" applyFont="1" applyFill="1" applyBorder="1" applyAlignment="1">
      <alignment horizontal="center"/>
    </xf>
    <xf numFmtId="0" fontId="29" fillId="0" borderId="116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4" xfId="0" applyFont="1" applyFill="1" applyBorder="1" applyAlignment="1">
      <alignment horizontal="centerContinuous"/>
    </xf>
    <xf numFmtId="0" fontId="29" fillId="0" borderId="129" xfId="0" applyFont="1" applyFill="1" applyBorder="1"/>
    <xf numFmtId="0" fontId="29" fillId="0" borderId="129" xfId="0" applyFont="1" applyBorder="1" applyAlignment="1">
      <alignment horizontal="left"/>
    </xf>
    <xf numFmtId="0" fontId="29" fillId="0" borderId="129" xfId="0" applyFont="1" applyBorder="1"/>
    <xf numFmtId="0" fontId="11" fillId="0" borderId="97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1" xfId="0" applyFont="1" applyBorder="1"/>
    <xf numFmtId="0" fontId="31" fillId="0" borderId="111" xfId="0" applyFont="1" applyFill="1" applyBorder="1"/>
    <xf numFmtId="167" fontId="29" fillId="0" borderId="60" xfId="0" applyNumberFormat="1" applyFont="1" applyFill="1" applyBorder="1"/>
    <xf numFmtId="167" fontId="0" fillId="0" borderId="60" xfId="0" applyNumberFormat="1" applyBorder="1"/>
    <xf numFmtId="0" fontId="28" fillId="6" borderId="66" xfId="0" applyFont="1" applyFill="1" applyBorder="1" applyAlignment="1">
      <alignment horizontal="left"/>
    </xf>
    <xf numFmtId="0" fontId="28" fillId="6" borderId="97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84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1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82" xfId="0" applyFont="1" applyBorder="1" applyAlignment="1">
      <alignment horizontal="left"/>
    </xf>
    <xf numFmtId="0" fontId="29" fillId="0" borderId="62" xfId="0" applyFont="1" applyBorder="1" applyAlignment="1">
      <alignment horizontal="left"/>
    </xf>
    <xf numFmtId="0" fontId="28" fillId="0" borderId="86" xfId="0" applyFont="1" applyBorder="1"/>
    <xf numFmtId="167" fontId="0" fillId="0" borderId="100" xfId="0" applyNumberFormat="1" applyBorder="1"/>
    <xf numFmtId="167" fontId="0" fillId="0" borderId="72" xfId="0" applyNumberFormat="1" applyBorder="1"/>
    <xf numFmtId="167" fontId="0" fillId="0" borderId="45" xfId="0" applyNumberFormat="1" applyBorder="1"/>
    <xf numFmtId="167" fontId="0" fillId="0" borderId="78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2" xfId="0" applyFont="1" applyBorder="1"/>
    <xf numFmtId="167" fontId="29" fillId="2" borderId="100" xfId="0" applyNumberFormat="1" applyFont="1" applyFill="1" applyBorder="1" applyProtection="1"/>
    <xf numFmtId="0" fontId="33" fillId="0" borderId="0" xfId="0" applyFont="1" applyFill="1" applyBorder="1"/>
    <xf numFmtId="167" fontId="29" fillId="2" borderId="101" xfId="0" applyNumberFormat="1" applyFont="1" applyFill="1" applyBorder="1"/>
    <xf numFmtId="172" fontId="29" fillId="0" borderId="100" xfId="0" applyNumberFormat="1" applyFont="1" applyBorder="1"/>
    <xf numFmtId="0" fontId="0" fillId="0" borderId="79" xfId="0" applyBorder="1"/>
    <xf numFmtId="0" fontId="0" fillId="0" borderId="120" xfId="0" applyBorder="1"/>
    <xf numFmtId="0" fontId="29" fillId="0" borderId="183" xfId="0" applyFont="1" applyBorder="1" applyAlignment="1">
      <alignment horizontal="left"/>
    </xf>
    <xf numFmtId="0" fontId="29" fillId="0" borderId="185" xfId="0" applyFont="1" applyBorder="1" applyAlignment="1">
      <alignment horizontal="left"/>
    </xf>
    <xf numFmtId="179" fontId="11" fillId="2" borderId="186" xfId="0" applyNumberFormat="1" applyFont="1" applyFill="1" applyBorder="1" applyAlignment="1" applyProtection="1">
      <alignment horizontal="center"/>
    </xf>
    <xf numFmtId="0" fontId="53" fillId="0" borderId="112" xfId="0" applyFont="1" applyFill="1" applyBorder="1" applyAlignment="1">
      <alignment horizontal="center"/>
    </xf>
    <xf numFmtId="0" fontId="29" fillId="0" borderId="183" xfId="0" applyFont="1" applyBorder="1"/>
    <xf numFmtId="172" fontId="0" fillId="0" borderId="60" xfId="0" applyNumberFormat="1" applyBorder="1"/>
    <xf numFmtId="167" fontId="0" fillId="0" borderId="69" xfId="0" applyNumberFormat="1" applyBorder="1"/>
    <xf numFmtId="167" fontId="29" fillId="0" borderId="67" xfId="0" applyNumberFormat="1" applyFont="1" applyBorder="1"/>
    <xf numFmtId="0" fontId="37" fillId="6" borderId="30" xfId="0" applyFont="1" applyFill="1" applyBorder="1" applyAlignment="1">
      <alignment horizontal="centerContinuous"/>
    </xf>
    <xf numFmtId="164" fontId="28" fillId="0" borderId="112" xfId="0" applyNumberFormat="1" applyFont="1" applyFill="1" applyBorder="1" applyAlignment="1">
      <alignment horizontal="left"/>
    </xf>
    <xf numFmtId="166" fontId="29" fillId="0" borderId="187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5" xfId="0" applyFont="1" applyBorder="1"/>
    <xf numFmtId="0" fontId="31" fillId="0" borderId="24" xfId="0" applyFont="1" applyBorder="1"/>
    <xf numFmtId="0" fontId="31" fillId="0" borderId="174" xfId="0" applyFont="1" applyBorder="1"/>
    <xf numFmtId="0" fontId="31" fillId="0" borderId="107" xfId="0" applyFont="1" applyBorder="1"/>
    <xf numFmtId="0" fontId="0" fillId="0" borderId="42" xfId="0" applyBorder="1"/>
    <xf numFmtId="0" fontId="0" fillId="0" borderId="67" xfId="0" applyBorder="1"/>
    <xf numFmtId="0" fontId="0" fillId="0" borderId="56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39" xfId="0" applyFont="1" applyFill="1" applyBorder="1" applyAlignment="1" applyProtection="1">
      <alignment horizontal="center"/>
      <protection locked="0"/>
    </xf>
    <xf numFmtId="0" fontId="57" fillId="2" borderId="188" xfId="0" applyFont="1" applyFill="1" applyBorder="1" applyAlignment="1" applyProtection="1">
      <alignment horizontal="left"/>
    </xf>
    <xf numFmtId="0" fontId="55" fillId="2" borderId="189" xfId="0" applyFont="1" applyFill="1" applyBorder="1" applyProtection="1"/>
    <xf numFmtId="2" fontId="55" fillId="2" borderId="190" xfId="0" applyNumberFormat="1" applyFont="1" applyFill="1" applyBorder="1" applyProtection="1"/>
    <xf numFmtId="2" fontId="55" fillId="2" borderId="191" xfId="0" applyNumberFormat="1" applyFont="1" applyFill="1" applyBorder="1" applyProtection="1"/>
    <xf numFmtId="167" fontId="7" fillId="0" borderId="32" xfId="0" applyNumberFormat="1" applyFont="1" applyBorder="1"/>
    <xf numFmtId="0" fontId="55" fillId="0" borderId="71" xfId="0" applyFont="1" applyBorder="1"/>
    <xf numFmtId="0" fontId="0" fillId="0" borderId="115" xfId="0" applyBorder="1"/>
    <xf numFmtId="0" fontId="0" fillId="0" borderId="58" xfId="0" applyBorder="1"/>
    <xf numFmtId="0" fontId="28" fillId="0" borderId="192" xfId="0" applyFont="1" applyFill="1" applyBorder="1"/>
    <xf numFmtId="0" fontId="0" fillId="0" borderId="107" xfId="0" applyBorder="1"/>
    <xf numFmtId="0" fontId="0" fillId="0" borderId="193" xfId="0" applyBorder="1"/>
    <xf numFmtId="0" fontId="16" fillId="0" borderId="194" xfId="0" applyFont="1" applyBorder="1"/>
    <xf numFmtId="0" fontId="0" fillId="0" borderId="66" xfId="0" applyBorder="1"/>
    <xf numFmtId="0" fontId="0" fillId="0" borderId="195" xfId="0" applyBorder="1"/>
    <xf numFmtId="0" fontId="7" fillId="2" borderId="16" xfId="0" applyFont="1" applyFill="1" applyBorder="1" applyAlignment="1">
      <alignment horizontal="left"/>
    </xf>
    <xf numFmtId="166" fontId="16" fillId="0" borderId="62" xfId="0" applyNumberFormat="1" applyFont="1" applyBorder="1" applyAlignment="1">
      <alignment horizontal="center"/>
    </xf>
    <xf numFmtId="166" fontId="29" fillId="0" borderId="2" xfId="0" applyNumberFormat="1" applyFont="1" applyFill="1" applyBorder="1" applyAlignment="1" applyProtection="1">
      <alignment horizontal="center"/>
    </xf>
    <xf numFmtId="166" fontId="29" fillId="0" borderId="73" xfId="0" applyNumberFormat="1" applyFont="1" applyBorder="1" applyAlignment="1">
      <alignment horizontal="center"/>
    </xf>
    <xf numFmtId="166" fontId="29" fillId="0" borderId="6" xfId="0" applyNumberFormat="1" applyFont="1" applyFill="1" applyBorder="1" applyAlignment="1">
      <alignment horizontal="center"/>
    </xf>
    <xf numFmtId="166" fontId="0" fillId="0" borderId="61" xfId="0" applyNumberFormat="1" applyBorder="1" applyAlignment="1">
      <alignment horizontal="center"/>
    </xf>
    <xf numFmtId="171" fontId="29" fillId="0" borderId="62" xfId="0" applyNumberFormat="1" applyFont="1" applyFill="1" applyBorder="1" applyAlignment="1">
      <alignment horizontal="center"/>
    </xf>
    <xf numFmtId="166" fontId="29" fillId="0" borderId="62" xfId="0" applyNumberFormat="1" applyFon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29" fillId="0" borderId="30" xfId="0" applyNumberFormat="1" applyFont="1" applyFill="1" applyBorder="1" applyAlignment="1">
      <alignment horizontal="center"/>
    </xf>
    <xf numFmtId="166" fontId="29" fillId="0" borderId="62" xfId="0" applyNumberFormat="1" applyFont="1" applyFill="1" applyBorder="1" applyAlignment="1">
      <alignment horizontal="center"/>
    </xf>
    <xf numFmtId="166" fontId="28" fillId="0" borderId="182" xfId="0" applyNumberFormat="1" applyFont="1" applyFill="1" applyBorder="1" applyAlignment="1">
      <alignment horizontal="center"/>
    </xf>
    <xf numFmtId="166" fontId="29" fillId="0" borderId="196" xfId="0" applyNumberFormat="1" applyFont="1" applyFill="1" applyBorder="1" applyAlignment="1">
      <alignment horizontal="center"/>
    </xf>
    <xf numFmtId="166" fontId="29" fillId="0" borderId="6" xfId="0" applyNumberFormat="1" applyFont="1" applyBorder="1" applyAlignment="1">
      <alignment horizontal="center"/>
    </xf>
    <xf numFmtId="179" fontId="65" fillId="0" borderId="31" xfId="0" applyNumberFormat="1" applyFont="1" applyBorder="1" applyAlignment="1">
      <alignment horizontal="right"/>
    </xf>
    <xf numFmtId="179" fontId="65" fillId="0" borderId="30" xfId="0" applyNumberFormat="1" applyFont="1" applyBorder="1" applyAlignment="1">
      <alignment horizontal="left"/>
    </xf>
    <xf numFmtId="0" fontId="66" fillId="0" borderId="30" xfId="0" applyFont="1" applyBorder="1"/>
    <xf numFmtId="0" fontId="41" fillId="0" borderId="29" xfId="0" applyFont="1" applyBorder="1"/>
    <xf numFmtId="0" fontId="0" fillId="0" borderId="31" xfId="0" applyBorder="1"/>
    <xf numFmtId="0" fontId="65" fillId="0" borderId="7" xfId="0" applyFont="1" applyBorder="1"/>
    <xf numFmtId="167" fontId="0" fillId="0" borderId="0" xfId="0" applyNumberFormat="1"/>
    <xf numFmtId="0" fontId="65" fillId="0" borderId="197" xfId="0" applyFont="1" applyBorder="1"/>
    <xf numFmtId="0" fontId="11" fillId="0" borderId="111" xfId="0" applyFont="1" applyBorder="1" applyAlignment="1">
      <alignment horizontal="center"/>
    </xf>
    <xf numFmtId="0" fontId="11" fillId="0" borderId="198" xfId="0" applyFont="1" applyBorder="1" applyAlignment="1">
      <alignment horizontal="center"/>
    </xf>
    <xf numFmtId="0" fontId="0" fillId="0" borderId="32" xfId="0" applyBorder="1"/>
    <xf numFmtId="0" fontId="11" fillId="0" borderId="199" xfId="0" applyFont="1" applyBorder="1"/>
    <xf numFmtId="167" fontId="11" fillId="0" borderId="48" xfId="0" applyNumberFormat="1" applyFont="1" applyBorder="1"/>
    <xf numFmtId="167" fontId="11" fillId="0" borderId="200" xfId="0" applyNumberFormat="1" applyFont="1" applyBorder="1"/>
    <xf numFmtId="167" fontId="7" fillId="0" borderId="26" xfId="0" applyNumberFormat="1" applyFont="1" applyBorder="1"/>
    <xf numFmtId="0" fontId="65" fillId="0" borderId="8" xfId="0" applyFont="1" applyBorder="1"/>
    <xf numFmtId="167" fontId="11" fillId="0" borderId="0" xfId="0" applyNumberFormat="1" applyFont="1" applyBorder="1"/>
    <xf numFmtId="167" fontId="11" fillId="0" borderId="180" xfId="0" applyNumberFormat="1" applyFont="1" applyBorder="1"/>
    <xf numFmtId="167" fontId="11" fillId="0" borderId="24" xfId="0" applyNumberFormat="1" applyFont="1" applyBorder="1"/>
    <xf numFmtId="0" fontId="41" fillId="0" borderId="53" xfId="0" applyFont="1" applyBorder="1"/>
    <xf numFmtId="0" fontId="0" fillId="0" borderId="110" xfId="0" applyBorder="1"/>
    <xf numFmtId="0" fontId="0" fillId="0" borderId="198" xfId="0" applyBorder="1"/>
    <xf numFmtId="0" fontId="11" fillId="0" borderId="129" xfId="0" applyFont="1" applyBorder="1"/>
    <xf numFmtId="167" fontId="11" fillId="0" borderId="61" xfId="0" applyNumberFormat="1" applyFont="1" applyBorder="1"/>
    <xf numFmtId="0" fontId="11" fillId="0" borderId="47" xfId="0" applyFont="1" applyBorder="1"/>
    <xf numFmtId="0" fontId="54" fillId="0" borderId="199" xfId="0" quotePrefix="1" applyFont="1" applyBorder="1" applyAlignment="1">
      <alignment horizontal="left"/>
    </xf>
    <xf numFmtId="0" fontId="54" fillId="0" borderId="201" xfId="0" applyFont="1" applyBorder="1"/>
    <xf numFmtId="0" fontId="0" fillId="0" borderId="175" xfId="0" applyBorder="1"/>
    <xf numFmtId="167" fontId="11" fillId="0" borderId="177" xfId="0" applyNumberFormat="1" applyFont="1" applyBorder="1"/>
    <xf numFmtId="0" fontId="7" fillId="0" borderId="8" xfId="0" applyFont="1" applyFill="1" applyBorder="1"/>
    <xf numFmtId="167" fontId="7" fillId="0" borderId="0" xfId="0" applyNumberFormat="1" applyFont="1" applyFill="1" applyBorder="1"/>
    <xf numFmtId="0" fontId="0" fillId="0" borderId="24" xfId="0" applyFill="1" applyBorder="1"/>
    <xf numFmtId="0" fontId="15" fillId="0" borderId="8" xfId="0" applyFont="1" applyBorder="1"/>
    <xf numFmtId="0" fontId="11" fillId="0" borderId="48" xfId="0" applyFont="1" applyBorder="1" applyAlignment="1">
      <alignment horizontal="right"/>
    </xf>
    <xf numFmtId="0" fontId="65" fillId="0" borderId="8" xfId="0" applyFont="1" applyBorder="1" applyAlignment="1">
      <alignment horizontal="left"/>
    </xf>
    <xf numFmtId="167" fontId="11" fillId="0" borderId="29" xfId="0" applyNumberFormat="1" applyFont="1" applyBorder="1"/>
    <xf numFmtId="167" fontId="0" fillId="0" borderId="0" xfId="0" applyNumberFormat="1" applyAlignment="1">
      <alignment horizontal="center"/>
    </xf>
    <xf numFmtId="0" fontId="7" fillId="0" borderId="0" xfId="0" applyFont="1" applyFill="1" applyBorder="1" applyAlignment="1" applyProtection="1">
      <alignment horizontal="center"/>
      <protection locked="0"/>
    </xf>
    <xf numFmtId="0" fontId="7" fillId="0" borderId="3" xfId="0" applyFont="1" applyFill="1" applyBorder="1" applyAlignment="1" applyProtection="1">
      <alignment horizontal="right"/>
      <protection locked="0"/>
    </xf>
    <xf numFmtId="0" fontId="7" fillId="0" borderId="5" xfId="0" applyFont="1" applyFill="1" applyBorder="1" applyAlignment="1" applyProtection="1">
      <alignment horizontal="right"/>
      <protection locked="0"/>
    </xf>
    <xf numFmtId="0" fontId="8" fillId="0" borderId="31" xfId="0" applyFont="1" applyBorder="1"/>
    <xf numFmtId="0" fontId="7" fillId="0" borderId="29" xfId="0" applyFont="1" applyBorder="1"/>
    <xf numFmtId="0" fontId="11" fillId="0" borderId="31" xfId="0" quotePrefix="1" applyFont="1" applyBorder="1" applyAlignment="1">
      <alignment horizontal="center"/>
    </xf>
    <xf numFmtId="0" fontId="16" fillId="0" borderId="29" xfId="0" applyFont="1" applyBorder="1"/>
    <xf numFmtId="0" fontId="1" fillId="0" borderId="30" xfId="0" quotePrefix="1" applyFont="1" applyBorder="1" applyAlignment="1">
      <alignment horizontal="center"/>
    </xf>
    <xf numFmtId="0" fontId="7" fillId="0" borderId="120" xfId="0" applyFont="1" applyBorder="1" applyAlignment="1">
      <alignment horizontal="center"/>
    </xf>
    <xf numFmtId="172" fontId="0" fillId="0" borderId="0" xfId="0" applyNumberFormat="1" applyBorder="1"/>
    <xf numFmtId="0" fontId="34" fillId="6" borderId="0" xfId="0" applyFont="1" applyFill="1" applyBorder="1" applyAlignment="1">
      <alignment horizontal="left"/>
    </xf>
    <xf numFmtId="167" fontId="7" fillId="0" borderId="53" xfId="0" applyNumberFormat="1" applyFont="1" applyBorder="1"/>
    <xf numFmtId="0" fontId="28" fillId="5" borderId="8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2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3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2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2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68580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68580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9841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9842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9843" name="Day_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9844" name="Day_4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9845" name="Day_5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9846" name="Day_6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005" t="s">
        <v>9</v>
      </c>
      <c r="B1" s="777"/>
    </row>
    <row r="2" spans="1:88">
      <c r="A2" s="1005"/>
      <c r="B2" t="s">
        <v>9</v>
      </c>
    </row>
    <row r="3" spans="1:88" ht="15.6" thickBot="1">
      <c r="A3" s="1070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6" thickBot="1">
      <c r="A4" s="438"/>
      <c r="B4" s="777" t="s">
        <v>157</v>
      </c>
      <c r="H4" t="s">
        <v>9</v>
      </c>
      <c r="I4" t="s">
        <v>9</v>
      </c>
      <c r="J4" t="s">
        <v>9</v>
      </c>
      <c r="CJ4" s="446" t="s">
        <v>9</v>
      </c>
    </row>
    <row r="5" spans="1:88">
      <c r="A5" t="s">
        <v>9</v>
      </c>
      <c r="B5" s="755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157</v>
      </c>
      <c r="H6" t="s">
        <v>9</v>
      </c>
      <c r="J6" t="s">
        <v>157</v>
      </c>
      <c r="K6" t="s">
        <v>379</v>
      </c>
    </row>
    <row r="7" spans="1:88">
      <c r="A7" t="s">
        <v>9</v>
      </c>
      <c r="B7" t="s">
        <v>9</v>
      </c>
      <c r="H7" t="s">
        <v>157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04" t="s">
        <v>620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157</v>
      </c>
      <c r="K9" t="s">
        <v>9</v>
      </c>
      <c r="L9" t="s">
        <v>9</v>
      </c>
      <c r="M9" t="s">
        <v>9</v>
      </c>
    </row>
    <row r="10" spans="1:88">
      <c r="A10" t="s">
        <v>9</v>
      </c>
      <c r="B10" t="s">
        <v>9</v>
      </c>
      <c r="C10" t="s">
        <v>9</v>
      </c>
      <c r="D10" t="s">
        <v>157</v>
      </c>
      <c r="I10" t="s">
        <v>9</v>
      </c>
      <c r="J10" t="s">
        <v>157</v>
      </c>
      <c r="K10" t="s">
        <v>9</v>
      </c>
      <c r="L10" t="s">
        <v>561</v>
      </c>
    </row>
    <row r="11" spans="1:88" ht="15.75" customHeight="1">
      <c r="A11" t="s">
        <v>9</v>
      </c>
      <c r="B11" s="777" t="s">
        <v>9</v>
      </c>
      <c r="C11" s="408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561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157</v>
      </c>
      <c r="L14" t="s">
        <v>9</v>
      </c>
    </row>
    <row r="15" spans="1:88">
      <c r="A15" s="442" t="s">
        <v>9</v>
      </c>
      <c r="B15" t="s">
        <v>157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157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682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128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559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559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3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55" t="s">
        <v>157</v>
      </c>
      <c r="C25" t="s">
        <v>9</v>
      </c>
      <c r="E25" t="s">
        <v>9</v>
      </c>
      <c r="G25" s="437"/>
      <c r="H25" t="s">
        <v>9</v>
      </c>
      <c r="I25" t="s">
        <v>9</v>
      </c>
      <c r="J25" t="s">
        <v>9</v>
      </c>
      <c r="K25" t="s">
        <v>561</v>
      </c>
    </row>
    <row r="26" spans="1:13">
      <c r="A26" t="s">
        <v>9</v>
      </c>
      <c r="B26" t="s">
        <v>9</v>
      </c>
      <c r="C26" t="s">
        <v>157</v>
      </c>
      <c r="G26" s="437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561</v>
      </c>
      <c r="D27" t="s">
        <v>9</v>
      </c>
      <c r="G27" s="437"/>
      <c r="H27" t="s">
        <v>9</v>
      </c>
      <c r="I27" t="s">
        <v>9</v>
      </c>
      <c r="J27" s="122" t="s">
        <v>9</v>
      </c>
      <c r="K27" t="s">
        <v>9</v>
      </c>
      <c r="L27" t="s">
        <v>157</v>
      </c>
    </row>
    <row r="28" spans="1:13">
      <c r="G28" s="437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37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157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157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zoomScale="75" workbookViewId="0"/>
  </sheetViews>
  <sheetFormatPr defaultColWidth="8.90625" defaultRowHeight="15"/>
  <cols>
    <col min="1" max="1" width="23.1796875" style="112" customWidth="1"/>
    <col min="2" max="2" width="8.90625" style="112"/>
    <col min="3" max="3" width="17" style="112" customWidth="1"/>
    <col min="4" max="4" width="7.81640625" style="112" bestFit="1" customWidth="1"/>
    <col min="5" max="5" width="8.54296875" style="112" customWidth="1"/>
    <col min="6" max="6" width="8.6328125" style="112" customWidth="1"/>
    <col min="7" max="7" width="8.54296875" style="112" customWidth="1"/>
    <col min="8" max="9" width="8.6328125" style="112" customWidth="1"/>
    <col min="10" max="16384" width="8.90625" style="112"/>
  </cols>
  <sheetData>
    <row r="1" spans="1:10" ht="24.9" customHeight="1" thickTop="1">
      <c r="A1" s="842" t="s">
        <v>575</v>
      </c>
      <c r="B1" s="801"/>
      <c r="C1" s="801"/>
      <c r="D1" s="801"/>
      <c r="E1" s="801"/>
      <c r="F1" s="801"/>
      <c r="G1" s="801" t="s">
        <v>129</v>
      </c>
      <c r="H1" s="843" t="str">
        <f>D3</f>
        <v>THU</v>
      </c>
      <c r="I1" s="844">
        <f>D4</f>
        <v>37147</v>
      </c>
      <c r="J1" s="110"/>
    </row>
    <row r="2" spans="1:10" ht="24.9" customHeight="1">
      <c r="A2" s="804" t="s">
        <v>151</v>
      </c>
      <c r="B2" s="805"/>
      <c r="C2" s="805"/>
      <c r="D2" s="805"/>
      <c r="E2" s="805"/>
      <c r="F2" s="805"/>
      <c r="G2" s="805"/>
      <c r="H2" s="805"/>
      <c r="I2" s="806"/>
      <c r="J2" s="110"/>
    </row>
    <row r="3" spans="1:10" ht="24.9" customHeight="1" thickBot="1">
      <c r="A3" s="807"/>
      <c r="B3" s="805"/>
      <c r="C3" s="805"/>
      <c r="D3" s="808" t="str">
        <f t="shared" ref="D3:I3" si="0">CHOOSE(WEEKDAY(D4),"SUN","MON","TUE","WED","THU","FRI","SAT")</f>
        <v>THU</v>
      </c>
      <c r="E3" s="808" t="str">
        <f t="shared" si="0"/>
        <v>FRI</v>
      </c>
      <c r="F3" s="808" t="str">
        <f t="shared" si="0"/>
        <v>SAT</v>
      </c>
      <c r="G3" s="808" t="str">
        <f t="shared" si="0"/>
        <v>SUN</v>
      </c>
      <c r="H3" s="808" t="str">
        <f t="shared" si="0"/>
        <v>MON</v>
      </c>
      <c r="I3" s="809" t="str">
        <f t="shared" si="0"/>
        <v>TUE</v>
      </c>
      <c r="J3" s="110"/>
    </row>
    <row r="4" spans="1:10" ht="24.9" customHeight="1" thickBot="1">
      <c r="A4" s="810" t="s">
        <v>152</v>
      </c>
      <c r="B4" s="811"/>
      <c r="C4" s="811"/>
      <c r="D4" s="812">
        <f>Weather_Input!A5</f>
        <v>37147</v>
      </c>
      <c r="E4" s="812">
        <f>Weather_Input!A6</f>
        <v>37148</v>
      </c>
      <c r="F4" s="812">
        <f>Weather_Input!A7</f>
        <v>37149</v>
      </c>
      <c r="G4" s="812">
        <f>Weather_Input!A8</f>
        <v>37150</v>
      </c>
      <c r="H4" s="812">
        <f>Weather_Input!A9</f>
        <v>37151</v>
      </c>
      <c r="I4" s="813">
        <f>Weather_Input!A10</f>
        <v>37152</v>
      </c>
      <c r="J4" s="110"/>
    </row>
    <row r="5" spans="1:10" s="111" customFormat="1" ht="24.9" customHeight="1" thickTop="1">
      <c r="A5" s="814" t="s">
        <v>131</v>
      </c>
      <c r="B5" s="805"/>
      <c r="C5" s="805" t="s">
        <v>132</v>
      </c>
      <c r="D5" s="845" t="str">
        <f>TEXT(Weather_Input!B5,"0")&amp;"/"&amp;TEXT(Weather_Input!C5,"0") &amp; "/" &amp; TEXT((Weather_Input!B5+Weather_Input!C5)/2,"0")</f>
        <v>67/55/61</v>
      </c>
      <c r="E5" s="845" t="str">
        <f>TEXT(Weather_Input!B6,"0")&amp;"/"&amp;TEXT(Weather_Input!C6,"0") &amp; "/" &amp; TEXT((Weather_Input!B6+Weather_Input!C6)/2,"0")</f>
        <v>67/45/56</v>
      </c>
      <c r="F5" s="845" t="str">
        <f>TEXT(Weather_Input!B7,"0")&amp;"/"&amp;TEXT(Weather_Input!C7,"0") &amp; "/" &amp; TEXT((Weather_Input!B7+Weather_Input!C7)/2,"0")</f>
        <v>67/47/57</v>
      </c>
      <c r="G5" s="845" t="str">
        <f>TEXT(Weather_Input!B8,"0")&amp;"/"&amp;TEXT(Weather_Input!C8,"0") &amp; "/" &amp; TEXT((Weather_Input!B8+Weather_Input!C8)/2,"0")</f>
        <v>70/51/61</v>
      </c>
      <c r="H5" s="845" t="str">
        <f>TEXT(Weather_Input!B9,"0")&amp;"/"&amp;TEXT(Weather_Input!C9,"0") &amp; "/" &amp; TEXT((Weather_Input!B9+Weather_Input!C9)/2,"0")</f>
        <v>74/53/64</v>
      </c>
      <c r="I5" s="846" t="str">
        <f>TEXT(Weather_Input!B10,"0")&amp;"/"&amp;TEXT(Weather_Input!C10,"0") &amp; "/" &amp; TEXT((Weather_Input!B10+Weather_Input!C10)/2,"0")</f>
        <v>74/60/67</v>
      </c>
      <c r="J5" s="110"/>
    </row>
    <row r="6" spans="1:10" ht="24.9" customHeight="1">
      <c r="A6" s="817" t="s">
        <v>133</v>
      </c>
      <c r="B6" s="805"/>
      <c r="C6" s="805"/>
      <c r="D6" s="815">
        <f ca="1">VLOOKUP(D4,NSG_Sendouts,CELL("Col",NSG_Deliveries!C5),FALSE)/1000</f>
        <v>39.700000000000003</v>
      </c>
      <c r="E6" s="815">
        <f ca="1">VLOOKUP(E4,NSG_Sendouts,CELL("Col",NSG_Deliveries!C6),FALSE)/1000</f>
        <v>45</v>
      </c>
      <c r="F6" s="815">
        <f ca="1">VLOOKUP(F4,NSG_Sendouts,CELL("Col",NSG_Deliveries!C7),FALSE)/1000</f>
        <v>40</v>
      </c>
      <c r="G6" s="815">
        <f ca="1">VLOOKUP(G4,NSG_Sendouts,CELL("Col",NSG_Deliveries!C8),FALSE)/1000</f>
        <v>37</v>
      </c>
      <c r="H6" s="815">
        <f ca="1">VLOOKUP(H4,NSG_Sendouts,CELL("Col",NSG_Deliveries!C9),FALSE)/1000</f>
        <v>35</v>
      </c>
      <c r="I6" s="820">
        <f ca="1">VLOOKUP(I4,NSG_Sendouts,CELL("Col",NSG_Deliveries!C10),FALSE)/1000</f>
        <v>34</v>
      </c>
      <c r="J6" s="111"/>
    </row>
    <row r="7" spans="1:10" ht="24.9" customHeight="1">
      <c r="A7" s="814" t="s">
        <v>137</v>
      </c>
      <c r="B7" s="805" t="s">
        <v>138</v>
      </c>
      <c r="C7" s="805" t="s">
        <v>57</v>
      </c>
      <c r="D7" s="815">
        <f>(NSG_Requirements!$K$7+NSG_Requirements!$L$7+NSG_Requirements!$M$7+NSG_Requirements!$N$7)/1000</f>
        <v>0</v>
      </c>
      <c r="E7" s="815">
        <f>(NSG_Requirements!$K$8+NSG_Requirements!$L$8+NSG_Requirements!$M$8+NSG_Requirements!$N$8)/1000</f>
        <v>0</v>
      </c>
      <c r="F7" s="815">
        <f>(NSG_Requirements!$K$9+NSG_Requirements!$L$9+NSG_Requirements!$M$9+NSG_Requirements!$N$9)/1000</f>
        <v>0</v>
      </c>
      <c r="G7" s="815">
        <f>(NSG_Requirements!$K$10+NSG_Requirements!$L$10+NSG_Requirements!$M$10+NSG_Requirements!$N$10)/1000</f>
        <v>0</v>
      </c>
      <c r="H7" s="815">
        <f>(NSG_Requirements!$K$11+NSG_Requirements!$L$11+NSG_Requirements!$M$11+NSG_Requirements!$N$11)/1000</f>
        <v>0</v>
      </c>
      <c r="I7" s="820">
        <f>(NSG_Requirements!$K$12+NSG_Requirements!$L$12+NSG_Requirements!$M$12+NSG_Requirements!$N$12)/1000</f>
        <v>0</v>
      </c>
      <c r="J7" s="111"/>
    </row>
    <row r="8" spans="1:10" ht="24.9" customHeight="1">
      <c r="A8" s="814"/>
      <c r="B8" s="805" t="s">
        <v>136</v>
      </c>
      <c r="C8" s="819" t="s">
        <v>86</v>
      </c>
      <c r="D8" s="815">
        <f>NSG_Requirements!J7/1000</f>
        <v>7.9050000000000002</v>
      </c>
      <c r="E8" s="815">
        <f>NSG_Requirements!J8/1000</f>
        <v>1.5</v>
      </c>
      <c r="F8" s="815">
        <f>NSG_Requirements!J9/1000</f>
        <v>0</v>
      </c>
      <c r="G8" s="815">
        <f>NSG_Requirements!J10/1000</f>
        <v>0</v>
      </c>
      <c r="H8" s="815">
        <f>NSG_Requirements!J11/1000</f>
        <v>0</v>
      </c>
      <c r="I8" s="816">
        <f>NSG_Requirements!J12/1000</f>
        <v>0</v>
      </c>
      <c r="J8" s="110"/>
    </row>
    <row r="9" spans="1:10" ht="24.9" customHeight="1">
      <c r="A9" s="814"/>
      <c r="B9" s="805" t="s">
        <v>134</v>
      </c>
      <c r="C9" s="819" t="s">
        <v>86</v>
      </c>
      <c r="D9" s="815">
        <f>NSG_Requirements!H7/1000</f>
        <v>0</v>
      </c>
      <c r="E9" s="815">
        <f>NSG_Requirements!H8/1000</f>
        <v>0</v>
      </c>
      <c r="F9" s="815">
        <f>NSG_Requirements!H9/1000</f>
        <v>0</v>
      </c>
      <c r="G9" s="815">
        <f>NSG_Requirements!H10/1000</f>
        <v>0</v>
      </c>
      <c r="H9" s="815">
        <f>NSG_Requirements!H11/1000</f>
        <v>0</v>
      </c>
      <c r="I9" s="816">
        <f>NSG_Requirements!H12/1000</f>
        <v>0</v>
      </c>
      <c r="J9" s="110"/>
    </row>
    <row r="10" spans="1:10" ht="24.9" customHeight="1">
      <c r="A10" s="832" t="s">
        <v>153</v>
      </c>
      <c r="B10" s="833" t="s">
        <v>369</v>
      </c>
      <c r="C10" s="833"/>
      <c r="D10" s="847">
        <f>NSG_Requirements!B7/1000</f>
        <v>0</v>
      </c>
      <c r="E10" s="847">
        <f>NSG_Requirements!B8/1000</f>
        <v>0</v>
      </c>
      <c r="F10" s="847">
        <f>NSG_Requirements!B9/1000</f>
        <v>0</v>
      </c>
      <c r="G10" s="847">
        <f>NSG_Requirements!B10/1000</f>
        <v>0</v>
      </c>
      <c r="H10" s="847">
        <f>NSG_Requirements!B11/1000</f>
        <v>0</v>
      </c>
      <c r="I10" s="848">
        <f>NSG_Requirements!B12/1000</f>
        <v>0</v>
      </c>
      <c r="J10" s="110"/>
    </row>
    <row r="11" spans="1:10" ht="24.9" customHeight="1" thickBot="1">
      <c r="A11" s="849" t="s">
        <v>142</v>
      </c>
      <c r="B11" s="839"/>
      <c r="C11" s="839"/>
      <c r="D11" s="824">
        <f t="shared" ref="D11:I11" ca="1" si="1">SUM(D6:D10)</f>
        <v>47.605000000000004</v>
      </c>
      <c r="E11" s="824">
        <f t="shared" ca="1" si="1"/>
        <v>46.5</v>
      </c>
      <c r="F11" s="824">
        <f t="shared" ca="1" si="1"/>
        <v>40</v>
      </c>
      <c r="G11" s="824">
        <f t="shared" ca="1" si="1"/>
        <v>37</v>
      </c>
      <c r="H11" s="824">
        <f t="shared" ca="1" si="1"/>
        <v>35</v>
      </c>
      <c r="I11" s="825">
        <f t="shared" ca="1" si="1"/>
        <v>34</v>
      </c>
      <c r="J11" s="110"/>
    </row>
    <row r="12" spans="1:10" ht="24.9" customHeight="1" thickTop="1" thickBot="1">
      <c r="A12" s="850"/>
      <c r="B12" s="851"/>
      <c r="C12" s="851"/>
      <c r="D12" s="852"/>
      <c r="E12" s="852"/>
      <c r="F12" s="852"/>
      <c r="G12" s="852"/>
      <c r="H12" s="852"/>
      <c r="I12" s="852"/>
      <c r="J12" s="111"/>
    </row>
    <row r="13" spans="1:10" ht="24.9" customHeight="1" thickTop="1" thickBot="1">
      <c r="A13" s="853" t="s">
        <v>143</v>
      </c>
      <c r="B13" s="828"/>
      <c r="C13" s="828"/>
      <c r="D13" s="829"/>
      <c r="E13" s="829"/>
      <c r="F13" s="829"/>
      <c r="G13" s="829"/>
      <c r="H13" s="829"/>
      <c r="I13" s="830"/>
      <c r="J13" s="110"/>
    </row>
    <row r="14" spans="1:10" ht="24.9" customHeight="1" thickTop="1">
      <c r="A14" s="814" t="s">
        <v>677</v>
      </c>
      <c r="B14" s="805" t="s">
        <v>138</v>
      </c>
      <c r="C14" s="805" t="s">
        <v>154</v>
      </c>
      <c r="D14" s="815">
        <f>NSG_Supplies!G7/1000</f>
        <v>0</v>
      </c>
      <c r="E14" s="815">
        <f>NSG_Supplies!G8/1000</f>
        <v>0</v>
      </c>
      <c r="F14" s="815">
        <f>NSG_Supplies!G9/1000</f>
        <v>0</v>
      </c>
      <c r="G14" s="815">
        <f>NSG_Supplies!G10/1000</f>
        <v>0</v>
      </c>
      <c r="H14" s="815">
        <f>NSG_Supplies!G11/1000</f>
        <v>0</v>
      </c>
      <c r="I14" s="816">
        <f>NSG_Supplies!G12/1000</f>
        <v>0</v>
      </c>
      <c r="J14" s="110"/>
    </row>
    <row r="15" spans="1:10" ht="24.9" customHeight="1">
      <c r="A15" s="814"/>
      <c r="B15" s="805" t="s">
        <v>136</v>
      </c>
      <c r="C15" s="805" t="s">
        <v>145</v>
      </c>
      <c r="D15" s="815">
        <f>NSG_Supplies!K7/1000</f>
        <v>0</v>
      </c>
      <c r="E15" s="815">
        <f>NSG_Supplies!K8/1000</f>
        <v>0</v>
      </c>
      <c r="F15" s="815">
        <f>NSG_Supplies!K9/1000</f>
        <v>0</v>
      </c>
      <c r="G15" s="815">
        <f>NSG_Supplies!K10/1000</f>
        <v>0</v>
      </c>
      <c r="H15" s="815">
        <f>NSG_Supplies!K11/1000</f>
        <v>0</v>
      </c>
      <c r="I15" s="816">
        <f>NSG_Supplies!K12/1000</f>
        <v>0</v>
      </c>
      <c r="J15" s="110"/>
    </row>
    <row r="16" spans="1:10" ht="24.9" customHeight="1">
      <c r="A16" s="814"/>
      <c r="B16" s="805"/>
      <c r="C16" s="819" t="s">
        <v>741</v>
      </c>
      <c r="D16" s="815">
        <f>NSG_Supplies!E7/1000</f>
        <v>0</v>
      </c>
      <c r="E16" s="815">
        <f>NSG_Supplies!E8/1000</f>
        <v>0</v>
      </c>
      <c r="F16" s="815">
        <f>NSG_Supplies!E9/1000</f>
        <v>0</v>
      </c>
      <c r="G16" s="815">
        <f>NSG_Supplies!E10/1000</f>
        <v>0</v>
      </c>
      <c r="H16" s="815">
        <f>NSG_Supplies!E11/1000</f>
        <v>0</v>
      </c>
      <c r="I16" s="820">
        <f>NSG_Supplies!E12/1000</f>
        <v>0</v>
      </c>
      <c r="J16" s="111"/>
    </row>
    <row r="17" spans="1:13" ht="24.9" customHeight="1">
      <c r="A17" s="814"/>
      <c r="B17" s="805" t="s">
        <v>134</v>
      </c>
      <c r="C17" s="819" t="s">
        <v>742</v>
      </c>
      <c r="D17" s="815">
        <f>NSG_Supplies!F7/1000</f>
        <v>1.4970000000000001</v>
      </c>
      <c r="E17" s="815">
        <f>NSG_Supplies!F8/1000</f>
        <v>0</v>
      </c>
      <c r="F17" s="815">
        <f>NSG_Supplies!F9/1000</f>
        <v>0</v>
      </c>
      <c r="G17" s="815">
        <f>NSG_Supplies!F10/1000</f>
        <v>0</v>
      </c>
      <c r="H17" s="815">
        <f>NSG_Supplies!F11/1000</f>
        <v>0</v>
      </c>
      <c r="I17" s="820">
        <f>NSG_Supplies!F12/1000</f>
        <v>0</v>
      </c>
      <c r="J17" s="111"/>
    </row>
    <row r="18" spans="1:13" ht="24.9" customHeight="1">
      <c r="A18" s="814"/>
      <c r="B18" s="805" t="s">
        <v>80</v>
      </c>
      <c r="C18" s="805" t="s">
        <v>678</v>
      </c>
      <c r="D18" s="815">
        <f>NSG_Supplies!T7/1000</f>
        <v>0</v>
      </c>
      <c r="E18" s="815">
        <f>NSG_Supplies!T8/1000</f>
        <v>0</v>
      </c>
      <c r="F18" s="815">
        <f>NSG_Supplies!T9/1000</f>
        <v>0</v>
      </c>
      <c r="G18" s="815">
        <f>NSG_Supplies!T10/1000</f>
        <v>0</v>
      </c>
      <c r="H18" s="815">
        <f>NSG_Supplies!T11/1000</f>
        <v>0</v>
      </c>
      <c r="I18" s="820">
        <f>NSG_Supplies!T12/1000</f>
        <v>0</v>
      </c>
      <c r="J18" s="111"/>
    </row>
    <row r="19" spans="1:13" ht="24.9" customHeight="1">
      <c r="A19" s="814" t="s">
        <v>155</v>
      </c>
      <c r="B19" s="805" t="s">
        <v>134</v>
      </c>
      <c r="C19" s="1055" t="s">
        <v>679</v>
      </c>
      <c r="D19" s="815">
        <f>NSG_Supplies!Q7/1000</f>
        <v>26.498999999999999</v>
      </c>
      <c r="E19" s="815">
        <f>NSG_Supplies!Q8/1000</f>
        <v>26.498999999999999</v>
      </c>
      <c r="F19" s="815">
        <f>NSG_Supplies!Q9/1000</f>
        <v>26.498999999999999</v>
      </c>
      <c r="G19" s="815">
        <f>NSG_Supplies!Q10/1000</f>
        <v>26.498999999999999</v>
      </c>
      <c r="H19" s="815">
        <f>NSG_Supplies!Q11/1000</f>
        <v>26.498999999999999</v>
      </c>
      <c r="I19" s="816">
        <f>NSG_Supplies!Q12/1000</f>
        <v>26.498999999999999</v>
      </c>
      <c r="J19" s="110"/>
    </row>
    <row r="20" spans="1:13" ht="24.9" customHeight="1">
      <c r="A20" s="814"/>
      <c r="B20" s="805" t="s">
        <v>136</v>
      </c>
      <c r="C20" s="805" t="s">
        <v>567</v>
      </c>
      <c r="D20" s="815">
        <f>NSG_Supplies!P7/1000</f>
        <v>20</v>
      </c>
      <c r="E20" s="815">
        <f>NSG_Supplies!P8/1000</f>
        <v>20</v>
      </c>
      <c r="F20" s="815">
        <f>NSG_Supplies!P9/1000</f>
        <v>20</v>
      </c>
      <c r="G20" s="815">
        <f>NSG_Supplies!P10/1000</f>
        <v>20</v>
      </c>
      <c r="H20" s="815">
        <f>NSG_Supplies!P11/1000</f>
        <v>20</v>
      </c>
      <c r="I20" s="816">
        <f>NSG_Supplies!P12/1000</f>
        <v>20</v>
      </c>
      <c r="J20" s="110"/>
    </row>
    <row r="21" spans="1:13" ht="24.9" customHeight="1" thickBot="1">
      <c r="A21" s="1198" t="s">
        <v>148</v>
      </c>
      <c r="B21" s="1199"/>
      <c r="C21" s="1199"/>
      <c r="D21" s="1200">
        <f t="shared" ref="D21:I21" si="2">SUM(D14:D20)</f>
        <v>47.995999999999995</v>
      </c>
      <c r="E21" s="1200">
        <f t="shared" si="2"/>
        <v>46.498999999999995</v>
      </c>
      <c r="F21" s="1200">
        <f t="shared" si="2"/>
        <v>46.498999999999995</v>
      </c>
      <c r="G21" s="1200">
        <f t="shared" si="2"/>
        <v>46.498999999999995</v>
      </c>
      <c r="H21" s="1200">
        <f t="shared" si="2"/>
        <v>46.498999999999995</v>
      </c>
      <c r="I21" s="1201">
        <f t="shared" si="2"/>
        <v>46.498999999999995</v>
      </c>
      <c r="J21" s="110"/>
      <c r="K21" s="111"/>
      <c r="L21" s="93"/>
      <c r="M21" s="111"/>
    </row>
    <row r="22" spans="1:13" ht="24.9" customHeight="1">
      <c r="A22" s="854" t="s">
        <v>149</v>
      </c>
      <c r="B22" s="855"/>
      <c r="C22" s="855"/>
      <c r="D22" s="856">
        <f t="shared" ref="D22:I22" ca="1" si="3">IF(D21-D11&lt;0,0,D21-D11)</f>
        <v>0.39099999999999113</v>
      </c>
      <c r="E22" s="856">
        <f t="shared" ca="1" si="3"/>
        <v>0</v>
      </c>
      <c r="F22" s="856">
        <f t="shared" ca="1" si="3"/>
        <v>6.4989999999999952</v>
      </c>
      <c r="G22" s="856">
        <f t="shared" ca="1" si="3"/>
        <v>9.4989999999999952</v>
      </c>
      <c r="H22" s="856">
        <f t="shared" ca="1" si="3"/>
        <v>11.498999999999995</v>
      </c>
      <c r="I22" s="857">
        <f t="shared" ca="1" si="3"/>
        <v>12.498999999999995</v>
      </c>
      <c r="J22" s="110"/>
      <c r="K22" s="111"/>
      <c r="L22" s="93"/>
      <c r="M22" s="111"/>
    </row>
    <row r="23" spans="1:13" ht="24.9" customHeight="1" thickBot="1">
      <c r="A23" s="858" t="s">
        <v>150</v>
      </c>
      <c r="B23" s="839"/>
      <c r="C23" s="839"/>
      <c r="D23" s="840">
        <f t="shared" ref="D23:I23" ca="1" si="4">IF(D11-D21&lt;0,0,D11-D21)</f>
        <v>0</v>
      </c>
      <c r="E23" s="840">
        <f t="shared" ca="1" si="4"/>
        <v>1.0000000000047748E-3</v>
      </c>
      <c r="F23" s="840">
        <f t="shared" ca="1" si="4"/>
        <v>0</v>
      </c>
      <c r="G23" s="840">
        <f t="shared" ca="1" si="4"/>
        <v>0</v>
      </c>
      <c r="H23" s="840">
        <f t="shared" ca="1" si="4"/>
        <v>0</v>
      </c>
      <c r="I23" s="841">
        <f t="shared" ca="1" si="4"/>
        <v>0</v>
      </c>
      <c r="J23" s="110"/>
      <c r="K23" s="111"/>
      <c r="L23" s="111"/>
      <c r="M23" s="111"/>
    </row>
    <row r="24" spans="1:13" ht="24.9" customHeight="1" thickTop="1" thickBot="1">
      <c r="A24" s="1056" t="s">
        <v>680</v>
      </c>
      <c r="B24" s="1057"/>
      <c r="C24" s="1057"/>
      <c r="D24" s="1058">
        <f>NSG_Supplies!R7/1000</f>
        <v>16.641999999999999</v>
      </c>
      <c r="E24" s="1058">
        <f>NSG_Supplies!R8/1000</f>
        <v>16.641999999999999</v>
      </c>
      <c r="F24" s="1058">
        <f>NSG_Supplies!R9/1000</f>
        <v>16.641999999999999</v>
      </c>
      <c r="G24" s="1058">
        <f>NSG_Supplies!R10/1000</f>
        <v>16.641999999999999</v>
      </c>
      <c r="H24" s="1058">
        <f>NSG_Supplies!R11/1000</f>
        <v>16.641999999999999</v>
      </c>
      <c r="I24" s="1059">
        <f>NSG_Supplies!R12/1000</f>
        <v>16.641999999999999</v>
      </c>
    </row>
    <row r="25" spans="1:13" ht="24.9" customHeight="1" thickTop="1" thickBot="1">
      <c r="B25" s="860"/>
      <c r="C25" s="860"/>
      <c r="D25" s="860"/>
      <c r="E25" s="860"/>
      <c r="F25" s="860"/>
      <c r="G25" s="859"/>
      <c r="H25" s="859"/>
      <c r="I25" s="859"/>
    </row>
    <row r="26" spans="1:13" ht="24.9" customHeight="1" thickTop="1" thickBot="1">
      <c r="A26" s="861" t="s">
        <v>156</v>
      </c>
      <c r="B26" s="862"/>
      <c r="C26" s="862"/>
      <c r="D26" s="863">
        <f>Weather_Input!D5</f>
        <v>13.2</v>
      </c>
      <c r="E26" s="863">
        <f>Weather_Input!D6</f>
        <v>9</v>
      </c>
      <c r="F26" s="863">
        <f>Weather_Input!D7</f>
        <v>8</v>
      </c>
      <c r="G26" s="864"/>
      <c r="H26" s="859"/>
      <c r="I26" s="859"/>
    </row>
    <row r="27" spans="1:13" ht="15.6" thickTop="1">
      <c r="D27" s="112" t="s">
        <v>157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zoomScale="75" workbookViewId="0"/>
  </sheetViews>
  <sheetFormatPr defaultColWidth="8.90625" defaultRowHeight="15"/>
  <cols>
    <col min="1" max="1" width="23.81640625" customWidth="1"/>
    <col min="2" max="3" width="8.81640625" customWidth="1"/>
    <col min="4" max="4" width="9.81640625" customWidth="1"/>
    <col min="5" max="5" width="22.81640625" customWidth="1"/>
    <col min="6" max="8" width="8.81640625" customWidth="1"/>
    <col min="9" max="9" width="19.81640625" customWidth="1"/>
    <col min="10" max="15" width="8.81640625" customWidth="1"/>
  </cols>
  <sheetData>
    <row r="1" spans="1:17" ht="18.600000000000001" thickTop="1" thickBot="1">
      <c r="A1" s="1099" t="s">
        <v>9</v>
      </c>
      <c r="B1" s="1096" t="s">
        <v>9</v>
      </c>
      <c r="C1" s="1097" t="s">
        <v>656</v>
      </c>
      <c r="D1" s="1098"/>
      <c r="E1" s="1099" t="s">
        <v>9</v>
      </c>
      <c r="F1" s="1100" t="s">
        <v>695</v>
      </c>
      <c r="G1" s="1101" t="s">
        <v>9</v>
      </c>
      <c r="H1" s="1102"/>
      <c r="I1" s="1144" t="s">
        <v>9</v>
      </c>
      <c r="J1" s="571"/>
      <c r="K1" s="571"/>
      <c r="L1" s="572" t="s">
        <v>158</v>
      </c>
      <c r="M1" s="1174">
        <f>Weather_Input!A5</f>
        <v>37147</v>
      </c>
      <c r="N1" s="1175" t="str">
        <f>CHOOSE(WEEKDAY(M1),"SUN","MON","TUE","WED","THU","FRI","SAT")</f>
        <v>THU</v>
      </c>
      <c r="O1" s="576"/>
    </row>
    <row r="2" spans="1:17">
      <c r="A2" s="416" t="s">
        <v>659</v>
      </c>
      <c r="B2" s="315">
        <f>PGL_Supplies!W7/1000</f>
        <v>0</v>
      </c>
      <c r="C2" s="8"/>
      <c r="D2" s="596"/>
      <c r="E2" s="551" t="s">
        <v>394</v>
      </c>
      <c r="F2" s="1077"/>
      <c r="G2" s="546" t="s">
        <v>9</v>
      </c>
      <c r="H2" s="1091" t="s">
        <v>9</v>
      </c>
      <c r="I2" s="250" t="s">
        <v>497</v>
      </c>
      <c r="J2" s="1117" t="s">
        <v>377</v>
      </c>
      <c r="K2" s="1121" t="s">
        <v>161</v>
      </c>
      <c r="L2" s="1122" t="s">
        <v>21</v>
      </c>
      <c r="M2" s="1121" t="s">
        <v>161</v>
      </c>
      <c r="N2" s="1117" t="s">
        <v>21</v>
      </c>
      <c r="O2" s="1123" t="s">
        <v>161</v>
      </c>
      <c r="Q2" s="1274" t="s">
        <v>9</v>
      </c>
    </row>
    <row r="3" spans="1:17" ht="15.6">
      <c r="A3" s="416" t="s">
        <v>690</v>
      </c>
      <c r="B3" s="1136">
        <f>PGL_Requirements!I7/1000</f>
        <v>0</v>
      </c>
      <c r="C3" s="930" t="s">
        <v>9</v>
      </c>
      <c r="D3" s="304"/>
      <c r="E3" s="551" t="s">
        <v>443</v>
      </c>
      <c r="F3" s="315"/>
      <c r="G3" s="379" t="s">
        <v>9</v>
      </c>
      <c r="H3" s="1091" t="s">
        <v>9</v>
      </c>
      <c r="I3" s="1145" t="s">
        <v>9</v>
      </c>
      <c r="J3" s="917">
        <f>Weather_Input!B5</f>
        <v>67</v>
      </c>
      <c r="K3" s="918">
        <f>Weather_Input!C5</f>
        <v>55</v>
      </c>
      <c r="L3" s="587" t="s">
        <v>9</v>
      </c>
      <c r="M3" s="260" t="s">
        <v>9</v>
      </c>
      <c r="N3" s="260"/>
      <c r="O3" s="258"/>
    </row>
    <row r="4" spans="1:17" ht="15.6" thickBot="1">
      <c r="A4" s="240" t="s">
        <v>692</v>
      </c>
      <c r="B4" s="1137">
        <v>0</v>
      </c>
      <c r="C4" s="119"/>
      <c r="D4" s="942"/>
      <c r="E4" s="520" t="s">
        <v>444</v>
      </c>
      <c r="F4" s="315">
        <f>PGL_Supplies!H7/1000</f>
        <v>3</v>
      </c>
      <c r="G4" s="509" t="s">
        <v>9</v>
      </c>
      <c r="H4" s="1194"/>
      <c r="I4" t="s">
        <v>725</v>
      </c>
      <c r="J4" s="1009"/>
      <c r="K4" s="1213"/>
      <c r="L4" s="425"/>
      <c r="M4" s="1011"/>
      <c r="N4" s="425"/>
      <c r="O4" s="778"/>
    </row>
    <row r="5" spans="1:17" ht="16.2" thickBot="1">
      <c r="A5" s="1020" t="s">
        <v>3</v>
      </c>
      <c r="B5" s="315">
        <f>PGL_Supplies!X7/1000</f>
        <v>69.284000000000006</v>
      </c>
      <c r="C5" s="1012" t="s">
        <v>9</v>
      </c>
      <c r="D5" s="340"/>
      <c r="E5" s="1155" t="s">
        <v>420</v>
      </c>
      <c r="F5" s="936">
        <f>F3+F4</f>
        <v>3</v>
      </c>
      <c r="G5" s="549" t="s">
        <v>9</v>
      </c>
      <c r="H5" s="1183" t="s">
        <v>9</v>
      </c>
      <c r="I5" s="1146" t="s">
        <v>387</v>
      </c>
      <c r="J5" s="1048" t="s">
        <v>9</v>
      </c>
      <c r="K5" s="1214">
        <f>PGL_Deliveries!C5/1000</f>
        <v>205</v>
      </c>
      <c r="L5" s="585"/>
      <c r="M5" s="260"/>
      <c r="N5" s="585"/>
      <c r="O5" s="258"/>
    </row>
    <row r="6" spans="1:17" ht="16.2" thickBot="1">
      <c r="A6" s="542" t="s">
        <v>411</v>
      </c>
      <c r="B6" s="1015">
        <f>+B5-B3+B2-B4</f>
        <v>69.284000000000006</v>
      </c>
      <c r="C6" s="1016" t="s">
        <v>9</v>
      </c>
      <c r="D6" s="514"/>
      <c r="E6" s="618" t="s">
        <v>9</v>
      </c>
      <c r="F6" s="940" t="s">
        <v>35</v>
      </c>
      <c r="G6" s="941"/>
      <c r="H6" s="1092"/>
      <c r="I6" s="119" t="s">
        <v>674</v>
      </c>
      <c r="J6" s="1049"/>
      <c r="K6" s="1215">
        <f>PGL_Requirements!X7/1000</f>
        <v>0</v>
      </c>
      <c r="L6" s="1049"/>
      <c r="M6" s="1050"/>
      <c r="N6" s="119"/>
      <c r="O6" s="116"/>
    </row>
    <row r="7" spans="1:17" ht="16.2" thickBot="1">
      <c r="A7" s="317" t="s">
        <v>9</v>
      </c>
      <c r="B7" s="1013" t="s">
        <v>9</v>
      </c>
      <c r="C7" s="935" t="s">
        <v>65</v>
      </c>
      <c r="D7" s="1014"/>
      <c r="E7" s="416" t="s">
        <v>422</v>
      </c>
      <c r="F7" s="315">
        <f>PGL_Supplies!O7/1000</f>
        <v>0</v>
      </c>
      <c r="G7" s="372" t="s">
        <v>9</v>
      </c>
      <c r="H7" s="1085"/>
      <c r="I7" s="481"/>
      <c r="J7" s="480" t="s">
        <v>9</v>
      </c>
      <c r="K7" s="480" t="s">
        <v>9</v>
      </c>
      <c r="L7" s="481"/>
      <c r="M7" s="481"/>
      <c r="N7" s="481"/>
      <c r="O7" s="482"/>
    </row>
    <row r="8" spans="1:17">
      <c r="A8" s="416" t="s">
        <v>562</v>
      </c>
      <c r="B8" s="315">
        <f>PGL_Requirements!T7/1000</f>
        <v>10.425000000000001</v>
      </c>
      <c r="C8" s="577"/>
      <c r="D8" s="304"/>
      <c r="E8" s="416" t="s">
        <v>423</v>
      </c>
      <c r="F8" s="379">
        <f>PGL_Requirements!E7/1000</f>
        <v>5.0279999999999996</v>
      </c>
      <c r="G8" s="372" t="s">
        <v>9</v>
      </c>
      <c r="H8" s="1085"/>
      <c r="I8" s="1000" t="s">
        <v>688</v>
      </c>
      <c r="J8" s="284" t="s">
        <v>9</v>
      </c>
      <c r="K8" s="1216">
        <f>B4</f>
        <v>0</v>
      </c>
      <c r="L8" s="602"/>
      <c r="M8" s="260"/>
      <c r="N8" s="602"/>
      <c r="O8" s="258" t="s">
        <v>9</v>
      </c>
    </row>
    <row r="9" spans="1:17">
      <c r="A9" s="416" t="s">
        <v>632</v>
      </c>
      <c r="B9" s="315">
        <f>PGL_Supplies!P7/1000</f>
        <v>0</v>
      </c>
      <c r="C9" s="304"/>
      <c r="D9" s="304"/>
      <c r="E9" s="416" t="s">
        <v>424</v>
      </c>
      <c r="F9" s="315">
        <f>PGL_Supplies!F7/1000</f>
        <v>0</v>
      </c>
      <c r="G9" s="315"/>
      <c r="H9" s="1085"/>
      <c r="I9" s="119" t="s">
        <v>656</v>
      </c>
      <c r="J9" s="1009"/>
      <c r="K9" s="1217">
        <f>+B6</f>
        <v>69.284000000000006</v>
      </c>
      <c r="L9" s="1009"/>
      <c r="M9" s="1011"/>
      <c r="N9" s="425"/>
      <c r="O9" s="276" t="s">
        <v>9</v>
      </c>
    </row>
    <row r="10" spans="1:17" ht="15.6" thickBot="1">
      <c r="A10" s="617" t="s">
        <v>618</v>
      </c>
      <c r="B10" s="315">
        <f>PGL_Supplies!Y7/1000</f>
        <v>10.425000000000001</v>
      </c>
      <c r="C10" s="119"/>
      <c r="D10" s="1008"/>
      <c r="E10" s="416" t="s">
        <v>714</v>
      </c>
      <c r="F10" s="944">
        <f>PGL_Supplies!AC7/1000</f>
        <v>5.0279999999999996</v>
      </c>
      <c r="G10" s="510"/>
      <c r="H10" s="1086"/>
      <c r="I10" s="1147" t="s">
        <v>707</v>
      </c>
      <c r="J10" s="273" t="s">
        <v>9</v>
      </c>
      <c r="K10" s="1216">
        <f>B11</f>
        <v>0</v>
      </c>
      <c r="L10" s="585"/>
      <c r="M10" s="597" t="s">
        <v>9</v>
      </c>
      <c r="N10" s="585"/>
      <c r="O10" s="276" t="s">
        <v>9</v>
      </c>
    </row>
    <row r="11" spans="1:17" ht="16.2" thickBot="1">
      <c r="A11" s="542" t="s">
        <v>411</v>
      </c>
      <c r="B11" s="549">
        <f>B10+B9-B8</f>
        <v>0</v>
      </c>
      <c r="C11" s="514"/>
      <c r="D11" s="514"/>
      <c r="E11" s="771" t="s">
        <v>512</v>
      </c>
      <c r="F11" s="945">
        <f>+F10+F9-F8+F7</f>
        <v>0</v>
      </c>
      <c r="G11" s="936" t="s">
        <v>9</v>
      </c>
      <c r="H11" s="515"/>
      <c r="I11" s="1147" t="s">
        <v>57</v>
      </c>
      <c r="J11" s="273" t="s">
        <v>9</v>
      </c>
      <c r="K11" s="1216">
        <f>B19</f>
        <v>-115.73099999999999</v>
      </c>
      <c r="L11" s="585"/>
      <c r="M11" s="260" t="s">
        <v>9</v>
      </c>
      <c r="N11" s="585"/>
      <c r="O11" s="258"/>
    </row>
    <row r="12" spans="1:17" ht="16.2" thickBot="1">
      <c r="A12" s="538" t="s">
        <v>9</v>
      </c>
      <c r="B12" s="543" t="s">
        <v>9</v>
      </c>
      <c r="C12" s="935" t="s">
        <v>57</v>
      </c>
      <c r="D12" s="541"/>
      <c r="E12" s="1139" t="s">
        <v>9</v>
      </c>
      <c r="F12" s="1138" t="s">
        <v>726</v>
      </c>
      <c r="G12" s="350"/>
      <c r="H12" s="1090"/>
      <c r="I12" s="1147" t="s">
        <v>708</v>
      </c>
      <c r="J12" s="273" t="s">
        <v>9</v>
      </c>
      <c r="K12" s="1216">
        <f>B28</f>
        <v>0</v>
      </c>
      <c r="L12" s="585"/>
      <c r="M12" s="260" t="s">
        <v>9</v>
      </c>
      <c r="N12" s="585"/>
      <c r="O12" s="258"/>
    </row>
    <row r="13" spans="1:17">
      <c r="A13" s="416" t="s">
        <v>69</v>
      </c>
      <c r="B13" s="315">
        <f>PGL_Requirements!O7/1000</f>
        <v>115.3</v>
      </c>
      <c r="C13" s="304"/>
      <c r="D13" s="532"/>
      <c r="E13" s="564" t="s">
        <v>452</v>
      </c>
      <c r="F13" s="1077" t="s">
        <v>9</v>
      </c>
      <c r="G13" s="557" t="s">
        <v>9</v>
      </c>
      <c r="H13" s="1093" t="s">
        <v>9</v>
      </c>
      <c r="I13" s="1147" t="s">
        <v>709</v>
      </c>
      <c r="J13" s="277" t="s">
        <v>9</v>
      </c>
      <c r="K13" s="1216">
        <f>B34</f>
        <v>208.20400000000001</v>
      </c>
      <c r="L13" s="585"/>
      <c r="M13" s="260" t="s">
        <v>9</v>
      </c>
      <c r="N13" s="585"/>
      <c r="O13" s="258"/>
    </row>
    <row r="14" spans="1:17">
      <c r="A14" s="416" t="s">
        <v>416</v>
      </c>
      <c r="B14" s="315">
        <f>PGL_Supplies!L7/1000</f>
        <v>0</v>
      </c>
      <c r="C14" s="304"/>
      <c r="D14" s="532"/>
      <c r="E14" s="352" t="s">
        <v>453</v>
      </c>
      <c r="F14" s="304"/>
      <c r="G14" s="523"/>
      <c r="H14" s="1094"/>
      <c r="I14" s="1147" t="s">
        <v>390</v>
      </c>
      <c r="J14" s="273" t="s">
        <v>9</v>
      </c>
      <c r="K14" s="1218">
        <f>F5</f>
        <v>3</v>
      </c>
      <c r="L14" s="585"/>
      <c r="M14" s="260" t="s">
        <v>9</v>
      </c>
      <c r="N14" s="585"/>
      <c r="O14" s="258"/>
    </row>
    <row r="15" spans="1:17" ht="16.2" thickBot="1">
      <c r="A15" s="416" t="s">
        <v>417</v>
      </c>
      <c r="B15" s="315">
        <f>SUM(PGL_Requirements!B7/1000)</f>
        <v>0</v>
      </c>
      <c r="C15" s="304"/>
      <c r="D15" s="1085"/>
      <c r="E15" s="1141" t="s">
        <v>619</v>
      </c>
      <c r="F15" s="943"/>
      <c r="G15" s="1049"/>
      <c r="H15" s="1108"/>
      <c r="I15" s="1147" t="s">
        <v>710</v>
      </c>
      <c r="J15" s="273" t="s">
        <v>157</v>
      </c>
      <c r="K15" s="1216">
        <f>F11</f>
        <v>0</v>
      </c>
      <c r="L15" s="585"/>
      <c r="M15" s="260" t="s">
        <v>9</v>
      </c>
      <c r="N15" s="585"/>
      <c r="O15" s="258"/>
    </row>
    <row r="16" spans="1:17" ht="16.2" thickBot="1">
      <c r="A16" s="416" t="s">
        <v>418</v>
      </c>
      <c r="B16" s="315">
        <f>PGL_Supplies!G7/1000</f>
        <v>0.20899999999999999</v>
      </c>
      <c r="C16" s="304"/>
      <c r="D16" s="1085"/>
      <c r="E16" s="1142" t="s">
        <v>9</v>
      </c>
      <c r="F16" s="1103" t="s">
        <v>445</v>
      </c>
      <c r="G16" s="1184"/>
      <c r="H16" s="1143"/>
      <c r="I16" s="1147" t="s">
        <v>513</v>
      </c>
      <c r="J16" s="273" t="s">
        <v>157</v>
      </c>
      <c r="K16" s="1218">
        <f>PGL_Supplies!B7/1000</f>
        <v>16.646000000000001</v>
      </c>
      <c r="L16" s="585"/>
      <c r="M16" s="260" t="s">
        <v>9</v>
      </c>
      <c r="N16" s="585"/>
      <c r="O16" s="258"/>
    </row>
    <row r="17" spans="1:15" ht="15" customHeight="1" thickBot="1">
      <c r="A17" s="361" t="s">
        <v>652</v>
      </c>
      <c r="B17" s="315">
        <f>PGL_Requirements!Q7/1000</f>
        <v>0.64</v>
      </c>
      <c r="C17" s="304"/>
      <c r="D17" s="1085"/>
      <c r="E17" s="525" t="s">
        <v>446</v>
      </c>
      <c r="F17" s="545">
        <f>+PGL_Supplies!J7/1000</f>
        <v>0</v>
      </c>
      <c r="G17" s="1168" t="s">
        <v>9</v>
      </c>
      <c r="H17" s="1095" t="s">
        <v>9</v>
      </c>
      <c r="I17" s="1140" t="s">
        <v>514</v>
      </c>
      <c r="J17" s="298" t="s">
        <v>9</v>
      </c>
      <c r="K17" s="1219">
        <f>-PGL_Requirements!F7/1000</f>
        <v>0</v>
      </c>
      <c r="L17" s="585"/>
      <c r="M17" s="260"/>
      <c r="N17" s="585"/>
      <c r="O17" s="258"/>
    </row>
    <row r="18" spans="1:15" ht="16.2" thickBot="1">
      <c r="A18" s="416" t="s">
        <v>653</v>
      </c>
      <c r="B18" s="315">
        <f>PGL_Requirements!P7/1000</f>
        <v>1.7295</v>
      </c>
      <c r="C18" s="340"/>
      <c r="D18" s="1086"/>
      <c r="E18" s="618" t="s">
        <v>9</v>
      </c>
      <c r="F18" s="1103" t="s">
        <v>696</v>
      </c>
      <c r="G18" s="941"/>
      <c r="H18" s="1092"/>
      <c r="I18" t="s">
        <v>724</v>
      </c>
      <c r="J18" s="1009"/>
      <c r="K18" s="1220">
        <f>-F19</f>
        <v>0</v>
      </c>
      <c r="L18" s="1009"/>
      <c r="M18" s="217"/>
      <c r="N18" s="1009"/>
      <c r="O18" s="778"/>
    </row>
    <row r="19" spans="1:15" ht="16.2" thickBot="1">
      <c r="A19" s="501" t="s">
        <v>420</v>
      </c>
      <c r="B19" s="1166">
        <f>-B13+B14+B16-B17-B15+B20+B21</f>
        <v>-115.73099999999999</v>
      </c>
      <c r="C19" s="503"/>
      <c r="D19" s="515"/>
      <c r="E19" s="1104" t="s">
        <v>697</v>
      </c>
      <c r="F19" s="1169">
        <f>PGL_Requirements!J7/1000</f>
        <v>0</v>
      </c>
      <c r="G19" s="998" t="s">
        <v>9</v>
      </c>
      <c r="H19" s="1105" t="s">
        <v>9</v>
      </c>
      <c r="I19" t="s">
        <v>515</v>
      </c>
      <c r="J19" s="1171"/>
      <c r="K19" s="1221">
        <f>-F24</f>
        <v>0</v>
      </c>
      <c r="L19" s="1171"/>
      <c r="M19" s="157"/>
      <c r="N19" s="1171"/>
      <c r="O19" s="1170"/>
    </row>
    <row r="20" spans="1:15" ht="16.2" thickBot="1">
      <c r="A20" s="323" t="s">
        <v>203</v>
      </c>
      <c r="B20" s="315">
        <v>0</v>
      </c>
      <c r="C20" s="506"/>
      <c r="D20" s="1087"/>
      <c r="E20" s="119"/>
      <c r="F20" s="119"/>
      <c r="G20" s="119"/>
      <c r="H20" s="1116"/>
      <c r="I20" s="1148" t="s">
        <v>619</v>
      </c>
      <c r="J20" s="600" t="s">
        <v>9</v>
      </c>
      <c r="K20" s="1222">
        <f>SUM(K8:K19)</f>
        <v>181.40300000000002</v>
      </c>
      <c r="L20" s="604" t="s">
        <v>9</v>
      </c>
      <c r="M20" s="494" t="s">
        <v>9</v>
      </c>
      <c r="N20" s="604" t="s">
        <v>9</v>
      </c>
      <c r="O20" s="605"/>
    </row>
    <row r="21" spans="1:15" ht="16.2" thickBot="1">
      <c r="A21" s="416" t="s">
        <v>201</v>
      </c>
      <c r="B21" s="1081">
        <v>0</v>
      </c>
      <c r="C21" s="533"/>
      <c r="D21" s="1088"/>
      <c r="E21" s="1106" t="s">
        <v>698</v>
      </c>
      <c r="F21" s="1137">
        <v>0</v>
      </c>
      <c r="G21" s="1010"/>
      <c r="H21" s="426"/>
      <c r="I21" s="480" t="s">
        <v>36</v>
      </c>
      <c r="J21" s="488" t="s">
        <v>9</v>
      </c>
      <c r="K21" s="920"/>
      <c r="L21" s="490"/>
      <c r="M21" s="490"/>
      <c r="N21" s="490"/>
      <c r="O21" s="1276"/>
    </row>
    <row r="22" spans="1:15" ht="15.6" thickBot="1">
      <c r="A22" s="1082" t="s">
        <v>689</v>
      </c>
      <c r="B22" s="1069">
        <f>SUM(B4)</f>
        <v>0</v>
      </c>
      <c r="C22" s="1083"/>
      <c r="D22" s="1084"/>
      <c r="E22" s="1106" t="s">
        <v>699</v>
      </c>
      <c r="F22" s="1137">
        <v>0</v>
      </c>
      <c r="G22" s="1010"/>
      <c r="H22" s="426"/>
      <c r="I22" s="1147" t="s">
        <v>560</v>
      </c>
      <c r="J22" s="273" t="s">
        <v>9</v>
      </c>
      <c r="K22" s="1223">
        <f>-PGL_Supplies!I7/1000</f>
        <v>0</v>
      </c>
      <c r="L22" s="257"/>
      <c r="M22" s="260"/>
      <c r="N22" s="257"/>
      <c r="O22" s="251"/>
    </row>
    <row r="23" spans="1:15" ht="18" customHeight="1" thickBot="1">
      <c r="A23" s="538" t="s">
        <v>9</v>
      </c>
      <c r="B23" s="539" t="s">
        <v>9</v>
      </c>
      <c r="C23" s="1185" t="s">
        <v>66</v>
      </c>
      <c r="D23" s="1092"/>
      <c r="E23" s="1107" t="s">
        <v>700</v>
      </c>
      <c r="F23" s="1157">
        <v>0</v>
      </c>
      <c r="G23" s="943"/>
      <c r="H23" s="1108"/>
      <c r="I23" s="1147" t="s">
        <v>393</v>
      </c>
      <c r="J23" s="273" t="s">
        <v>9</v>
      </c>
      <c r="K23" s="1216">
        <f>K5+K6-K20</f>
        <v>23.59699999999998</v>
      </c>
      <c r="L23" s="257"/>
      <c r="M23" s="597" t="s">
        <v>9</v>
      </c>
      <c r="N23" s="257"/>
      <c r="O23" s="287"/>
    </row>
    <row r="24" spans="1:15" ht="16.2" thickBot="1">
      <c r="A24" s="416" t="s">
        <v>414</v>
      </c>
      <c r="B24" s="379">
        <f>PGL_Requirements!C7/1000</f>
        <v>0</v>
      </c>
      <c r="C24" s="343"/>
      <c r="D24" s="1085"/>
      <c r="E24" s="534" t="s">
        <v>701</v>
      </c>
      <c r="F24" s="1169">
        <f>PGL_Requirements!G7/1000*0.5</f>
        <v>0</v>
      </c>
      <c r="G24" s="998"/>
      <c r="H24" s="984"/>
      <c r="I24" s="1149" t="s">
        <v>394</v>
      </c>
      <c r="J24" s="273" t="s">
        <v>9</v>
      </c>
      <c r="K24" s="1216"/>
      <c r="L24" s="288" t="s">
        <v>9</v>
      </c>
      <c r="M24" s="921"/>
      <c r="N24" s="288" t="s">
        <v>9</v>
      </c>
      <c r="O24" s="287"/>
    </row>
    <row r="25" spans="1:15" ht="16.2" thickBot="1">
      <c r="A25" s="416" t="s">
        <v>693</v>
      </c>
      <c r="B25" s="938">
        <f>PGL_Supplies!C7/1000</f>
        <v>0</v>
      </c>
      <c r="C25" s="1165"/>
      <c r="D25" s="1085"/>
      <c r="E25" s="1109" t="s">
        <v>702</v>
      </c>
      <c r="F25" s="1158">
        <v>0</v>
      </c>
      <c r="G25" s="1110"/>
      <c r="H25" s="1111"/>
      <c r="I25" s="1147" t="s">
        <v>395</v>
      </c>
      <c r="J25" s="922" t="s">
        <v>9</v>
      </c>
      <c r="K25" s="1224">
        <f>SUM(B18+B20+B21)</f>
        <v>1.7295</v>
      </c>
      <c r="L25" s="923"/>
      <c r="M25" s="1182"/>
      <c r="N25" s="924" t="s">
        <v>9</v>
      </c>
      <c r="O25" s="251"/>
    </row>
    <row r="26" spans="1:15" ht="16.8" thickTop="1" thickBot="1">
      <c r="A26" s="416" t="s">
        <v>103</v>
      </c>
      <c r="B26" s="938">
        <f>PGL_Supplies!Z7/1000</f>
        <v>0</v>
      </c>
      <c r="C26" s="304"/>
      <c r="D26" s="1085"/>
      <c r="E26" s="119"/>
      <c r="F26" s="1024"/>
      <c r="G26" s="119"/>
      <c r="H26" s="158"/>
      <c r="I26" s="1150" t="s">
        <v>396</v>
      </c>
      <c r="J26" s="925" t="s">
        <v>9</v>
      </c>
      <c r="K26" s="1225">
        <f>SUM(K23:K25)</f>
        <v>25.326499999999982</v>
      </c>
      <c r="L26" s="925" t="s">
        <v>9</v>
      </c>
      <c r="M26" s="597"/>
      <c r="N26" s="926" t="s">
        <v>9</v>
      </c>
      <c r="O26" s="927" t="s">
        <v>9</v>
      </c>
    </row>
    <row r="27" spans="1:15" ht="15.75" customHeight="1" thickTop="1" thickBot="1">
      <c r="A27" s="416" t="s">
        <v>694</v>
      </c>
      <c r="B27" s="315">
        <f>PGL_Supplies!Q7/1000</f>
        <v>0</v>
      </c>
      <c r="C27" s="343"/>
      <c r="D27" s="1085"/>
      <c r="E27" s="1104" t="s">
        <v>703</v>
      </c>
      <c r="F27" s="1156"/>
      <c r="G27" s="998"/>
      <c r="H27" s="1105"/>
      <c r="I27" s="1151" t="s">
        <v>647</v>
      </c>
      <c r="J27" s="928"/>
      <c r="K27" s="1223">
        <f>SUM(-PGL_Supplies!L7/1000)</f>
        <v>0</v>
      </c>
      <c r="L27" s="1001"/>
      <c r="M27" s="1002"/>
      <c r="N27" s="497"/>
      <c r="O27" s="931"/>
    </row>
    <row r="28" spans="1:15" ht="16.2" thickBot="1">
      <c r="A28" s="542" t="s">
        <v>411</v>
      </c>
      <c r="B28" s="936">
        <f>-B24+B25+B26+B27</f>
        <v>0</v>
      </c>
      <c r="C28" s="937"/>
      <c r="D28" s="515"/>
      <c r="E28" s="119"/>
      <c r="F28" s="1024"/>
      <c r="G28" s="119"/>
      <c r="H28" s="158"/>
      <c r="I28" s="1147" t="s">
        <v>404</v>
      </c>
      <c r="J28" s="932"/>
      <c r="K28" s="1219">
        <f>PGL_Requirements!N7/1000</f>
        <v>4.5119999999999996</v>
      </c>
      <c r="L28" s="298"/>
      <c r="M28" s="919" t="s">
        <v>9</v>
      </c>
      <c r="N28" s="497"/>
      <c r="O28" s="929" t="s">
        <v>9</v>
      </c>
    </row>
    <row r="29" spans="1:15" ht="16.2" thickBot="1">
      <c r="A29" s="349" t="s">
        <v>9</v>
      </c>
      <c r="B29" s="1180" t="s">
        <v>389</v>
      </c>
      <c r="C29" s="350"/>
      <c r="D29" s="351"/>
      <c r="E29" s="1112" t="s">
        <v>437</v>
      </c>
      <c r="F29" s="1157"/>
      <c r="G29" s="943"/>
      <c r="H29" s="1113"/>
      <c r="I29" s="1147" t="s">
        <v>405</v>
      </c>
      <c r="J29" s="933"/>
      <c r="K29" s="1226">
        <f>-PGL_Supplies!K7/1000</f>
        <v>0</v>
      </c>
      <c r="L29" s="298"/>
      <c r="M29" s="930" t="s">
        <v>9</v>
      </c>
      <c r="N29" s="497"/>
      <c r="O29" s="934" t="s">
        <v>9</v>
      </c>
    </row>
    <row r="30" spans="1:15" ht="15.6" thickBot="1">
      <c r="A30" s="361" t="s">
        <v>448</v>
      </c>
      <c r="B30" s="379">
        <f>PGL_Requirements!D7/1000</f>
        <v>0</v>
      </c>
      <c r="C30" s="523"/>
      <c r="D30" s="379" t="s">
        <v>9</v>
      </c>
      <c r="E30" s="1115" t="s">
        <v>704</v>
      </c>
      <c r="F30" s="1137"/>
      <c r="G30" s="1010"/>
      <c r="H30" s="1089"/>
      <c r="I30" s="1152" t="s">
        <v>182</v>
      </c>
      <c r="J30" s="1118"/>
      <c r="K30" s="1215">
        <f>-PGL_Supplies!AB7/1000</f>
        <v>-32.97</v>
      </c>
      <c r="L30" s="1119"/>
      <c r="M30" s="1023">
        <f>-PGL_Supplies!AB7/1000</f>
        <v>-32.97</v>
      </c>
      <c r="N30" s="1120"/>
      <c r="O30" s="1179">
        <f>-PGL_Supplies!AB7/1000</f>
        <v>-32.97</v>
      </c>
    </row>
    <row r="31" spans="1:15" ht="16.2" thickBot="1">
      <c r="A31" s="361" t="s">
        <v>449</v>
      </c>
      <c r="B31" s="938">
        <f>PGL_Supplies!D7/1000</f>
        <v>0</v>
      </c>
      <c r="C31" s="938" t="s">
        <v>9</v>
      </c>
      <c r="D31" s="939" t="s">
        <v>9</v>
      </c>
      <c r="E31" s="157" t="s">
        <v>705</v>
      </c>
      <c r="F31" s="1159"/>
      <c r="G31" s="1008"/>
      <c r="H31" s="1114"/>
      <c r="I31" s="320" t="s">
        <v>187</v>
      </c>
      <c r="J31" s="319"/>
      <c r="K31" s="1126"/>
      <c r="L31" s="1127"/>
      <c r="M31" s="322"/>
      <c r="N31" s="322"/>
      <c r="O31" s="322"/>
    </row>
    <row r="32" spans="1:15" ht="16.2" thickBot="1">
      <c r="A32" s="416" t="s">
        <v>103</v>
      </c>
      <c r="B32" s="938">
        <f>PGL_Supplies!AA7/1000+NSG_Supplies!M7/1000</f>
        <v>198.20400000000001</v>
      </c>
      <c r="C32" s="938" t="s">
        <v>9</v>
      </c>
      <c r="D32" s="939" t="s">
        <v>9</v>
      </c>
      <c r="E32" s="534" t="s">
        <v>706</v>
      </c>
      <c r="F32" s="1160"/>
      <c r="G32" s="421"/>
      <c r="H32" s="984"/>
      <c r="I32" s="1151" t="s">
        <v>428</v>
      </c>
      <c r="J32" s="506"/>
      <c r="K32" s="1186"/>
      <c r="L32" s="1167" t="s">
        <v>711</v>
      </c>
      <c r="M32" s="119"/>
      <c r="N32" s="1193"/>
      <c r="O32" s="1191"/>
    </row>
    <row r="33" spans="1:15" ht="15.6" thickBot="1">
      <c r="A33" s="1076" t="s">
        <v>557</v>
      </c>
      <c r="B33" s="938">
        <f>PGL_Supplies!R7/1000</f>
        <v>20</v>
      </c>
      <c r="C33" s="938" t="s">
        <v>9</v>
      </c>
      <c r="D33" s="942"/>
      <c r="E33" s="119"/>
      <c r="F33" s="119"/>
      <c r="G33" s="119"/>
      <c r="H33" s="158"/>
      <c r="I33" s="1153" t="s">
        <v>429</v>
      </c>
      <c r="J33" s="1190"/>
      <c r="K33" s="1187"/>
      <c r="L33" s="1128" t="s">
        <v>437</v>
      </c>
      <c r="M33" s="1011"/>
      <c r="N33" s="1009"/>
      <c r="O33" s="778"/>
    </row>
    <row r="34" spans="1:15" ht="16.2" thickBot="1">
      <c r="A34" s="1131" t="s">
        <v>615</v>
      </c>
      <c r="B34" s="1156">
        <f>-B30+B31+B32+B33*0.5</f>
        <v>208.20400000000001</v>
      </c>
      <c r="C34" s="998"/>
      <c r="D34" s="986" t="s">
        <v>9</v>
      </c>
      <c r="E34" s="1205" t="s">
        <v>713</v>
      </c>
      <c r="F34" s="119"/>
      <c r="G34" s="119"/>
      <c r="H34" s="158"/>
      <c r="I34" s="1154" t="s">
        <v>430</v>
      </c>
      <c r="J34" s="532"/>
      <c r="K34" s="1188"/>
      <c r="L34" s="1128" t="s">
        <v>438</v>
      </c>
      <c r="M34" s="1011"/>
      <c r="N34" s="1009"/>
      <c r="O34" s="778"/>
    </row>
    <row r="35" spans="1:15">
      <c r="A35" s="1071" t="s">
        <v>721</v>
      </c>
      <c r="B35" s="989"/>
      <c r="C35" s="989"/>
      <c r="D35" s="987" t="s">
        <v>9</v>
      </c>
      <c r="E35" s="1205" t="s">
        <v>760</v>
      </c>
      <c r="F35" s="119"/>
      <c r="G35" s="1273" t="str">
        <f>G3</f>
        <v xml:space="preserve"> </v>
      </c>
      <c r="H35" s="158"/>
      <c r="I35" s="1154" t="s">
        <v>431</v>
      </c>
      <c r="J35" s="532"/>
      <c r="K35" s="1187"/>
      <c r="L35" s="1129" t="s">
        <v>439</v>
      </c>
      <c r="M35" s="1011"/>
      <c r="N35" s="1009"/>
      <c r="O35" s="778"/>
    </row>
    <row r="36" spans="1:15">
      <c r="A36" s="1072" t="s">
        <v>722</v>
      </c>
      <c r="B36" s="315">
        <f>B34-B35-B37</f>
        <v>208.20400000000001</v>
      </c>
      <c r="C36" s="990" t="s">
        <v>9</v>
      </c>
      <c r="D36" s="988" t="s">
        <v>9</v>
      </c>
      <c r="E36" s="1205" t="s">
        <v>712</v>
      </c>
      <c r="F36" s="119"/>
      <c r="G36" s="119"/>
      <c r="H36" s="158"/>
      <c r="I36" s="1154" t="s">
        <v>432</v>
      </c>
      <c r="J36" s="532"/>
      <c r="K36" s="1187"/>
      <c r="L36" s="1129" t="s">
        <v>371</v>
      </c>
      <c r="M36" s="1011"/>
      <c r="N36" s="1009"/>
      <c r="O36" s="778"/>
    </row>
    <row r="37" spans="1:15">
      <c r="A37" s="1073" t="s">
        <v>723</v>
      </c>
      <c r="B37" s="1177">
        <f>F24</f>
        <v>0</v>
      </c>
      <c r="C37" s="1009"/>
      <c r="D37" s="1065" t="s">
        <v>9</v>
      </c>
      <c r="E37" s="119"/>
      <c r="F37" s="119"/>
      <c r="G37" s="119"/>
      <c r="H37" s="119"/>
      <c r="I37" s="1176" t="s">
        <v>433</v>
      </c>
      <c r="J37" s="532"/>
      <c r="K37" s="1187"/>
      <c r="L37" s="1130" t="s">
        <v>440</v>
      </c>
      <c r="M37" s="1011"/>
      <c r="N37" s="1009"/>
      <c r="O37" s="778"/>
    </row>
    <row r="38" spans="1:15">
      <c r="A38" s="1203" t="s">
        <v>759</v>
      </c>
      <c r="B38" s="1137" t="s">
        <v>9</v>
      </c>
      <c r="C38" s="1010"/>
      <c r="D38" s="942"/>
      <c r="E38" s="119"/>
      <c r="F38" s="119"/>
      <c r="G38" s="119"/>
      <c r="H38" s="119"/>
      <c r="I38" s="1172" t="s">
        <v>434</v>
      </c>
      <c r="J38" s="532"/>
      <c r="K38" s="1187"/>
      <c r="L38" s="577" t="s">
        <v>441</v>
      </c>
      <c r="M38" s="119"/>
      <c r="N38" s="1207"/>
      <c r="O38" s="1208"/>
    </row>
    <row r="39" spans="1:15" ht="16.2" thickBot="1">
      <c r="A39" s="1078" t="s">
        <v>2</v>
      </c>
      <c r="B39" s="1178">
        <f>B35+B36+B37</f>
        <v>208.20400000000001</v>
      </c>
      <c r="C39" s="1079"/>
      <c r="D39" s="1080" t="s">
        <v>9</v>
      </c>
      <c r="E39" s="119"/>
      <c r="F39" s="119"/>
      <c r="G39" s="119"/>
      <c r="H39" s="119"/>
      <c r="I39" s="1173" t="s">
        <v>435</v>
      </c>
      <c r="J39" s="567"/>
      <c r="K39" s="1189"/>
      <c r="L39" s="1209" t="s">
        <v>761</v>
      </c>
      <c r="M39" s="1050"/>
      <c r="N39" s="1210"/>
      <c r="O39" s="1192"/>
    </row>
    <row r="40" spans="1:15" ht="16.8" thickTop="1" thickBot="1">
      <c r="A40" s="1204" t="s">
        <v>9</v>
      </c>
      <c r="B40" s="427"/>
      <c r="C40" s="427"/>
      <c r="D40" s="427"/>
      <c r="E40" s="117"/>
      <c r="F40" s="117"/>
      <c r="G40" s="117"/>
      <c r="H40" s="117"/>
      <c r="I40" s="117"/>
      <c r="J40" s="946" t="s">
        <v>9</v>
      </c>
      <c r="K40" s="1132"/>
      <c r="L40" s="1206" t="s">
        <v>209</v>
      </c>
      <c r="M40" s="1211"/>
      <c r="N40" s="117" t="s">
        <v>9</v>
      </c>
      <c r="O40" s="1133"/>
    </row>
    <row r="41" spans="1:15" ht="15.6" thickTop="1">
      <c r="A41" s="764"/>
      <c r="B41" s="764"/>
      <c r="C41" s="764"/>
      <c r="D41" s="764"/>
      <c r="E41" s="764"/>
      <c r="F41" s="764"/>
      <c r="G41" s="764"/>
      <c r="H41" s="764"/>
      <c r="I41" s="764"/>
      <c r="J41" s="1134"/>
      <c r="K41" s="1134"/>
      <c r="L41" s="1135"/>
      <c r="M41" s="764"/>
      <c r="N41" s="764"/>
      <c r="O41" s="764"/>
    </row>
    <row r="42" spans="1:15">
      <c r="A42" s="1074"/>
      <c r="B42" s="119"/>
      <c r="C42" s="119"/>
      <c r="D42" s="1075"/>
      <c r="I42" s="119"/>
      <c r="J42" s="1124"/>
      <c r="K42" s="577"/>
      <c r="L42" s="1125"/>
    </row>
    <row r="43" spans="1:15">
      <c r="I43" s="119"/>
      <c r="J43" s="1124"/>
      <c r="K43" s="577"/>
      <c r="L43" s="1125"/>
    </row>
    <row r="44" spans="1:15">
      <c r="I44" s="119"/>
      <c r="J44" s="8"/>
      <c r="K44" s="8"/>
      <c r="L44" s="1125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4"/>
  <sheetViews>
    <sheetView zoomScale="75" workbookViewId="0"/>
  </sheetViews>
  <sheetFormatPr defaultRowHeight="15"/>
  <cols>
    <col min="1" max="1" width="23.54296875" bestFit="1" customWidth="1"/>
    <col min="2" max="2" width="10.81640625" customWidth="1"/>
    <col min="3" max="3" width="10.6328125" customWidth="1"/>
    <col min="4" max="4" width="10.81640625" customWidth="1"/>
    <col min="5" max="5" width="10.6328125" customWidth="1"/>
    <col min="6" max="9" width="10.81640625" customWidth="1"/>
  </cols>
  <sheetData>
    <row r="1" spans="1:9" ht="21" thickTop="1">
      <c r="A1" s="999" t="s">
        <v>9</v>
      </c>
      <c r="B1" s="619"/>
      <c r="C1" s="619" t="s">
        <v>9</v>
      </c>
      <c r="D1" s="620"/>
      <c r="E1" s="572" t="s">
        <v>158</v>
      </c>
      <c r="F1" s="572" t="str">
        <f>CHOOSE(WEEKDAY(G1),"SUN","MON","TUE","WED","THU","FRI","SAT")</f>
        <v>THU</v>
      </c>
      <c r="G1" s="1181">
        <f>Weather_Input!A5</f>
        <v>37147</v>
      </c>
      <c r="H1" s="572" t="s">
        <v>243</v>
      </c>
      <c r="I1" s="576"/>
    </row>
    <row r="2" spans="1:9" ht="20.399999999999999">
      <c r="A2" s="621" t="s">
        <v>9</v>
      </c>
      <c r="B2" s="765" t="s">
        <v>509</v>
      </c>
      <c r="C2" s="908"/>
      <c r="D2" s="767" t="s">
        <v>510</v>
      </c>
      <c r="E2" s="766"/>
      <c r="F2" s="767" t="s">
        <v>511</v>
      </c>
      <c r="G2" s="766"/>
      <c r="H2" s="768" t="s">
        <v>463</v>
      </c>
      <c r="I2" s="624"/>
    </row>
    <row r="3" spans="1:9" ht="21">
      <c r="A3" s="991" t="s">
        <v>464</v>
      </c>
      <c r="B3" s="625" t="s">
        <v>21</v>
      </c>
      <c r="C3" s="626"/>
      <c r="D3" s="627" t="s">
        <v>21</v>
      </c>
      <c r="E3" s="626" t="s">
        <v>22</v>
      </c>
      <c r="F3" s="627" t="s">
        <v>21</v>
      </c>
      <c r="G3" s="627" t="s">
        <v>22</v>
      </c>
      <c r="H3" s="625" t="s">
        <v>21</v>
      </c>
      <c r="I3" s="628" t="s">
        <v>22</v>
      </c>
    </row>
    <row r="4" spans="1:9" ht="21" thickBot="1">
      <c r="A4" s="629"/>
      <c r="B4" s="630">
        <f>Weather_Input!B5</f>
        <v>67</v>
      </c>
      <c r="C4" s="737">
        <f>Weather_Input!C5</f>
        <v>55</v>
      </c>
      <c r="D4" s="631"/>
      <c r="E4" s="632"/>
      <c r="F4" s="631"/>
      <c r="G4" s="632"/>
      <c r="H4" s="633"/>
      <c r="I4" s="634"/>
    </row>
    <row r="5" spans="1:9" ht="23.4" thickBot="1">
      <c r="A5" s="635" t="s">
        <v>133</v>
      </c>
      <c r="B5" s="636"/>
      <c r="C5" s="637">
        <f>NSG_Deliveries!C5/1000</f>
        <v>39.700000000000003</v>
      </c>
      <c r="D5" s="636"/>
      <c r="E5" s="638"/>
      <c r="F5" s="636"/>
      <c r="G5" s="638" t="s">
        <v>9</v>
      </c>
      <c r="H5" s="636"/>
      <c r="I5" s="639"/>
    </row>
    <row r="6" spans="1:9" ht="12" customHeight="1" thickBot="1">
      <c r="A6" s="640" t="s">
        <v>9</v>
      </c>
      <c r="B6" s="641"/>
      <c r="C6" s="642"/>
      <c r="D6" s="643"/>
      <c r="E6" s="642"/>
      <c r="F6" s="643"/>
      <c r="G6" s="643"/>
      <c r="H6" s="641"/>
      <c r="I6" s="644"/>
    </row>
    <row r="7" spans="1:9" ht="23.4" thickBot="1">
      <c r="A7" s="645" t="s">
        <v>83</v>
      </c>
      <c r="B7" s="636"/>
      <c r="C7" s="742">
        <f>C5-C9-C11-C12</f>
        <v>27.605000000000004</v>
      </c>
      <c r="D7" s="646"/>
      <c r="E7" s="638"/>
      <c r="F7" s="646"/>
      <c r="G7" s="646" t="s">
        <v>9</v>
      </c>
      <c r="H7" s="636"/>
      <c r="I7" s="639"/>
    </row>
    <row r="8" spans="1:9" ht="12" customHeight="1" thickBot="1">
      <c r="A8" s="640"/>
      <c r="B8" s="647"/>
      <c r="C8" s="642"/>
      <c r="D8" s="643"/>
      <c r="E8" s="642"/>
      <c r="F8" s="643"/>
      <c r="G8" s="643"/>
      <c r="H8" s="641"/>
      <c r="I8" s="644"/>
    </row>
    <row r="9" spans="1:9" s="112" customFormat="1" ht="21" customHeight="1" thickBot="1">
      <c r="A9" s="794" t="s">
        <v>568</v>
      </c>
      <c r="B9" s="654"/>
      <c r="C9" s="1007">
        <f>B45</f>
        <v>12.094999999999999</v>
      </c>
      <c r="D9" s="652"/>
      <c r="E9" s="653"/>
      <c r="F9" s="652"/>
      <c r="G9" s="652"/>
      <c r="H9" s="654"/>
      <c r="I9" s="655"/>
    </row>
    <row r="10" spans="1:9" ht="12" customHeight="1" thickBot="1">
      <c r="A10" s="790"/>
      <c r="B10" s="647"/>
      <c r="C10" s="642"/>
      <c r="D10" s="791"/>
      <c r="E10" s="648"/>
      <c r="F10" s="791"/>
      <c r="G10" s="791"/>
      <c r="H10" s="647"/>
      <c r="I10" s="792"/>
    </row>
    <row r="11" spans="1:9" ht="22.8">
      <c r="A11" s="649" t="s">
        <v>465</v>
      </c>
      <c r="B11" s="650"/>
      <c r="C11" s="651">
        <f>B37</f>
        <v>0</v>
      </c>
      <c r="D11" s="652"/>
      <c r="E11" s="653"/>
      <c r="F11" s="652"/>
      <c r="G11" s="652" t="s">
        <v>9</v>
      </c>
      <c r="H11" s="654"/>
      <c r="I11" s="655"/>
    </row>
    <row r="12" spans="1:9" ht="22.8">
      <c r="A12" s="656" t="s">
        <v>466</v>
      </c>
      <c r="B12" s="657"/>
      <c r="C12" s="658">
        <v>0</v>
      </c>
      <c r="D12" s="659"/>
      <c r="E12" s="660"/>
      <c r="F12" s="659"/>
      <c r="G12" s="659"/>
      <c r="H12" s="657"/>
      <c r="I12" s="661"/>
    </row>
    <row r="13" spans="1:9" ht="21" thickBot="1">
      <c r="A13" s="664" t="s">
        <v>94</v>
      </c>
      <c r="B13" s="662"/>
      <c r="C13" s="663"/>
      <c r="D13" s="659"/>
      <c r="E13" s="660"/>
      <c r="F13" s="659"/>
      <c r="G13" s="659"/>
      <c r="H13" s="657"/>
      <c r="I13" s="661"/>
    </row>
    <row r="14" spans="1:9" ht="21" thickBot="1">
      <c r="A14" s="664" t="s">
        <v>104</v>
      </c>
      <c r="B14" s="665"/>
      <c r="C14" s="666"/>
      <c r="D14" s="665"/>
      <c r="E14" s="666"/>
      <c r="F14" s="665"/>
      <c r="G14" s="665"/>
      <c r="H14" s="667"/>
      <c r="I14" s="668"/>
    </row>
    <row r="15" spans="1:9" ht="23.4" thickBot="1">
      <c r="A15" s="669" t="s">
        <v>467</v>
      </c>
      <c r="B15" s="670"/>
      <c r="C15" s="742">
        <v>0</v>
      </c>
      <c r="D15" s="672"/>
      <c r="E15" s="671"/>
      <c r="F15" s="672"/>
      <c r="G15" s="672" t="s">
        <v>9</v>
      </c>
      <c r="H15" s="670"/>
      <c r="I15" s="673"/>
    </row>
    <row r="16" spans="1:9" ht="21.6" thickBot="1">
      <c r="A16" s="674" t="s">
        <v>9</v>
      </c>
      <c r="B16" s="641"/>
      <c r="C16" s="642"/>
      <c r="D16" s="643"/>
      <c r="E16" s="642"/>
      <c r="F16" s="643"/>
      <c r="G16" s="643"/>
      <c r="H16" s="641"/>
      <c r="I16" s="644"/>
    </row>
    <row r="17" spans="1:9" ht="23.4" thickBot="1">
      <c r="A17" s="675" t="s">
        <v>468</v>
      </c>
      <c r="B17" s="676"/>
      <c r="C17" s="677" t="s">
        <v>9</v>
      </c>
      <c r="D17" s="678"/>
      <c r="E17" s="679"/>
      <c r="F17" s="678"/>
      <c r="G17" s="678"/>
      <c r="H17" s="676"/>
      <c r="I17" s="680"/>
    </row>
    <row r="18" spans="1:9" ht="21.6" thickBot="1">
      <c r="A18" s="681" t="s">
        <v>469</v>
      </c>
      <c r="B18" s="641"/>
      <c r="C18" s="642" t="s">
        <v>9</v>
      </c>
      <c r="D18" s="643"/>
      <c r="E18" s="642"/>
      <c r="F18" s="643"/>
      <c r="G18" s="490" t="s">
        <v>572</v>
      </c>
      <c r="H18" s="641"/>
      <c r="I18" s="795"/>
    </row>
    <row r="19" spans="1:9" ht="23.4" thickBot="1">
      <c r="A19" s="682" t="s">
        <v>396</v>
      </c>
      <c r="B19" s="683"/>
      <c r="C19" s="684">
        <f>C7+C12</f>
        <v>27.605000000000004</v>
      </c>
      <c r="D19" s="685"/>
      <c r="E19" s="686"/>
      <c r="F19" s="685"/>
      <c r="G19" s="685" t="s">
        <v>9</v>
      </c>
      <c r="H19" s="683"/>
      <c r="I19" s="687"/>
    </row>
    <row r="20" spans="1:9" ht="20.399999999999999">
      <c r="A20" s="688" t="s">
        <v>398</v>
      </c>
      <c r="B20" s="689"/>
      <c r="C20" s="690">
        <f>NSG_Requirements!C7/1000</f>
        <v>0</v>
      </c>
      <c r="D20" s="691"/>
      <c r="E20" s="690">
        <f>NSG_Requirements!C7/1000</f>
        <v>0</v>
      </c>
      <c r="F20" s="691"/>
      <c r="G20" s="690">
        <f>NSG_Requirements!C7/1000</f>
        <v>0</v>
      </c>
      <c r="H20" s="689"/>
      <c r="I20" s="751">
        <f>NSG_Requirements!C7/1000</f>
        <v>0</v>
      </c>
    </row>
    <row r="21" spans="1:9" ht="20.399999999999999">
      <c r="A21" s="692" t="s">
        <v>401</v>
      </c>
      <c r="B21" s="693"/>
      <c r="C21" s="690">
        <f>NSG_Requirements!R7/1000</f>
        <v>0</v>
      </c>
      <c r="D21" s="694"/>
      <c r="E21" s="690">
        <f>NSG_Requirements!R7/1000</f>
        <v>0</v>
      </c>
      <c r="F21" s="694"/>
      <c r="G21" s="690">
        <f>NSG_Requirements!R7/1000</f>
        <v>0</v>
      </c>
      <c r="H21" s="693"/>
      <c r="I21" s="752">
        <f>NSG_Requirements!R7/1000</f>
        <v>0</v>
      </c>
    </row>
    <row r="22" spans="1:9" ht="20.399999999999999">
      <c r="A22" s="692" t="s">
        <v>470</v>
      </c>
      <c r="B22" s="696"/>
      <c r="C22" s="690">
        <f>NSG_Supplies!J7/1000</f>
        <v>0</v>
      </c>
      <c r="D22" s="697"/>
      <c r="E22" s="690">
        <f>NSG_Supplies!J7/1000</f>
        <v>0</v>
      </c>
      <c r="F22" s="697"/>
      <c r="G22" s="690">
        <f>NSG_Supplies!J7/1000</f>
        <v>0</v>
      </c>
      <c r="H22" s="696"/>
      <c r="I22" s="753">
        <f>NSG_Supplies!J7/1000</f>
        <v>0</v>
      </c>
    </row>
    <row r="23" spans="1:9" ht="20.399999999999999">
      <c r="A23" s="688" t="s">
        <v>404</v>
      </c>
      <c r="B23" s="696"/>
      <c r="C23" s="690">
        <f>NSG_Requirements!H7/1000</f>
        <v>0</v>
      </c>
      <c r="D23" s="697"/>
      <c r="E23" s="690" t="s">
        <v>9</v>
      </c>
      <c r="F23" s="697"/>
      <c r="G23" s="690" t="s">
        <v>9</v>
      </c>
      <c r="H23" s="696"/>
      <c r="I23" s="690" t="s">
        <v>9</v>
      </c>
    </row>
    <row r="24" spans="1:9" ht="20.399999999999999">
      <c r="A24" s="688" t="s">
        <v>405</v>
      </c>
      <c r="B24" s="693"/>
      <c r="C24" s="690">
        <f>-NSG_Supplies!F7/1000</f>
        <v>-1.4970000000000001</v>
      </c>
      <c r="D24" s="694"/>
      <c r="E24" s="690" t="s">
        <v>9</v>
      </c>
      <c r="F24" s="694"/>
      <c r="G24" s="690" t="s">
        <v>9</v>
      </c>
      <c r="H24" s="693"/>
      <c r="I24" s="690" t="s">
        <v>9</v>
      </c>
    </row>
    <row r="25" spans="1:9" ht="20.399999999999999">
      <c r="A25" s="688" t="s">
        <v>182</v>
      </c>
      <c r="B25" s="696"/>
      <c r="C25" s="690">
        <f>-NSG_Supplies!Q7/1000</f>
        <v>-26.498999999999999</v>
      </c>
      <c r="D25" s="697"/>
      <c r="E25" s="690">
        <f>-NSG_Supplies!Q7/1000</f>
        <v>-26.498999999999999</v>
      </c>
      <c r="F25" s="697"/>
      <c r="G25" s="690">
        <f>-NSG_Supplies!Q7/1000</f>
        <v>-26.498999999999999</v>
      </c>
      <c r="H25" s="696"/>
      <c r="I25" s="753">
        <f>-NSG_Supplies!Q7/1000</f>
        <v>-26.498999999999999</v>
      </c>
    </row>
    <row r="26" spans="1:9" ht="20.399999999999999">
      <c r="A26" s="688" t="s">
        <v>403</v>
      </c>
      <c r="B26" s="696"/>
      <c r="C26" s="690">
        <v>0</v>
      </c>
      <c r="D26" s="697"/>
      <c r="E26" s="690">
        <v>0</v>
      </c>
      <c r="F26" s="697"/>
      <c r="G26" s="690">
        <v>0</v>
      </c>
      <c r="H26" s="696"/>
      <c r="I26" s="753">
        <v>0</v>
      </c>
    </row>
    <row r="27" spans="1:9" ht="21" thickBot="1">
      <c r="A27" s="743" t="s">
        <v>494</v>
      </c>
      <c r="B27" s="699"/>
      <c r="C27" s="690">
        <f>-NSG_Supplies!G7/1000+NSG_Requirements!L7/1000</f>
        <v>0</v>
      </c>
      <c r="D27" s="694"/>
      <c r="E27" s="690">
        <f>-NSG_Supplies!G7/1000+NSG_Requirements!L7/1000</f>
        <v>0</v>
      </c>
      <c r="F27" s="694"/>
      <c r="G27" s="690">
        <f>-NSG_Supplies!G7/1000+NSG_Requirements!L7/1000</f>
        <v>0</v>
      </c>
      <c r="H27" s="699"/>
      <c r="I27" s="761">
        <f>-NSG_Supplies!G7/1000+NSG_Requirements!L7/1000</f>
        <v>0</v>
      </c>
    </row>
    <row r="28" spans="1:9" ht="23.4" thickBot="1">
      <c r="A28" s="701"/>
      <c r="B28" s="702"/>
      <c r="C28" s="703" t="s">
        <v>465</v>
      </c>
      <c r="D28" s="702"/>
      <c r="E28" s="704"/>
      <c r="F28" s="702"/>
      <c r="G28" s="705" t="s">
        <v>9</v>
      </c>
      <c r="H28" s="702"/>
      <c r="I28" s="706"/>
    </row>
    <row r="29" spans="1:9" ht="21">
      <c r="A29" s="759" t="s">
        <v>408</v>
      </c>
      <c r="B29" s="739">
        <f>NSG_Requirements!O7/1000</f>
        <v>0</v>
      </c>
      <c r="C29" s="708" t="s">
        <v>9</v>
      </c>
      <c r="D29" s="709"/>
      <c r="E29" s="710"/>
      <c r="F29" s="711" t="s">
        <v>268</v>
      </c>
      <c r="G29" s="712"/>
      <c r="H29" s="712"/>
      <c r="I29" s="713"/>
    </row>
    <row r="30" spans="1:9" ht="20.399999999999999">
      <c r="A30" s="760" t="s">
        <v>495</v>
      </c>
      <c r="B30" s="738">
        <f>NSG_Supplies!K7/1000+PGL_Requirements!V7/1000</f>
        <v>0</v>
      </c>
      <c r="C30" s="697"/>
      <c r="D30" s="715"/>
      <c r="E30" s="698"/>
      <c r="F30" s="622"/>
      <c r="G30" s="694"/>
      <c r="H30" s="694"/>
      <c r="I30" s="713"/>
    </row>
    <row r="31" spans="1:9" ht="20.399999999999999">
      <c r="A31" s="760" t="s">
        <v>496</v>
      </c>
      <c r="B31" s="738">
        <f>NSG_Supplies!L7/1000</f>
        <v>0</v>
      </c>
      <c r="C31" s="694"/>
      <c r="D31" s="716"/>
      <c r="E31" s="695"/>
      <c r="F31" s="622"/>
      <c r="G31" s="694"/>
      <c r="H31" s="694"/>
      <c r="I31" s="713"/>
    </row>
    <row r="32" spans="1:9" ht="20.399999999999999">
      <c r="A32" s="759" t="s">
        <v>471</v>
      </c>
      <c r="B32" s="740">
        <f>(NSG_Requirements!S7+NSG_Requirements!T7+NSG_Requirements!U7)/1000</f>
        <v>0</v>
      </c>
      <c r="C32" s="697"/>
      <c r="D32" s="715"/>
      <c r="E32" s="698"/>
      <c r="F32" s="622"/>
      <c r="G32" s="694"/>
      <c r="H32" s="694"/>
      <c r="I32" s="713"/>
    </row>
    <row r="33" spans="1:9" ht="20.399999999999999">
      <c r="A33" s="759" t="s">
        <v>85</v>
      </c>
      <c r="B33" s="738">
        <f>NSG_Requirements!D7/1000</f>
        <v>0</v>
      </c>
      <c r="C33" s="697"/>
      <c r="D33" s="715"/>
      <c r="E33" s="698"/>
      <c r="F33" s="622"/>
      <c r="G33" s="694"/>
      <c r="H33" s="694"/>
      <c r="I33" s="713"/>
    </row>
    <row r="34" spans="1:9" ht="20.399999999999999">
      <c r="A34" s="760" t="s">
        <v>483</v>
      </c>
      <c r="B34" s="740">
        <f>NSG_Requirements!B7/1000</f>
        <v>0</v>
      </c>
      <c r="C34" s="697"/>
      <c r="D34" s="715"/>
      <c r="E34" s="698"/>
      <c r="F34" s="622"/>
      <c r="G34" s="694"/>
      <c r="H34" s="694"/>
      <c r="I34" s="713"/>
    </row>
    <row r="35" spans="1:9" ht="20.399999999999999">
      <c r="A35" s="760" t="s">
        <v>484</v>
      </c>
      <c r="B35" s="740">
        <f>NSG_Supplies!B7/1000</f>
        <v>0</v>
      </c>
      <c r="C35" s="697"/>
      <c r="D35" s="715"/>
      <c r="E35" s="698"/>
      <c r="F35" s="622"/>
      <c r="G35" s="694"/>
      <c r="H35" s="694"/>
      <c r="I35" s="713"/>
    </row>
    <row r="36" spans="1:9" ht="21" thickBot="1">
      <c r="A36" s="759" t="s">
        <v>103</v>
      </c>
      <c r="B36" s="738">
        <f>NSG_Supplies!O7/1000</f>
        <v>0</v>
      </c>
      <c r="C36" s="718"/>
      <c r="D36" s="719"/>
      <c r="E36" s="700"/>
      <c r="F36" s="622"/>
      <c r="G36" s="694"/>
      <c r="H36" s="694"/>
      <c r="I36" s="713"/>
    </row>
    <row r="37" spans="1:9" ht="21.6" thickBot="1">
      <c r="A37" s="720" t="s">
        <v>472</v>
      </c>
      <c r="B37" s="741">
        <f>-B29+B30+B31-B32-B33-B34+B35+B36</f>
        <v>0</v>
      </c>
      <c r="C37" s="622"/>
      <c r="D37" s="721"/>
      <c r="E37" s="722"/>
      <c r="F37" s="622"/>
      <c r="G37" s="694"/>
      <c r="H37" s="694"/>
      <c r="I37" s="713"/>
    </row>
    <row r="38" spans="1:9" ht="23.4" thickBot="1">
      <c r="A38" s="701"/>
      <c r="B38" s="702"/>
      <c r="C38" s="796" t="s">
        <v>573</v>
      </c>
      <c r="D38" s="702"/>
      <c r="E38" s="704"/>
      <c r="F38" s="622"/>
      <c r="G38" s="694"/>
      <c r="H38" s="694"/>
      <c r="I38" s="713"/>
    </row>
    <row r="39" spans="1:9" ht="20.399999999999999">
      <c r="A39" s="688" t="s">
        <v>473</v>
      </c>
      <c r="B39" s="786">
        <v>0</v>
      </c>
      <c r="C39" s="622"/>
      <c r="D39" s="723"/>
      <c r="E39" s="724"/>
      <c r="F39" s="622"/>
      <c r="G39" s="694"/>
      <c r="H39" s="694"/>
      <c r="I39" s="713"/>
    </row>
    <row r="40" spans="1:9" ht="20.399999999999999">
      <c r="A40" s="688" t="s">
        <v>474</v>
      </c>
      <c r="B40" s="787">
        <f>NSG_Requirements!J7/1000</f>
        <v>7.9050000000000002</v>
      </c>
      <c r="C40" s="697"/>
      <c r="D40" s="715"/>
      <c r="E40" s="698"/>
      <c r="F40" s="622"/>
      <c r="G40" s="694"/>
      <c r="H40" s="694"/>
      <c r="I40" s="713"/>
    </row>
    <row r="41" spans="1:9" ht="20.399999999999999">
      <c r="A41" s="688" t="s">
        <v>475</v>
      </c>
      <c r="B41" s="788">
        <f>NSG_Supplies!E7/1000</f>
        <v>0</v>
      </c>
      <c r="C41" s="622"/>
      <c r="D41" s="725"/>
      <c r="E41" s="726"/>
      <c r="F41" s="622"/>
      <c r="G41" s="694"/>
      <c r="H41" s="694"/>
      <c r="I41" s="713"/>
    </row>
    <row r="42" spans="1:9" ht="20.399999999999999">
      <c r="A42" s="688" t="s">
        <v>476</v>
      </c>
      <c r="B42" s="787">
        <v>0</v>
      </c>
      <c r="C42" s="697"/>
      <c r="D42" s="715"/>
      <c r="E42" s="698"/>
      <c r="F42" s="622"/>
      <c r="G42" s="694"/>
      <c r="H42" s="694"/>
      <c r="I42" s="713"/>
    </row>
    <row r="43" spans="1:9" ht="20.399999999999999">
      <c r="A43" s="688" t="s">
        <v>477</v>
      </c>
      <c r="B43" s="787">
        <v>0</v>
      </c>
      <c r="C43" s="697"/>
      <c r="D43" s="715"/>
      <c r="E43" s="698"/>
      <c r="F43" s="622"/>
      <c r="G43" s="694"/>
      <c r="H43" s="694"/>
      <c r="I43" s="713"/>
    </row>
    <row r="44" spans="1:9" ht="21" thickBot="1">
      <c r="A44" s="617" t="s">
        <v>569</v>
      </c>
      <c r="B44" s="788">
        <f>NSG_Supplies!P7/1000</f>
        <v>20</v>
      </c>
      <c r="C44" s="622"/>
      <c r="D44" s="725"/>
      <c r="E44" s="726"/>
      <c r="F44" s="622"/>
      <c r="G44" s="694"/>
      <c r="H44" s="694"/>
      <c r="I44" s="713"/>
    </row>
    <row r="45" spans="1:9" ht="21.6" thickBot="1">
      <c r="A45" s="720" t="s">
        <v>472</v>
      </c>
      <c r="B45" s="789">
        <f>B44+B41-B40</f>
        <v>12.094999999999999</v>
      </c>
      <c r="C45" s="728"/>
      <c r="D45" s="727"/>
      <c r="E45" s="729"/>
      <c r="F45" s="622"/>
      <c r="G45" s="694"/>
      <c r="H45" s="694"/>
      <c r="I45" s="713"/>
    </row>
    <row r="46" spans="1:9" ht="23.4" thickBot="1">
      <c r="A46" s="701"/>
      <c r="B46" s="702"/>
      <c r="C46" s="703" t="s">
        <v>66</v>
      </c>
      <c r="D46" s="702"/>
      <c r="E46" s="704"/>
      <c r="F46" s="622"/>
      <c r="G46" s="694"/>
      <c r="H46" s="694"/>
      <c r="I46" s="713"/>
    </row>
    <row r="47" spans="1:9" ht="20.399999999999999">
      <c r="A47" s="688" t="s">
        <v>478</v>
      </c>
      <c r="B47" s="707">
        <f>(NSG_Requirements!V7+NSG_Requirements!W7+NSG_Requirements!X7)/1000</f>
        <v>0</v>
      </c>
      <c r="C47" s="730"/>
      <c r="D47" s="715"/>
      <c r="E47" s="698"/>
      <c r="F47" s="622"/>
      <c r="G47" s="694"/>
      <c r="H47" s="694"/>
      <c r="I47" s="713"/>
    </row>
    <row r="48" spans="1:9" ht="20.399999999999999">
      <c r="A48" s="688" t="s">
        <v>479</v>
      </c>
      <c r="B48" s="714">
        <f>NSG_Requirements!M7/1000</f>
        <v>0</v>
      </c>
      <c r="C48" s="734"/>
      <c r="D48" s="734"/>
      <c r="E48" s="623"/>
      <c r="F48" s="622"/>
      <c r="G48" s="694"/>
      <c r="H48" s="694"/>
      <c r="I48" s="713"/>
    </row>
    <row r="49" spans="1:9" ht="20.399999999999999">
      <c r="A49" s="688" t="s">
        <v>85</v>
      </c>
      <c r="B49" s="714">
        <f>NSG_Requirements!E7/1000</f>
        <v>0</v>
      </c>
      <c r="C49" s="731"/>
      <c r="D49" s="725"/>
      <c r="E49" s="726"/>
      <c r="F49" s="622"/>
      <c r="G49" s="694"/>
      <c r="H49" s="694"/>
      <c r="I49" s="713"/>
    </row>
    <row r="50" spans="1:9" ht="21" thickBot="1">
      <c r="A50" s="688" t="s">
        <v>103</v>
      </c>
      <c r="B50" s="717">
        <f>NSG_Supplies!N7/1000</f>
        <v>0</v>
      </c>
      <c r="C50" s="730"/>
      <c r="D50" s="715"/>
      <c r="E50" s="698"/>
      <c r="F50" s="622"/>
      <c r="G50" s="694"/>
      <c r="H50" s="694"/>
      <c r="I50" s="713"/>
    </row>
    <row r="51" spans="1:9" ht="23.4" thickBot="1">
      <c r="A51" s="701"/>
      <c r="B51" s="702"/>
      <c r="C51" s="703" t="s">
        <v>480</v>
      </c>
      <c r="D51" s="702"/>
      <c r="E51" s="704"/>
      <c r="F51" s="622"/>
      <c r="G51" s="694"/>
      <c r="H51" s="694"/>
      <c r="I51" s="713"/>
    </row>
    <row r="52" spans="1:9" ht="20.399999999999999">
      <c r="A52" s="732" t="s">
        <v>481</v>
      </c>
      <c r="B52" s="733"/>
      <c r="C52" s="622"/>
      <c r="D52" s="723"/>
      <c r="E52" s="724"/>
      <c r="F52" s="622"/>
      <c r="G52" s="694"/>
      <c r="H52" s="694"/>
      <c r="I52" s="713"/>
    </row>
    <row r="53" spans="1:9" ht="21.6" thickBot="1">
      <c r="A53" s="735" t="s">
        <v>482</v>
      </c>
      <c r="B53" s="744"/>
      <c r="C53" s="745"/>
      <c r="D53" s="746"/>
      <c r="E53" s="747"/>
      <c r="F53" s="736"/>
      <c r="G53" s="748"/>
      <c r="H53" s="993"/>
      <c r="I53" s="992"/>
    </row>
    <row r="54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72" t="s">
        <v>9</v>
      </c>
      <c r="B1" s="245"/>
      <c r="C1" s="245"/>
      <c r="D1" s="245"/>
      <c r="E1" s="246" t="s">
        <v>158</v>
      </c>
      <c r="F1" s="445">
        <f>Weather_Input!A5</f>
        <v>37147</v>
      </c>
      <c r="G1" s="247" t="s">
        <v>9</v>
      </c>
      <c r="H1" s="245"/>
      <c r="I1" s="248"/>
    </row>
    <row r="2" spans="1:9" ht="17.100000000000001" customHeight="1">
      <c r="A2" s="249" t="s">
        <v>9</v>
      </c>
      <c r="B2" s="250"/>
      <c r="C2" s="250"/>
      <c r="D2" s="250" t="s">
        <v>9</v>
      </c>
      <c r="E2" s="250"/>
      <c r="F2" s="250"/>
      <c r="G2" s="250"/>
      <c r="H2" s="250" t="s">
        <v>9</v>
      </c>
      <c r="I2" s="251"/>
    </row>
    <row r="3" spans="1:9" ht="17.100000000000001" customHeight="1" thickBot="1">
      <c r="A3" s="249"/>
      <c r="B3" s="440" t="s">
        <v>498</v>
      </c>
      <c r="C3" s="436">
        <v>44</v>
      </c>
      <c r="D3" s="250"/>
      <c r="E3" s="250"/>
      <c r="F3" s="436" t="s">
        <v>364</v>
      </c>
      <c r="G3" s="436"/>
      <c r="H3" s="252" t="s">
        <v>159</v>
      </c>
      <c r="I3" s="251"/>
    </row>
    <row r="4" spans="1:9" ht="17.100000000000001" customHeight="1">
      <c r="A4" s="253" t="s">
        <v>160</v>
      </c>
      <c r="B4" s="253" t="s">
        <v>160</v>
      </c>
      <c r="C4" s="254" t="s">
        <v>161</v>
      </c>
      <c r="D4" s="254" t="s">
        <v>21</v>
      </c>
      <c r="E4" s="254" t="s">
        <v>161</v>
      </c>
      <c r="F4" s="254" t="s">
        <v>21</v>
      </c>
      <c r="G4" s="254" t="s">
        <v>161</v>
      </c>
      <c r="H4" s="254" t="s">
        <v>21</v>
      </c>
      <c r="I4" s="255" t="s">
        <v>161</v>
      </c>
    </row>
    <row r="5" spans="1:9" ht="17.100000000000001" customHeight="1">
      <c r="A5" s="256" t="s">
        <v>162</v>
      </c>
      <c r="B5" s="257">
        <f>Weather_Input!B5</f>
        <v>67</v>
      </c>
      <c r="C5" s="257">
        <f>Weather_Input!C5</f>
        <v>55</v>
      </c>
      <c r="D5" s="257"/>
      <c r="E5" s="257"/>
      <c r="F5" s="257"/>
      <c r="G5" s="257"/>
      <c r="H5" s="257"/>
      <c r="I5" s="258"/>
    </row>
    <row r="6" spans="1:9" ht="17.100000000000001" customHeight="1">
      <c r="A6" s="256" t="s">
        <v>163</v>
      </c>
      <c r="B6" s="259"/>
      <c r="C6" s="260"/>
      <c r="D6" s="260"/>
      <c r="E6" s="260"/>
      <c r="F6" s="260"/>
      <c r="G6" s="260"/>
      <c r="H6" s="260"/>
      <c r="I6" s="258"/>
    </row>
    <row r="7" spans="1:9" ht="17.100000000000001" customHeight="1" thickBot="1">
      <c r="A7" s="249" t="s">
        <v>164</v>
      </c>
      <c r="B7" s="261"/>
      <c r="C7" s="262"/>
      <c r="D7" s="250"/>
      <c r="E7" s="261"/>
      <c r="F7" s="262"/>
      <c r="G7" s="262"/>
      <c r="H7" s="262"/>
      <c r="I7" s="251"/>
    </row>
    <row r="8" spans="1:9" ht="17.100000000000001" customHeight="1" thickBot="1">
      <c r="A8" s="263" t="s">
        <v>165</v>
      </c>
      <c r="B8" s="264">
        <f>PGL_Deliveries!C5/1000</f>
        <v>205</v>
      </c>
      <c r="C8" s="265">
        <f>NSG_Deliveries!C5/1000</f>
        <v>39.700000000000003</v>
      </c>
      <c r="D8" s="264" t="s">
        <v>9</v>
      </c>
      <c r="E8" s="266"/>
      <c r="F8" s="267"/>
      <c r="G8" s="267"/>
      <c r="H8" s="267"/>
      <c r="I8" s="248"/>
    </row>
    <row r="9" spans="1:9" ht="17.100000000000001" customHeight="1" thickTop="1" thickBot="1">
      <c r="A9" s="268"/>
      <c r="B9" s="439" t="s">
        <v>53</v>
      </c>
      <c r="C9" s="269" t="s">
        <v>80</v>
      </c>
      <c r="D9" s="270"/>
      <c r="E9" s="270"/>
      <c r="F9" s="270"/>
      <c r="G9" s="270"/>
      <c r="H9" s="270"/>
      <c r="I9" s="271"/>
    </row>
    <row r="10" spans="1:9" ht="17.100000000000001" customHeight="1" thickTop="1">
      <c r="A10" s="272" t="s">
        <v>65</v>
      </c>
      <c r="B10" s="273" t="e">
        <f>B62</f>
        <v>#REF!</v>
      </c>
      <c r="C10" s="259"/>
      <c r="D10" s="257"/>
      <c r="E10" s="259"/>
      <c r="F10" s="259"/>
      <c r="G10" s="259"/>
      <c r="H10" s="259"/>
      <c r="I10" s="258" t="s">
        <v>9</v>
      </c>
    </row>
    <row r="11" spans="1:9" ht="17.100000000000001" customHeight="1">
      <c r="A11" s="274" t="s">
        <v>166</v>
      </c>
      <c r="B11" s="273">
        <f>+B54</f>
        <v>126.39100000000001</v>
      </c>
      <c r="C11" s="275" t="s">
        <v>9</v>
      </c>
      <c r="D11" s="257"/>
      <c r="E11" s="275" t="str">
        <f>+C11</f>
        <v xml:space="preserve"> </v>
      </c>
      <c r="F11" s="259"/>
      <c r="G11" s="275" t="str">
        <f>+C11</f>
        <v xml:space="preserve"> </v>
      </c>
      <c r="H11" s="259"/>
      <c r="I11" s="276" t="str">
        <f>+C11</f>
        <v xml:space="preserve"> </v>
      </c>
    </row>
    <row r="12" spans="1:9" ht="17.100000000000001" customHeight="1">
      <c r="A12" s="249" t="s">
        <v>167</v>
      </c>
      <c r="B12" s="273">
        <f>PGL_Supplies!J7/1000</f>
        <v>0</v>
      </c>
      <c r="C12" s="275"/>
      <c r="D12" s="257"/>
      <c r="E12" s="259"/>
      <c r="F12" s="259"/>
      <c r="G12" s="259"/>
      <c r="H12" s="259"/>
      <c r="I12" s="258"/>
    </row>
    <row r="13" spans="1:9" ht="17.100000000000001" customHeight="1">
      <c r="A13" s="274" t="s">
        <v>71</v>
      </c>
      <c r="B13" s="273">
        <f>PGL_Supplies!H7/1000</f>
        <v>3</v>
      </c>
      <c r="C13" s="259"/>
      <c r="D13" s="444"/>
      <c r="E13" s="259"/>
      <c r="F13" s="259"/>
      <c r="G13" s="259"/>
      <c r="H13" s="259"/>
      <c r="I13" s="258"/>
    </row>
    <row r="14" spans="1:9" ht="17.100000000000001" customHeight="1">
      <c r="A14" s="274" t="s">
        <v>168</v>
      </c>
      <c r="B14" s="277">
        <f>+B72</f>
        <v>-46.015999999999991</v>
      </c>
      <c r="C14" s="259"/>
      <c r="D14" s="257"/>
      <c r="E14" s="259"/>
      <c r="F14" s="259"/>
      <c r="G14" s="259"/>
      <c r="H14" s="259"/>
      <c r="I14" s="258"/>
    </row>
    <row r="15" spans="1:9" ht="17.100000000000001" customHeight="1">
      <c r="A15" s="274" t="s">
        <v>169</v>
      </c>
      <c r="B15" s="273">
        <f>+B46</f>
        <v>0.20899999999999999</v>
      </c>
      <c r="C15" s="259" t="s">
        <v>9</v>
      </c>
      <c r="D15" s="257" t="s">
        <v>9</v>
      </c>
      <c r="E15" s="259"/>
      <c r="F15" s="444"/>
      <c r="G15" s="259"/>
      <c r="H15" s="259"/>
      <c r="I15" s="258"/>
    </row>
    <row r="16" spans="1:9" ht="17.100000000000001" customHeight="1">
      <c r="A16" s="249" t="s">
        <v>170</v>
      </c>
      <c r="B16" s="273">
        <f>PGL_Requirements!F7/1000</f>
        <v>0</v>
      </c>
      <c r="C16" s="259"/>
      <c r="D16" s="257"/>
      <c r="E16" s="259"/>
      <c r="F16" s="297" t="s">
        <v>9</v>
      </c>
      <c r="G16" s="259"/>
      <c r="H16" s="259"/>
      <c r="I16" s="258"/>
    </row>
    <row r="17" spans="1:9" ht="17.100000000000001" customHeight="1" thickBot="1">
      <c r="A17" s="274" t="s">
        <v>171</v>
      </c>
      <c r="B17" s="273">
        <f>PGL_Supplies!B7/1000</f>
        <v>16.646000000000001</v>
      </c>
      <c r="C17" s="259"/>
      <c r="D17" s="250"/>
      <c r="E17" s="259"/>
      <c r="F17" s="259"/>
      <c r="G17" s="259"/>
      <c r="H17" s="259"/>
      <c r="I17" s="278"/>
    </row>
    <row r="18" spans="1:9" ht="17.100000000000001" customHeight="1" thickBot="1">
      <c r="A18" s="279" t="s">
        <v>367</v>
      </c>
      <c r="B18" s="441" t="e">
        <f>-B10-B11-B12-B13-B14-B15+B16-B17</f>
        <v>#REF!</v>
      </c>
      <c r="C18" s="280">
        <f>-I63</f>
        <v>0</v>
      </c>
      <c r="D18" s="281" t="s">
        <v>9</v>
      </c>
      <c r="E18" s="280">
        <f>-I63</f>
        <v>0</v>
      </c>
      <c r="F18" s="281" t="s">
        <v>9</v>
      </c>
      <c r="G18" s="280">
        <f>-I63</f>
        <v>0</v>
      </c>
      <c r="H18" s="281" t="s">
        <v>9</v>
      </c>
      <c r="I18" s="282"/>
    </row>
    <row r="19" spans="1:9" ht="17.100000000000001" customHeight="1">
      <c r="A19" s="283" t="s">
        <v>58</v>
      </c>
      <c r="B19" s="284">
        <f>-PGL_Supplies!I7/1000</f>
        <v>0</v>
      </c>
      <c r="C19" s="285">
        <f>-NSG_Supplies!T7/1000</f>
        <v>0</v>
      </c>
      <c r="D19" s="245"/>
      <c r="E19" s="266"/>
      <c r="F19" s="245"/>
      <c r="G19" s="266"/>
      <c r="H19" s="267"/>
      <c r="I19" s="258"/>
    </row>
    <row r="20" spans="1:9" ht="17.100000000000001" customHeight="1">
      <c r="A20" s="283" t="s">
        <v>172</v>
      </c>
      <c r="B20" s="273" t="e">
        <f>B8+B18+B19</f>
        <v>#REF!</v>
      </c>
      <c r="C20" s="286">
        <f>C8+C18+C19</f>
        <v>39.700000000000003</v>
      </c>
      <c r="D20" s="257"/>
      <c r="E20" s="259"/>
      <c r="F20" s="257"/>
      <c r="G20" s="259"/>
      <c r="H20" s="260"/>
      <c r="I20" s="251"/>
    </row>
    <row r="21" spans="1:9" ht="17.100000000000001" customHeight="1">
      <c r="A21" s="283" t="s">
        <v>173</v>
      </c>
      <c r="B21" s="273">
        <v>0</v>
      </c>
      <c r="C21" s="259"/>
      <c r="D21" s="257"/>
      <c r="E21" s="259"/>
      <c r="F21" s="257"/>
      <c r="G21" s="259"/>
      <c r="H21" s="260"/>
      <c r="I21" s="287"/>
    </row>
    <row r="22" spans="1:9" ht="17.100000000000001" customHeight="1">
      <c r="A22" s="283" t="s">
        <v>174</v>
      </c>
      <c r="B22" s="273">
        <f>+B44</f>
        <v>1.7295</v>
      </c>
      <c r="C22" s="259"/>
      <c r="D22" s="257"/>
      <c r="E22" s="259"/>
      <c r="F22" s="288" t="s">
        <v>9</v>
      </c>
      <c r="G22" s="297"/>
      <c r="H22" s="289" t="s">
        <v>9</v>
      </c>
      <c r="I22" s="251"/>
    </row>
    <row r="23" spans="1:9" ht="17.100000000000001" customHeight="1">
      <c r="A23" s="290" t="s">
        <v>175</v>
      </c>
      <c r="B23" s="291" t="e">
        <f>B20+B21+B22</f>
        <v>#REF!</v>
      </c>
      <c r="C23" s="292">
        <f>C20</f>
        <v>39.700000000000003</v>
      </c>
      <c r="D23" s="257"/>
      <c r="E23" s="259"/>
      <c r="F23" s="293"/>
      <c r="G23" s="259"/>
      <c r="H23" s="294" t="s">
        <v>9</v>
      </c>
      <c r="I23" s="295" t="s">
        <v>9</v>
      </c>
    </row>
    <row r="24" spans="1:9" ht="17.100000000000001" customHeight="1" thickBot="1">
      <c r="A24" s="296" t="s">
        <v>176</v>
      </c>
      <c r="B24" s="297">
        <f>-NSG_Requirements!$L$7/1000</f>
        <v>0</v>
      </c>
      <c r="C24" s="297">
        <f>NSG_Requirements!$L$7/1000</f>
        <v>0</v>
      </c>
      <c r="D24" s="298">
        <f>B24</f>
        <v>0</v>
      </c>
      <c r="E24" s="297">
        <f>C24</f>
        <v>0</v>
      </c>
      <c r="F24" s="298">
        <f>B24</f>
        <v>0</v>
      </c>
      <c r="G24" s="297">
        <f>C24</f>
        <v>0</v>
      </c>
      <c r="H24" s="435">
        <f>B24</f>
        <v>0</v>
      </c>
      <c r="I24" s="299">
        <f>C24</f>
        <v>0</v>
      </c>
    </row>
    <row r="25" spans="1:9" ht="17.100000000000001" customHeight="1" thickTop="1" thickBot="1">
      <c r="A25" s="268"/>
      <c r="B25" s="270"/>
      <c r="C25" s="471" t="s">
        <v>9</v>
      </c>
      <c r="D25" s="270"/>
      <c r="E25" s="270"/>
      <c r="F25" s="270"/>
      <c r="G25" s="270"/>
      <c r="H25" s="270"/>
      <c r="I25" s="271"/>
    </row>
    <row r="26" spans="1:9" ht="17.25" customHeight="1" thickTop="1">
      <c r="A26" s="300" t="s">
        <v>177</v>
      </c>
      <c r="B26" s="301">
        <f>PGL_Requirements!K7/1000</f>
        <v>0</v>
      </c>
      <c r="C26" s="301">
        <f>NSG_Requirements!C7/1000</f>
        <v>0</v>
      </c>
      <c r="D26" s="301">
        <f>B26</f>
        <v>0</v>
      </c>
      <c r="E26" s="301">
        <f>+C26</f>
        <v>0</v>
      </c>
      <c r="F26" s="301">
        <f>B26</f>
        <v>0</v>
      </c>
      <c r="G26" s="301">
        <f>+C26</f>
        <v>0</v>
      </c>
      <c r="H26" s="302">
        <f>B26</f>
        <v>0</v>
      </c>
      <c r="I26" s="303">
        <f>+C26</f>
        <v>0</v>
      </c>
    </row>
    <row r="27" spans="1:9" ht="17.25" customHeight="1">
      <c r="A27" s="300" t="s">
        <v>178</v>
      </c>
      <c r="B27" s="301">
        <f>PGL_Requirements!Q7/1000</f>
        <v>0.64</v>
      </c>
      <c r="C27" s="301">
        <f>NSG_Requirements!P7/1000</f>
        <v>0</v>
      </c>
      <c r="D27" s="301">
        <f>PGL_Requirements!Q7/1000</f>
        <v>0.64</v>
      </c>
      <c r="E27" s="301">
        <f>NSG_Requirements!P7/1000</f>
        <v>0</v>
      </c>
      <c r="F27" s="301">
        <f>PGL_Requirements!Q7/1000</f>
        <v>0.64</v>
      </c>
      <c r="G27" s="301">
        <f>NSG_Requirements!P7/1000</f>
        <v>0</v>
      </c>
      <c r="H27" s="302">
        <f>+B27</f>
        <v>0.64</v>
      </c>
      <c r="I27" s="303">
        <f>+C27</f>
        <v>0</v>
      </c>
    </row>
    <row r="28" spans="1:9" ht="17.100000000000001" customHeight="1">
      <c r="A28" s="313" t="s">
        <v>179</v>
      </c>
      <c r="B28" s="306">
        <v>0</v>
      </c>
      <c r="C28" s="306">
        <v>0</v>
      </c>
      <c r="D28" s="306">
        <v>0</v>
      </c>
      <c r="E28" s="306">
        <v>0</v>
      </c>
      <c r="F28" s="306">
        <v>0</v>
      </c>
      <c r="G28" s="306">
        <f>C28</f>
        <v>0</v>
      </c>
      <c r="H28" s="311">
        <f>B28</f>
        <v>0</v>
      </c>
      <c r="I28" s="312">
        <f>C28</f>
        <v>0</v>
      </c>
    </row>
    <row r="29" spans="1:9" ht="17.100000000000001" customHeight="1">
      <c r="A29" s="313" t="s">
        <v>180</v>
      </c>
      <c r="B29" s="410">
        <f>-PGL_Supplies!M7/1000</f>
        <v>0</v>
      </c>
      <c r="C29" s="410">
        <f>-NSG_Supplies!H7/1000</f>
        <v>0</v>
      </c>
      <c r="D29" s="306">
        <f>-PGL_Supplies!M7/1000</f>
        <v>0</v>
      </c>
      <c r="E29" s="306">
        <f>-NSG_Supplies!H7/1000</f>
        <v>0</v>
      </c>
      <c r="F29" s="306">
        <f>-PGL_Supplies!M7/1000</f>
        <v>0</v>
      </c>
      <c r="G29" s="306">
        <f>-NSG_Supplies!H7/1000</f>
        <v>0</v>
      </c>
      <c r="H29" s="311">
        <f>-PGL_Supplies!M7/1000</f>
        <v>0</v>
      </c>
      <c r="I29" s="312">
        <f>-NSG_Supplies!H7/1000</f>
        <v>0</v>
      </c>
    </row>
    <row r="30" spans="1:9" ht="17.100000000000001" customHeight="1">
      <c r="A30" s="310" t="s">
        <v>373</v>
      </c>
      <c r="B30" s="306" t="e">
        <f>-PGL_Supplies!#REF!/1000</f>
        <v>#REF!</v>
      </c>
      <c r="C30" s="306">
        <f>-NSG_Supplies!I7/1000</f>
        <v>0</v>
      </c>
      <c r="D30" s="306" t="e">
        <f>-PGL_Supplies!#REF!/1000</f>
        <v>#REF!</v>
      </c>
      <c r="E30" s="306">
        <f>-NSG_Supplies!I7/1000</f>
        <v>0</v>
      </c>
      <c r="F30" s="306" t="e">
        <f>-PGL_Supplies!#REF!/1000</f>
        <v>#REF!</v>
      </c>
      <c r="G30" s="306">
        <f>-NSG_Supplies!I7/1000</f>
        <v>0</v>
      </c>
      <c r="H30" s="311" t="e">
        <f>-PGL_Supplies!#REF!/1000</f>
        <v>#REF!</v>
      </c>
      <c r="I30" s="312">
        <f>-NSG_Supplies!I7/1000</f>
        <v>0</v>
      </c>
    </row>
    <row r="31" spans="1:9" ht="17.100000000000001" customHeight="1">
      <c r="A31" s="305" t="s">
        <v>181</v>
      </c>
      <c r="B31" s="411" t="e">
        <f>(PGL_Requirements!#REF!+PGL_Requirements!$Y$7+PGL_Requirements!$Z$7)/1000+(NSG_Requirements!$Y$7+NSG_Requirements!$Z$7+NSG_Requirements!$AA$7)/1000</f>
        <v>#REF!</v>
      </c>
      <c r="C31" s="411" t="e">
        <f>-(PGL_Requirements!#REF!+PGL_Requirements!$Y$7+PGL_Requirements!$Z$7)/1000+(NSG_Requirements!$Y$7+NSG_Requirements!$Z$7+NSG_Requirements!$AA$7)/1000</f>
        <v>#REF!</v>
      </c>
      <c r="D31" s="301" t="e">
        <f>+B31</f>
        <v>#REF!</v>
      </c>
      <c r="E31" s="306" t="e">
        <f>+C31</f>
        <v>#REF!</v>
      </c>
      <c r="F31" s="301" t="e">
        <f>+B31</f>
        <v>#REF!</v>
      </c>
      <c r="G31" s="306" t="e">
        <f>+E31</f>
        <v>#REF!</v>
      </c>
      <c r="H31" s="302" t="e">
        <f>+B31</f>
        <v>#REF!</v>
      </c>
      <c r="I31" s="303" t="e">
        <f>+C31</f>
        <v>#REF!</v>
      </c>
    </row>
    <row r="32" spans="1:9" ht="17.100000000000001" customHeight="1">
      <c r="A32" s="313" t="s">
        <v>182</v>
      </c>
      <c r="B32" s="306">
        <f>-PGL_Supplies!AB7/1000</f>
        <v>-32.97</v>
      </c>
      <c r="C32" s="306">
        <f>-NSG_Supplies!Q7/1000</f>
        <v>-26.498999999999999</v>
      </c>
      <c r="D32" s="306">
        <f>B32</f>
        <v>-32.97</v>
      </c>
      <c r="E32" s="306">
        <f>C32</f>
        <v>-26.498999999999999</v>
      </c>
      <c r="F32" s="306">
        <f>B32</f>
        <v>-32.97</v>
      </c>
      <c r="G32" s="306">
        <f>C32</f>
        <v>-26.498999999999999</v>
      </c>
      <c r="H32" s="311">
        <f>B32</f>
        <v>-32.97</v>
      </c>
      <c r="I32" s="312">
        <f>C32</f>
        <v>-26.498999999999999</v>
      </c>
    </row>
    <row r="33" spans="1:9" ht="17.100000000000001" customHeight="1">
      <c r="A33" s="310" t="s">
        <v>361</v>
      </c>
      <c r="B33" s="306">
        <f>-PGL_Supplies!W7/1000</f>
        <v>0</v>
      </c>
      <c r="C33" s="306">
        <f>-NSG_Supplies!R7/1000</f>
        <v>-16.641999999999999</v>
      </c>
      <c r="D33" s="306">
        <f>B33</f>
        <v>0</v>
      </c>
      <c r="E33" s="306">
        <f>C33</f>
        <v>-16.641999999999999</v>
      </c>
      <c r="F33" s="306">
        <f>B33</f>
        <v>0</v>
      </c>
      <c r="G33" s="306">
        <f>C33</f>
        <v>-16.641999999999999</v>
      </c>
      <c r="H33" s="311">
        <f>B33</f>
        <v>0</v>
      </c>
      <c r="I33" s="312">
        <f>C33</f>
        <v>-16.641999999999999</v>
      </c>
    </row>
    <row r="34" spans="1:9" ht="17.100000000000001" customHeight="1">
      <c r="A34" s="300" t="s">
        <v>183</v>
      </c>
      <c r="B34" s="301">
        <f>PGL_Requirements!R7/1000</f>
        <v>0</v>
      </c>
      <c r="C34" s="301" t="s">
        <v>9</v>
      </c>
      <c r="D34" s="301">
        <f>+B34</f>
        <v>0</v>
      </c>
      <c r="E34" s="304"/>
      <c r="F34" s="301">
        <f>+D34</f>
        <v>0</v>
      </c>
      <c r="G34" s="304"/>
      <c r="H34" s="302">
        <f>+B34</f>
        <v>0</v>
      </c>
      <c r="I34" s="303" t="str">
        <f>+C34</f>
        <v xml:space="preserve"> </v>
      </c>
    </row>
    <row r="35" spans="1:9" ht="17.100000000000001" customHeight="1">
      <c r="A35" s="307" t="s">
        <v>184</v>
      </c>
      <c r="B35" s="301">
        <f>PGL_Requirements!N7/1000</f>
        <v>4.5119999999999996</v>
      </c>
      <c r="C35" s="301">
        <f>NSG_Requirements!H7/1000</f>
        <v>0</v>
      </c>
      <c r="D35" s="304"/>
      <c r="E35" s="304"/>
      <c r="F35" s="304"/>
      <c r="G35" s="304"/>
      <c r="H35" s="308"/>
      <c r="I35" s="309"/>
    </row>
    <row r="36" spans="1:9" ht="17.100000000000001" customHeight="1">
      <c r="A36" s="307" t="s">
        <v>185</v>
      </c>
      <c r="B36" s="306">
        <f>-PGL_Supplies!K7/1000</f>
        <v>0</v>
      </c>
      <c r="C36" s="306">
        <f>-NSG_Supplies!F7/1000</f>
        <v>-1.4970000000000001</v>
      </c>
      <c r="D36" s="304"/>
      <c r="E36" s="304"/>
      <c r="F36" s="304"/>
      <c r="G36" s="304"/>
      <c r="H36" s="308"/>
      <c r="I36" s="309"/>
    </row>
    <row r="37" spans="1:9" ht="17.100000000000001" customHeight="1">
      <c r="A37" s="310" t="s">
        <v>374</v>
      </c>
      <c r="B37" s="301">
        <f>PGL_Requirements!L7/1000</f>
        <v>0</v>
      </c>
      <c r="C37" s="314" t="s">
        <v>9</v>
      </c>
      <c r="D37" s="301">
        <f>PGL_Requirements!L7/1000</f>
        <v>0</v>
      </c>
      <c r="E37" s="304"/>
      <c r="F37" s="301">
        <f>PGL_Requirements!L7/1000</f>
        <v>0</v>
      </c>
      <c r="G37" s="301" t="s">
        <v>9</v>
      </c>
      <c r="H37" s="308"/>
      <c r="I37" s="324"/>
    </row>
    <row r="38" spans="1:9" ht="17.100000000000001" customHeight="1" thickBot="1">
      <c r="A38" s="316" t="s">
        <v>186</v>
      </c>
      <c r="B38" s="301" t="e">
        <f>PGL_Requirements!#REF!/1000</f>
        <v>#REF!</v>
      </c>
      <c r="C38" s="306">
        <f>NSG_Supplies!J7/1000</f>
        <v>0</v>
      </c>
      <c r="D38" s="304"/>
      <c r="E38" s="304"/>
      <c r="F38" s="304"/>
      <c r="G38" s="304"/>
      <c r="H38" s="315" t="e">
        <f>B38</f>
        <v>#REF!</v>
      </c>
      <c r="I38" s="324"/>
    </row>
    <row r="39" spans="1:9" ht="17.100000000000001" customHeight="1" thickBot="1">
      <c r="A39" s="317" t="s">
        <v>9</v>
      </c>
      <c r="B39" s="470" t="s">
        <v>381</v>
      </c>
      <c r="C39" s="468"/>
      <c r="D39" s="469"/>
      <c r="E39" s="319"/>
      <c r="F39" s="320" t="s">
        <v>187</v>
      </c>
      <c r="G39" s="319"/>
      <c r="H39" s="321"/>
      <c r="I39" s="322"/>
    </row>
    <row r="40" spans="1:9" ht="17.100000000000001" customHeight="1">
      <c r="A40" s="323" t="s">
        <v>188</v>
      </c>
      <c r="B40" s="306">
        <f>PGL_Requirements!O7/1000</f>
        <v>115.3</v>
      </c>
      <c r="C40" s="306" t="s">
        <v>9</v>
      </c>
      <c r="D40" s="387"/>
      <c r="E40" s="324"/>
      <c r="F40" s="325" t="s">
        <v>189</v>
      </c>
      <c r="G40" s="304"/>
      <c r="H40" s="326"/>
      <c r="I40" s="327"/>
    </row>
    <row r="41" spans="1:9" ht="17.100000000000001" customHeight="1">
      <c r="A41" s="323" t="s">
        <v>190</v>
      </c>
      <c r="B41" s="315">
        <f>PGL_Supplies!L7/1000</f>
        <v>0</v>
      </c>
      <c r="C41" s="306" t="s">
        <v>9</v>
      </c>
      <c r="D41" s="304"/>
      <c r="E41" s="324"/>
      <c r="F41" s="328" t="s">
        <v>191</v>
      </c>
      <c r="G41" s="304"/>
      <c r="H41" s="308"/>
      <c r="I41" s="327"/>
    </row>
    <row r="42" spans="1:9" ht="17.100000000000001" customHeight="1">
      <c r="A42" s="323" t="s">
        <v>192</v>
      </c>
      <c r="B42" s="306">
        <f>PGL_Requirements!B7/1000</f>
        <v>0</v>
      </c>
      <c r="C42" s="306" t="s">
        <v>9</v>
      </c>
      <c r="D42" s="304"/>
      <c r="E42" s="324"/>
      <c r="F42" s="328" t="s">
        <v>193</v>
      </c>
      <c r="G42" s="304"/>
      <c r="H42" s="308"/>
      <c r="I42" s="327"/>
    </row>
    <row r="43" spans="1:9" ht="17.100000000000001" customHeight="1">
      <c r="A43" s="323" t="s">
        <v>194</v>
      </c>
      <c r="B43" s="306">
        <f>PGL_Supplies!G7/1000</f>
        <v>0.20899999999999999</v>
      </c>
      <c r="C43" s="304"/>
      <c r="D43" s="304"/>
      <c r="E43" s="324"/>
      <c r="F43" s="329" t="s">
        <v>195</v>
      </c>
      <c r="G43" s="304"/>
      <c r="H43" s="308"/>
      <c r="I43" s="327"/>
    </row>
    <row r="44" spans="1:9" ht="17.100000000000001" customHeight="1">
      <c r="A44" s="323" t="s">
        <v>174</v>
      </c>
      <c r="B44" s="330">
        <f>+B48+B47+B45</f>
        <v>1.7295</v>
      </c>
      <c r="C44" s="331"/>
      <c r="D44" s="304"/>
      <c r="E44" s="324"/>
      <c r="F44" s="328" t="s">
        <v>196</v>
      </c>
      <c r="G44" s="304"/>
      <c r="H44" s="308"/>
      <c r="I44" s="327"/>
    </row>
    <row r="45" spans="1:9" ht="17.100000000000001" customHeight="1">
      <c r="A45" s="323" t="s">
        <v>197</v>
      </c>
      <c r="B45" s="306">
        <f>PGL_Requirements!P7/1000</f>
        <v>1.7295</v>
      </c>
      <c r="C45" s="304"/>
      <c r="D45" s="304"/>
      <c r="E45" s="324"/>
      <c r="F45" s="333" t="s">
        <v>198</v>
      </c>
      <c r="G45" s="304"/>
      <c r="H45" s="308"/>
      <c r="I45" s="327"/>
    </row>
    <row r="46" spans="1:9" ht="17.100000000000001" customHeight="1">
      <c r="A46" s="313" t="s">
        <v>199</v>
      </c>
      <c r="B46" s="306">
        <f>+B47+B43+B41</f>
        <v>0.20899999999999999</v>
      </c>
      <c r="C46" s="304"/>
      <c r="D46" s="304"/>
      <c r="E46" s="324"/>
      <c r="F46" s="328" t="s">
        <v>200</v>
      </c>
      <c r="G46" s="304"/>
      <c r="H46" s="308"/>
      <c r="I46" s="327"/>
    </row>
    <row r="47" spans="1:9" ht="17.100000000000001" customHeight="1">
      <c r="A47" s="323" t="s">
        <v>201</v>
      </c>
      <c r="B47" s="332">
        <v>0</v>
      </c>
      <c r="C47" s="304"/>
      <c r="D47" s="304"/>
      <c r="E47" s="324"/>
      <c r="F47" s="328" t="s">
        <v>202</v>
      </c>
      <c r="G47" s="304"/>
      <c r="H47" s="308"/>
      <c r="I47" s="327"/>
    </row>
    <row r="48" spans="1:9" ht="17.100000000000001" customHeight="1" thickBot="1">
      <c r="A48" s="416" t="s">
        <v>203</v>
      </c>
      <c r="B48" s="334">
        <v>0</v>
      </c>
      <c r="C48" s="335"/>
      <c r="D48" s="335"/>
      <c r="E48" s="336"/>
      <c r="F48" s="329" t="s">
        <v>204</v>
      </c>
      <c r="G48" s="304"/>
      <c r="H48" s="308"/>
      <c r="I48" s="327"/>
    </row>
    <row r="49" spans="1:9" ht="17.100000000000001" customHeight="1" thickTop="1" thickBot="1">
      <c r="A49" s="337" t="s">
        <v>9</v>
      </c>
      <c r="B49" s="318" t="s">
        <v>349</v>
      </c>
      <c r="C49" s="338"/>
      <c r="D49" s="338"/>
      <c r="E49" s="338" t="s">
        <v>9</v>
      </c>
      <c r="F49" s="339" t="s">
        <v>205</v>
      </c>
      <c r="G49" s="340"/>
      <c r="H49" s="341"/>
      <c r="I49" s="327"/>
    </row>
    <row r="50" spans="1:9" ht="17.100000000000001" customHeight="1">
      <c r="A50" s="323" t="s">
        <v>378</v>
      </c>
      <c r="B50" s="315">
        <f>PGL_Supplies!U7/1000+PGL_Supplies!C7/1000</f>
        <v>126.39100000000001</v>
      </c>
      <c r="C50" s="304"/>
      <c r="D50" s="304"/>
      <c r="E50" s="304"/>
      <c r="F50" s="310" t="s">
        <v>370</v>
      </c>
      <c r="G50" s="342"/>
      <c r="H50" s="343"/>
      <c r="I50" s="327"/>
    </row>
    <row r="51" spans="1:9" ht="17.100000000000001" customHeight="1">
      <c r="A51" s="323" t="s">
        <v>206</v>
      </c>
      <c r="B51" s="315">
        <f>PGL_Supplies!Z7/1000</f>
        <v>0</v>
      </c>
      <c r="C51" s="331"/>
      <c r="D51" s="304"/>
      <c r="E51" s="304"/>
      <c r="F51" s="344" t="s">
        <v>207</v>
      </c>
      <c r="G51" s="342"/>
      <c r="H51" s="308"/>
      <c r="I51" s="327"/>
    </row>
    <row r="52" spans="1:9" ht="17.100000000000001" customHeight="1" thickBot="1">
      <c r="A52" s="323" t="s">
        <v>350</v>
      </c>
      <c r="B52" s="315">
        <f>NSG_Supplies!N7/1000+PGL_Supplies!O7/1000</f>
        <v>0</v>
      </c>
      <c r="C52" s="304"/>
      <c r="D52" s="304"/>
      <c r="E52" s="304"/>
      <c r="F52" s="345" t="s">
        <v>208</v>
      </c>
      <c r="G52" s="346"/>
      <c r="H52" s="347"/>
      <c r="I52" s="327"/>
    </row>
    <row r="53" spans="1:9" ht="17.100000000000001" customHeight="1">
      <c r="A53" s="361" t="s">
        <v>218</v>
      </c>
      <c r="B53" s="315">
        <f>PGL_Requirements!I7/1000+NSG_Requirements!E7/1000</f>
        <v>0</v>
      </c>
      <c r="C53" s="304"/>
      <c r="D53" s="304"/>
      <c r="E53" s="304"/>
      <c r="F53" s="339" t="s">
        <v>209</v>
      </c>
      <c r="G53" s="348"/>
      <c r="H53" s="331"/>
      <c r="I53" s="327"/>
    </row>
    <row r="54" spans="1:9" ht="17.100000000000001" customHeight="1" thickBot="1">
      <c r="A54" s="313" t="s">
        <v>210</v>
      </c>
      <c r="B54" s="367">
        <f>SUM(B50+B51+B52-B53)</f>
        <v>126.39100000000001</v>
      </c>
      <c r="C54" s="315"/>
      <c r="D54" s="304"/>
      <c r="E54" s="304"/>
      <c r="F54" s="349" t="s">
        <v>211</v>
      </c>
      <c r="G54" s="350"/>
      <c r="H54" s="350"/>
      <c r="I54" s="351"/>
    </row>
    <row r="55" spans="1:9" ht="17.100000000000001" customHeight="1" thickBot="1">
      <c r="A55" s="337" t="s">
        <v>9</v>
      </c>
      <c r="B55" s="320" t="s">
        <v>65</v>
      </c>
      <c r="C55" s="338"/>
      <c r="D55" s="338"/>
      <c r="E55" s="338"/>
      <c r="F55" s="352" t="s">
        <v>212</v>
      </c>
      <c r="G55" s="304"/>
      <c r="H55" s="353"/>
      <c r="I55" s="312">
        <f>NSG_Supplies!O7/1000</f>
        <v>0</v>
      </c>
    </row>
    <row r="56" spans="1:9" ht="17.100000000000001" customHeight="1">
      <c r="A56" s="416" t="s">
        <v>361</v>
      </c>
      <c r="B56" s="315">
        <f>PGL_Supplies!T7/1000</f>
        <v>0</v>
      </c>
      <c r="C56" s="304"/>
      <c r="D56" s="304"/>
      <c r="E56" s="304"/>
      <c r="F56" s="352" t="s">
        <v>213</v>
      </c>
      <c r="G56" s="304"/>
      <c r="H56" s="354">
        <f>NSG_Requirements!B7/1000</f>
        <v>0</v>
      </c>
      <c r="I56" s="312">
        <f>NSG_Supplies!B7/1000</f>
        <v>0</v>
      </c>
    </row>
    <row r="57" spans="1:9" ht="17.100000000000001" customHeight="1">
      <c r="A57" s="323" t="s">
        <v>462</v>
      </c>
      <c r="B57" s="315" t="e">
        <f>PGL_Supplies!Y7/1000+PGL_Supplies!#REF!/1000-PGL_Requirements!#REF!/1000</f>
        <v>#REF!</v>
      </c>
      <c r="C57" s="304"/>
      <c r="D57" s="304"/>
      <c r="E57" s="304"/>
      <c r="F57" s="352" t="s">
        <v>214</v>
      </c>
      <c r="G57" s="304"/>
      <c r="H57" s="354">
        <f>NSG_Requirements!S7/1000</f>
        <v>0</v>
      </c>
      <c r="I57" s="355"/>
    </row>
    <row r="58" spans="1:9" ht="17.100000000000001" customHeight="1">
      <c r="A58" s="323" t="s">
        <v>215</v>
      </c>
      <c r="B58" s="315">
        <f>PGL_Requirements!T7/1000</f>
        <v>10.425000000000001</v>
      </c>
      <c r="C58" s="304"/>
      <c r="D58" s="304"/>
      <c r="E58" s="304"/>
      <c r="F58" s="352" t="s">
        <v>216</v>
      </c>
      <c r="G58" s="304"/>
      <c r="H58" s="356"/>
      <c r="I58" s="357">
        <f>PGL_Requirements!V7/1000</f>
        <v>0</v>
      </c>
    </row>
    <row r="59" spans="1:9" ht="17.100000000000001" customHeight="1">
      <c r="A59" s="323" t="s">
        <v>217</v>
      </c>
      <c r="B59" s="315">
        <f>PGL_Supplies!P7/1000</f>
        <v>0</v>
      </c>
      <c r="C59" s="304"/>
      <c r="D59" s="304"/>
      <c r="E59" s="304"/>
      <c r="F59" s="358" t="s">
        <v>218</v>
      </c>
      <c r="G59" s="304"/>
      <c r="H59" s="359">
        <f>NSG_Requirements!D7/1000</f>
        <v>0</v>
      </c>
      <c r="I59" s="360"/>
    </row>
    <row r="60" spans="1:9" ht="17.100000000000001" customHeight="1">
      <c r="A60" s="361" t="s">
        <v>218</v>
      </c>
      <c r="B60" s="315">
        <f>PGL_Requirements!H7/1000</f>
        <v>0</v>
      </c>
      <c r="C60" s="304"/>
      <c r="D60" s="304"/>
      <c r="E60" s="304"/>
      <c r="F60" s="362" t="s">
        <v>219</v>
      </c>
      <c r="G60" s="342"/>
      <c r="H60" s="359">
        <f>NSG_Requirements!O7/1000</f>
        <v>0</v>
      </c>
      <c r="I60" s="312">
        <f>+NSG_Supplies!K7/1000</f>
        <v>0</v>
      </c>
    </row>
    <row r="61" spans="1:9" ht="17.100000000000001" customHeight="1" thickBot="1">
      <c r="A61" s="416" t="s">
        <v>383</v>
      </c>
      <c r="B61" s="363">
        <f>(NSG_Requirements!$S$7+NSG_Requirements!$T$7+NSG_Requirements!$U$7+NSG_Requirements!$N$7)/1000</f>
        <v>0</v>
      </c>
      <c r="C61" s="304"/>
      <c r="D61" s="304"/>
      <c r="E61" s="304"/>
      <c r="F61" s="364" t="s">
        <v>220</v>
      </c>
      <c r="G61" s="335"/>
      <c r="H61" s="365"/>
      <c r="I61" s="366">
        <f>NSG_Supplies!L7/1000</f>
        <v>0</v>
      </c>
    </row>
    <row r="62" spans="1:9" ht="17.100000000000001" customHeight="1" thickTop="1">
      <c r="A62" s="313" t="s">
        <v>210</v>
      </c>
      <c r="B62" s="367" t="e">
        <f>B56+B57-B58+B59-B60+B61</f>
        <v>#REF!</v>
      </c>
      <c r="C62" s="368"/>
      <c r="D62" s="368"/>
      <c r="E62" s="368"/>
      <c r="F62" s="369" t="s">
        <v>221</v>
      </c>
      <c r="G62" s="304"/>
      <c r="H62" s="356"/>
      <c r="I62" s="370">
        <v>0</v>
      </c>
    </row>
    <row r="63" spans="1:9" ht="17.100000000000001" customHeight="1" thickBot="1">
      <c r="A63" s="337" t="s">
        <v>9</v>
      </c>
      <c r="B63" s="318"/>
      <c r="C63" s="318" t="s">
        <v>380</v>
      </c>
      <c r="D63" s="338"/>
      <c r="E63" s="466" t="s">
        <v>9</v>
      </c>
      <c r="F63" s="339" t="s">
        <v>222</v>
      </c>
      <c r="G63" s="304"/>
      <c r="H63" s="356"/>
      <c r="I63" s="303">
        <f>I58+I60+I56-H56</f>
        <v>0</v>
      </c>
    </row>
    <row r="64" spans="1:9" ht="17.100000000000001" customHeight="1" thickBot="1">
      <c r="A64" s="416" t="s">
        <v>361</v>
      </c>
      <c r="B64" s="315">
        <f>PGL_Supplies!X7/1000</f>
        <v>69.284000000000006</v>
      </c>
      <c r="C64" s="304"/>
      <c r="D64" s="304"/>
      <c r="E64" s="371"/>
      <c r="F64" s="349" t="s">
        <v>223</v>
      </c>
      <c r="G64" s="350"/>
      <c r="H64" s="350"/>
      <c r="I64" s="351"/>
    </row>
    <row r="65" spans="1:10" ht="17.100000000000001" customHeight="1">
      <c r="A65" s="323" t="s">
        <v>461</v>
      </c>
      <c r="B65" s="315">
        <f>PGL_Supplies!AC7/1000+PGL_Supplies!F7/1000-PGL_Requirements!E7/1000</f>
        <v>0</v>
      </c>
      <c r="C65" s="372" t="s">
        <v>9</v>
      </c>
      <c r="D65" s="304"/>
      <c r="E65" s="373"/>
      <c r="F65" s="374" t="s">
        <v>224</v>
      </c>
      <c r="G65" s="375"/>
      <c r="H65" s="376"/>
      <c r="I65" s="377">
        <f>NSG_Supplies!N7/1000</f>
        <v>0</v>
      </c>
    </row>
    <row r="66" spans="1:10" ht="17.100000000000001" customHeight="1">
      <c r="A66" s="323" t="s">
        <v>225</v>
      </c>
      <c r="B66" s="315">
        <f>PGL_Supplies!AD7/1000</f>
        <v>0</v>
      </c>
      <c r="C66" s="372" t="s">
        <v>9</v>
      </c>
      <c r="D66" s="304"/>
      <c r="E66" s="373"/>
      <c r="F66" s="375" t="s">
        <v>226</v>
      </c>
      <c r="G66" s="375"/>
      <c r="H66" s="378">
        <f>NSG_Requirements!M7/1000</f>
        <v>0</v>
      </c>
      <c r="I66" s="355"/>
    </row>
    <row r="67" spans="1:10" ht="17.100000000000001" customHeight="1">
      <c r="A67" s="323" t="s">
        <v>227</v>
      </c>
      <c r="B67" s="379">
        <f>PGL_Requirements!S7/1000</f>
        <v>0</v>
      </c>
      <c r="C67" s="380" t="s">
        <v>9</v>
      </c>
      <c r="D67" s="304"/>
      <c r="E67" s="373"/>
      <c r="F67" s="375" t="s">
        <v>228</v>
      </c>
      <c r="G67" s="375"/>
      <c r="H67" s="381">
        <f>(NSG_Requirements!$Y$7+NSG_Requirements!$Z$7+NSG_Requirements!$AA$7)/1000</f>
        <v>0</v>
      </c>
      <c r="I67" s="382">
        <f>(PGL_Requirements!$AB$7+PGL_Requirements!$AC$7+PGL_Requirements!$AD$7)/1000</f>
        <v>0</v>
      </c>
    </row>
    <row r="68" spans="1:10" ht="17.100000000000001" customHeight="1" thickBot="1">
      <c r="A68" s="323" t="s">
        <v>229</v>
      </c>
      <c r="B68" s="315">
        <f>PGL_Supplies!N7/1000</f>
        <v>0</v>
      </c>
      <c r="C68" s="372" t="s">
        <v>9</v>
      </c>
      <c r="D68" s="304"/>
      <c r="E68" s="373"/>
      <c r="F68" s="383"/>
      <c r="G68" s="383"/>
      <c r="H68" s="384"/>
      <c r="I68" s="385"/>
    </row>
    <row r="69" spans="1:10" ht="17.100000000000001" customHeight="1">
      <c r="A69" s="361" t="s">
        <v>218</v>
      </c>
      <c r="B69" s="379">
        <f>PGL_Requirements!M7/1000</f>
        <v>0</v>
      </c>
      <c r="C69" s="380" t="s">
        <v>9</v>
      </c>
      <c r="D69" s="304"/>
      <c r="E69" s="474"/>
      <c r="F69" s="386" t="s">
        <v>230</v>
      </c>
      <c r="G69" s="376" t="s">
        <v>9</v>
      </c>
      <c r="H69" s="387" t="s">
        <v>366</v>
      </c>
      <c r="I69" s="373"/>
    </row>
    <row r="70" spans="1:10" ht="17.100000000000001" customHeight="1">
      <c r="A70" s="323" t="s">
        <v>231</v>
      </c>
      <c r="B70" s="379">
        <f>PGL_Requirements!O7/1000</f>
        <v>115.3</v>
      </c>
      <c r="C70" s="380" t="s">
        <v>9</v>
      </c>
      <c r="D70" s="304"/>
      <c r="E70" s="373"/>
      <c r="F70" s="386" t="s">
        <v>232</v>
      </c>
      <c r="G70" s="376" t="s">
        <v>9</v>
      </c>
      <c r="H70" s="415" t="s">
        <v>233</v>
      </c>
      <c r="I70" s="414"/>
    </row>
    <row r="71" spans="1:10" ht="17.100000000000001" customHeight="1">
      <c r="A71" s="323" t="s">
        <v>234</v>
      </c>
      <c r="B71" s="379">
        <f>PGL_Requirements!E7/1000</f>
        <v>5.0279999999999996</v>
      </c>
      <c r="C71" s="372" t="s">
        <v>9</v>
      </c>
      <c r="D71" s="304"/>
      <c r="E71" s="373"/>
      <c r="F71" s="375" t="s">
        <v>235</v>
      </c>
      <c r="G71" s="376" t="s">
        <v>9</v>
      </c>
      <c r="H71" s="389"/>
      <c r="I71" s="373" t="s">
        <v>9</v>
      </c>
    </row>
    <row r="72" spans="1:10" ht="17.100000000000001" customHeight="1" thickBot="1">
      <c r="A72" s="390" t="s">
        <v>210</v>
      </c>
      <c r="B72" s="391">
        <f>+B65+B64+B66+B68-B67-B69-B70</f>
        <v>-46.015999999999991</v>
      </c>
      <c r="C72" s="391" t="s">
        <v>9</v>
      </c>
      <c r="D72" s="392"/>
      <c r="E72" s="393"/>
      <c r="F72" s="388"/>
      <c r="G72" s="475"/>
      <c r="H72" s="394"/>
      <c r="I72" s="395"/>
    </row>
    <row r="73" spans="1:10" ht="17.100000000000001" customHeight="1" thickBot="1">
      <c r="A73" s="349" t="s">
        <v>236</v>
      </c>
      <c r="B73" s="350"/>
      <c r="C73" s="351"/>
      <c r="D73" s="331"/>
      <c r="E73" s="331"/>
      <c r="F73" s="413" t="s">
        <v>237</v>
      </c>
      <c r="G73" s="396" t="str">
        <f>CHOOSE(WEEKDAY(H73),"SUN","MON","TUE","WED","THU","FRI","SAT")</f>
        <v>THU</v>
      </c>
      <c r="H73" s="397">
        <f>Weather_Input!A5</f>
        <v>37147</v>
      </c>
      <c r="I73" s="398"/>
    </row>
    <row r="74" spans="1:10" ht="17.100000000000001" customHeight="1">
      <c r="A74" s="374" t="s">
        <v>238</v>
      </c>
      <c r="B74" s="304" t="s">
        <v>9</v>
      </c>
      <c r="C74" s="324"/>
      <c r="D74" s="399"/>
      <c r="E74" s="331"/>
      <c r="F74" s="331"/>
      <c r="G74" s="331"/>
      <c r="H74" s="331"/>
      <c r="I74" s="398"/>
    </row>
    <row r="75" spans="1:10" ht="17.100000000000001" customHeight="1">
      <c r="A75" s="352" t="s">
        <v>239</v>
      </c>
      <c r="B75" s="304"/>
      <c r="C75" s="324"/>
      <c r="D75" s="400"/>
      <c r="E75" s="375"/>
      <c r="F75" s="375"/>
      <c r="G75" s="375"/>
      <c r="H75" s="331"/>
      <c r="I75" s="398"/>
    </row>
    <row r="76" spans="1:10" ht="17.100000000000001" customHeight="1" thickBot="1">
      <c r="A76" s="401" t="s">
        <v>240</v>
      </c>
      <c r="B76" s="335"/>
      <c r="C76" s="336"/>
      <c r="D76" s="402" t="s">
        <v>241</v>
      </c>
      <c r="E76" s="403"/>
      <c r="F76" s="404" t="s">
        <v>242</v>
      </c>
      <c r="G76" s="405"/>
      <c r="H76" s="406" t="s">
        <v>243</v>
      </c>
      <c r="I76" s="407" t="s">
        <v>243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70" t="s">
        <v>388</v>
      </c>
      <c r="B90" s="571"/>
      <c r="C90" s="571"/>
      <c r="D90" s="571"/>
      <c r="E90" s="572" t="s">
        <v>158</v>
      </c>
      <c r="F90" s="573">
        <f>Weather_Input!L5</f>
        <v>1</v>
      </c>
      <c r="G90" s="574" t="s">
        <v>9</v>
      </c>
      <c r="H90" s="575"/>
      <c r="I90" s="576"/>
    </row>
    <row r="91" spans="1:9" ht="15.6">
      <c r="A91" s="249"/>
      <c r="B91" s="592" t="s">
        <v>385</v>
      </c>
      <c r="C91" s="260" t="s">
        <v>9</v>
      </c>
      <c r="D91" s="584" t="s">
        <v>456</v>
      </c>
      <c r="E91" s="591"/>
      <c r="F91" s="589" t="s">
        <v>457</v>
      </c>
      <c r="G91" s="590"/>
      <c r="H91" s="588" t="s">
        <v>159</v>
      </c>
      <c r="I91" s="251"/>
    </row>
    <row r="92" spans="1:9" ht="15">
      <c r="A92" s="476" t="s">
        <v>386</v>
      </c>
      <c r="B92" s="583" t="s">
        <v>377</v>
      </c>
      <c r="C92" s="252" t="s">
        <v>161</v>
      </c>
      <c r="D92" s="583" t="s">
        <v>21</v>
      </c>
      <c r="E92" s="252" t="s">
        <v>161</v>
      </c>
      <c r="F92" s="586" t="s">
        <v>21</v>
      </c>
      <c r="G92" s="252" t="s">
        <v>161</v>
      </c>
      <c r="H92" s="583" t="s">
        <v>21</v>
      </c>
      <c r="I92" s="477" t="s">
        <v>161</v>
      </c>
    </row>
    <row r="93" spans="1:9" ht="15.6">
      <c r="A93" s="249" t="s">
        <v>9</v>
      </c>
      <c r="B93" s="259"/>
      <c r="C93" s="257"/>
      <c r="D93" s="585"/>
      <c r="E93" s="585"/>
      <c r="F93" s="587"/>
      <c r="G93" s="260"/>
      <c r="H93" s="260"/>
      <c r="I93" s="258"/>
    </row>
    <row r="94" spans="1:9" ht="16.2" thickBot="1">
      <c r="A94" s="249" t="s">
        <v>387</v>
      </c>
      <c r="B94" s="484" t="s">
        <v>9</v>
      </c>
      <c r="C94" s="483" t="s">
        <v>9</v>
      </c>
      <c r="D94" s="478" t="s">
        <v>9</v>
      </c>
      <c r="E94" s="485"/>
      <c r="F94" s="486"/>
      <c r="G94" s="262"/>
      <c r="H94" s="486"/>
      <c r="I94" s="251"/>
    </row>
    <row r="95" spans="1:9" ht="16.2" thickBot="1">
      <c r="A95" s="479"/>
      <c r="B95" s="480" t="s">
        <v>9</v>
      </c>
      <c r="C95" s="480" t="s">
        <v>9</v>
      </c>
      <c r="D95" s="481"/>
      <c r="E95" s="481"/>
      <c r="F95" s="481"/>
      <c r="G95" s="481"/>
      <c r="H95" s="481"/>
      <c r="I95" s="482"/>
    </row>
    <row r="96" spans="1:9" ht="15">
      <c r="A96" s="476" t="s">
        <v>167</v>
      </c>
      <c r="B96" s="284" t="s">
        <v>9</v>
      </c>
      <c r="C96" s="606" t="e">
        <f>I150</f>
        <v>#REF!</v>
      </c>
      <c r="D96" s="602"/>
      <c r="E96" s="260"/>
      <c r="F96" s="602"/>
      <c r="G96" s="260"/>
      <c r="H96" s="602"/>
      <c r="I96" s="258" t="s">
        <v>9</v>
      </c>
    </row>
    <row r="97" spans="1:9" ht="15">
      <c r="A97" s="476" t="s">
        <v>65</v>
      </c>
      <c r="B97" s="273" t="s">
        <v>9</v>
      </c>
      <c r="C97" s="606" t="e">
        <f>B133</f>
        <v>#REF!</v>
      </c>
      <c r="D97" s="585"/>
      <c r="E97" s="597" t="e">
        <f>+C97</f>
        <v>#REF!</v>
      </c>
      <c r="F97" s="585"/>
      <c r="G97" s="597" t="e">
        <f>+C97</f>
        <v>#REF!</v>
      </c>
      <c r="H97" s="585"/>
      <c r="I97" s="276" t="e">
        <f>+C97</f>
        <v>#REF!</v>
      </c>
    </row>
    <row r="98" spans="1:9" ht="15">
      <c r="A98" s="476" t="s">
        <v>57</v>
      </c>
      <c r="B98" s="273" t="s">
        <v>9</v>
      </c>
      <c r="C98" s="606">
        <f>B149</f>
        <v>0.20899999999999999</v>
      </c>
      <c r="D98" s="585"/>
      <c r="E98" s="260"/>
      <c r="F98" s="585"/>
      <c r="G98" s="260"/>
      <c r="H98" s="585"/>
      <c r="I98" s="258"/>
    </row>
    <row r="99" spans="1:9" ht="15">
      <c r="A99" s="476" t="s">
        <v>66</v>
      </c>
      <c r="B99" s="273" t="s">
        <v>9</v>
      </c>
      <c r="C99" s="606">
        <f>B141</f>
        <v>126.39100000000001</v>
      </c>
      <c r="D99" s="603"/>
      <c r="E99" s="260"/>
      <c r="F99" s="585"/>
      <c r="G99" s="260"/>
      <c r="H99" s="585"/>
      <c r="I99" s="258"/>
    </row>
    <row r="100" spans="1:9" ht="15">
      <c r="A100" s="476" t="s">
        <v>389</v>
      </c>
      <c r="B100" s="277" t="s">
        <v>9</v>
      </c>
      <c r="C100" s="606">
        <f>I157+I158</f>
        <v>0</v>
      </c>
      <c r="D100" s="585"/>
      <c r="E100" s="260"/>
      <c r="F100" s="585"/>
      <c r="G100" s="260"/>
      <c r="H100" s="585"/>
      <c r="I100" s="258"/>
    </row>
    <row r="101" spans="1:9" ht="15">
      <c r="A101" s="476" t="s">
        <v>390</v>
      </c>
      <c r="B101" s="273" t="s">
        <v>9</v>
      </c>
      <c r="C101" s="606" t="e">
        <f>I146</f>
        <v>#REF!</v>
      </c>
      <c r="D101" s="585" t="s">
        <v>9</v>
      </c>
      <c r="E101" s="260"/>
      <c r="F101" s="585"/>
      <c r="G101" s="260"/>
      <c r="H101" s="585"/>
      <c r="I101" s="258"/>
    </row>
    <row r="102" spans="1:9" ht="15">
      <c r="A102" s="476" t="s">
        <v>35</v>
      </c>
      <c r="B102" s="273" t="s">
        <v>157</v>
      </c>
      <c r="C102" s="606">
        <f>B162</f>
        <v>69.284000000000006</v>
      </c>
      <c r="D102" s="585"/>
      <c r="E102" s="260"/>
      <c r="F102" s="585"/>
      <c r="G102" s="260"/>
      <c r="H102" s="585"/>
      <c r="I102" s="258"/>
    </row>
    <row r="103" spans="1:9" ht="15">
      <c r="A103" s="476" t="s">
        <v>94</v>
      </c>
      <c r="B103" s="273" t="s">
        <v>9</v>
      </c>
      <c r="C103" s="606">
        <f>PGL_Requirements!F7/1000</f>
        <v>0</v>
      </c>
      <c r="D103" s="603"/>
      <c r="E103" s="260"/>
      <c r="F103" s="585"/>
      <c r="G103" s="260"/>
      <c r="H103" s="585"/>
      <c r="I103" s="258"/>
    </row>
    <row r="104" spans="1:9" ht="15.6" thickBot="1">
      <c r="A104" s="283" t="s">
        <v>104</v>
      </c>
      <c r="B104" s="598" t="s">
        <v>9</v>
      </c>
      <c r="C104" s="606">
        <f>PGL_Supplies!B7/1000</f>
        <v>16.646000000000001</v>
      </c>
      <c r="D104" s="584"/>
      <c r="E104" s="260"/>
      <c r="F104" s="585"/>
      <c r="G104" s="260"/>
      <c r="H104" s="585"/>
      <c r="I104" s="258"/>
    </row>
    <row r="105" spans="1:9" ht="16.2" thickBot="1">
      <c r="A105" s="599" t="s">
        <v>391</v>
      </c>
      <c r="B105" s="600" t="s">
        <v>9</v>
      </c>
      <c r="C105" s="494" t="s">
        <v>9</v>
      </c>
      <c r="D105" s="604" t="s">
        <v>9</v>
      </c>
      <c r="E105" s="601" t="s">
        <v>9</v>
      </c>
      <c r="F105" s="604" t="s">
        <v>9</v>
      </c>
      <c r="G105" s="601" t="s">
        <v>9</v>
      </c>
      <c r="H105" s="604" t="s">
        <v>9</v>
      </c>
      <c r="I105" s="605"/>
    </row>
    <row r="106" spans="1:9" ht="16.2" thickBot="1">
      <c r="A106" s="487" t="s">
        <v>36</v>
      </c>
      <c r="B106" s="488">
        <f>-PGL_Supplies!T7/1000</f>
        <v>0</v>
      </c>
      <c r="C106" s="489">
        <f>-NSG_Supplies!AE7/1000</f>
        <v>0</v>
      </c>
      <c r="D106" s="490"/>
      <c r="E106" s="491"/>
      <c r="F106" s="490"/>
      <c r="G106" s="491"/>
      <c r="H106" s="492"/>
      <c r="I106" s="493"/>
    </row>
    <row r="107" spans="1:9" ht="15">
      <c r="A107" s="476" t="s">
        <v>392</v>
      </c>
      <c r="B107" s="273" t="e">
        <f>B94+B105+B106</f>
        <v>#VALUE!</v>
      </c>
      <c r="C107" s="286" t="e">
        <f>C94+C105+C106</f>
        <v>#VALUE!</v>
      </c>
      <c r="D107" s="257"/>
      <c r="E107" s="259"/>
      <c r="F107" s="257"/>
      <c r="G107" s="259"/>
      <c r="H107" s="260"/>
      <c r="I107" s="251"/>
    </row>
    <row r="108" spans="1:9" ht="15">
      <c r="A108" s="476" t="s">
        <v>393</v>
      </c>
      <c r="B108" s="273">
        <v>0</v>
      </c>
      <c r="C108" s="259"/>
      <c r="D108" s="257"/>
      <c r="E108" s="259"/>
      <c r="F108" s="257"/>
      <c r="G108" s="259"/>
      <c r="H108" s="260"/>
      <c r="I108" s="287"/>
    </row>
    <row r="109" spans="1:9" ht="15">
      <c r="A109" s="476" t="s">
        <v>394</v>
      </c>
      <c r="B109" s="273" t="e">
        <f>+B129</f>
        <v>#REF!</v>
      </c>
      <c r="C109" s="259"/>
      <c r="D109" s="257"/>
      <c r="E109" s="259"/>
      <c r="F109" s="288" t="s">
        <v>9</v>
      </c>
      <c r="G109" s="297"/>
      <c r="H109" s="289" t="s">
        <v>9</v>
      </c>
      <c r="I109" s="251"/>
    </row>
    <row r="110" spans="1:9" ht="15.6">
      <c r="A110" s="495" t="s">
        <v>395</v>
      </c>
      <c r="B110" s="291" t="e">
        <f>B107+B108+B109</f>
        <v>#VALUE!</v>
      </c>
      <c r="C110" s="292" t="e">
        <f>C107</f>
        <v>#VALUE!</v>
      </c>
      <c r="D110" s="257"/>
      <c r="E110" s="259"/>
      <c r="F110" s="293"/>
      <c r="G110" s="259"/>
      <c r="H110" s="294" t="s">
        <v>9</v>
      </c>
      <c r="I110" s="295" t="s">
        <v>9</v>
      </c>
    </row>
    <row r="111" spans="1:9" ht="16.2" thickBot="1">
      <c r="A111" s="496" t="s">
        <v>396</v>
      </c>
      <c r="B111" s="297">
        <f>-NSG_Requirements!$L$7/1000</f>
        <v>0</v>
      </c>
      <c r="C111" s="297">
        <f>NSG_Requirements!$L$7/1000</f>
        <v>0</v>
      </c>
      <c r="D111" s="298">
        <f>B111</f>
        <v>0</v>
      </c>
      <c r="E111" s="297">
        <f>C111</f>
        <v>0</v>
      </c>
      <c r="F111" s="298">
        <f>B111</f>
        <v>0</v>
      </c>
      <c r="G111" s="297">
        <f>C111</f>
        <v>0</v>
      </c>
      <c r="H111" s="435">
        <f>B111</f>
        <v>0</v>
      </c>
      <c r="I111" s="299">
        <f>C111</f>
        <v>0</v>
      </c>
    </row>
    <row r="112" spans="1:9" ht="15">
      <c r="A112" s="476" t="s">
        <v>397</v>
      </c>
      <c r="B112" s="297"/>
      <c r="C112" s="297"/>
      <c r="D112" s="298"/>
      <c r="E112" s="297"/>
      <c r="F112" s="298"/>
      <c r="G112" s="297"/>
      <c r="H112" s="497"/>
      <c r="I112" s="498"/>
    </row>
    <row r="113" spans="1:9" ht="15.6">
      <c r="A113" s="416" t="s">
        <v>398</v>
      </c>
      <c r="B113" s="301">
        <f>PGL_Requirements!V7/1000</f>
        <v>0</v>
      </c>
      <c r="C113" s="301">
        <f>NSG_Requirements!Q7/1000</f>
        <v>0</v>
      </c>
      <c r="D113" s="301">
        <f>B113</f>
        <v>0</v>
      </c>
      <c r="E113" s="301">
        <f>+C113</f>
        <v>0</v>
      </c>
      <c r="F113" s="301">
        <f>B113</f>
        <v>0</v>
      </c>
      <c r="G113" s="301">
        <f>+C113</f>
        <v>0</v>
      </c>
      <c r="H113" s="302">
        <f>B113</f>
        <v>0</v>
      </c>
      <c r="I113" s="303">
        <f>+C113</f>
        <v>0</v>
      </c>
    </row>
    <row r="114" spans="1:9" ht="15.6">
      <c r="A114" s="323" t="s">
        <v>399</v>
      </c>
      <c r="B114" s="301">
        <f>PGL_Requirements!AB7/1000</f>
        <v>0</v>
      </c>
      <c r="C114" s="301">
        <f>NSG_Requirements!AA7/1000</f>
        <v>0</v>
      </c>
      <c r="D114" s="301">
        <f>PGL_Requirements!AB7/1000</f>
        <v>0</v>
      </c>
      <c r="E114" s="301">
        <f>NSG_Requirements!AA7/1000</f>
        <v>0</v>
      </c>
      <c r="F114" s="301">
        <f>PGL_Requirements!AB7/1000</f>
        <v>0</v>
      </c>
      <c r="G114" s="301">
        <f>NSG_Requirements!AA7/1000</f>
        <v>0</v>
      </c>
      <c r="H114" s="302">
        <f>+B114</f>
        <v>0</v>
      </c>
      <c r="I114" s="303">
        <f>+C114</f>
        <v>0</v>
      </c>
    </row>
    <row r="115" spans="1:9" ht="15">
      <c r="A115" s="416" t="s">
        <v>400</v>
      </c>
      <c r="B115" s="306">
        <v>0</v>
      </c>
      <c r="C115" s="306">
        <v>0</v>
      </c>
      <c r="D115" s="306">
        <v>0</v>
      </c>
      <c r="E115" s="306">
        <v>0</v>
      </c>
      <c r="F115" s="306">
        <v>0</v>
      </c>
      <c r="G115" s="306">
        <f>C115</f>
        <v>0</v>
      </c>
      <c r="H115" s="311">
        <f>B115</f>
        <v>0</v>
      </c>
      <c r="I115" s="312">
        <f>C115</f>
        <v>0</v>
      </c>
    </row>
    <row r="116" spans="1:9" ht="15">
      <c r="A116" s="416" t="s">
        <v>401</v>
      </c>
      <c r="B116" s="410">
        <f>-PGL_Supplies!Y7/1000</f>
        <v>-10.425000000000001</v>
      </c>
      <c r="C116" s="410">
        <f>-NSG_Supplies!V7/1000</f>
        <v>0</v>
      </c>
      <c r="D116" s="306">
        <f>-PGL_Supplies!Y7/1000</f>
        <v>-10.425000000000001</v>
      </c>
      <c r="E116" s="306">
        <f>-NSG_Supplies!V7/1000</f>
        <v>0</v>
      </c>
      <c r="F116" s="306">
        <f>-PGL_Supplies!Y7/1000</f>
        <v>-10.425000000000001</v>
      </c>
      <c r="G116" s="306">
        <f>-NSG_Supplies!V7/1000</f>
        <v>0</v>
      </c>
      <c r="H116" s="311">
        <f>-PGL_Supplies!Y7/1000</f>
        <v>-10.425000000000001</v>
      </c>
      <c r="I116" s="312">
        <f>-NSG_Supplies!V7/1000</f>
        <v>0</v>
      </c>
    </row>
    <row r="117" spans="1:9" ht="15">
      <c r="A117" s="416" t="s">
        <v>402</v>
      </c>
      <c r="B117" s="306">
        <f>-PGL_Supplies!Z7/1000</f>
        <v>0</v>
      </c>
      <c r="C117" s="306">
        <f>-NSG_Supplies!W7/1000</f>
        <v>0</v>
      </c>
      <c r="D117" s="306">
        <f>-PGL_Supplies!Z7/1000</f>
        <v>0</v>
      </c>
      <c r="E117" s="306">
        <f>-NSG_Supplies!W7/1000</f>
        <v>0</v>
      </c>
      <c r="F117" s="306">
        <f>-PGL_Supplies!Z7/1000</f>
        <v>0</v>
      </c>
      <c r="G117" s="306">
        <f>-NSG_Supplies!W7/1000</f>
        <v>0</v>
      </c>
      <c r="H117" s="311">
        <f>-PGL_Supplies!Z7/1000</f>
        <v>0</v>
      </c>
      <c r="I117" s="312">
        <f>-NSG_Supplies!W7/1000</f>
        <v>0</v>
      </c>
    </row>
    <row r="118" spans="1:9" ht="15.6">
      <c r="A118" s="416" t="s">
        <v>404</v>
      </c>
      <c r="B118" s="411" t="e">
        <f>(PGL_Requirements!#REF!+PGL_Requirements!$Y$7+PGL_Requirements!$Z$7)/1000+(NSG_Requirements!$V$7+NSG_Requirements!$W$7+NSG_Requirements!$X$7)/1000</f>
        <v>#REF!</v>
      </c>
      <c r="C118" s="411" t="e">
        <f>-(PGL_Requirements!#REF!+PGL_Requirements!$Y$7+PGL_Requirements!$Z$7)/1000+(NSG_Requirements!$V$7+NSG_Requirements!$W$7+NSG_Requirements!$X$7)/1000</f>
        <v>#REF!</v>
      </c>
      <c r="D118" s="301" t="e">
        <f>+B118</f>
        <v>#REF!</v>
      </c>
      <c r="E118" s="306" t="e">
        <f>+C118</f>
        <v>#REF!</v>
      </c>
      <c r="F118" s="301" t="e">
        <f>+B118</f>
        <v>#REF!</v>
      </c>
      <c r="G118" s="306" t="e">
        <f>+E118</f>
        <v>#REF!</v>
      </c>
      <c r="H118" s="302" t="e">
        <f>+B118</f>
        <v>#REF!</v>
      </c>
      <c r="I118" s="303" t="e">
        <f>+C118</f>
        <v>#REF!</v>
      </c>
    </row>
    <row r="119" spans="1:9" ht="15">
      <c r="A119" s="416" t="s">
        <v>405</v>
      </c>
      <c r="B119" s="306">
        <f>-PGL_Supplies!AM7/1000</f>
        <v>0</v>
      </c>
      <c r="C119" s="306">
        <f>-NSG_Supplies!AC7/1000</f>
        <v>0</v>
      </c>
      <c r="D119" s="306">
        <f>B119</f>
        <v>0</v>
      </c>
      <c r="E119" s="306">
        <f>C119</f>
        <v>0</v>
      </c>
      <c r="F119" s="306">
        <f>B119</f>
        <v>0</v>
      </c>
      <c r="G119" s="306">
        <f>C119</f>
        <v>0</v>
      </c>
      <c r="H119" s="311">
        <f>B119</f>
        <v>0</v>
      </c>
      <c r="I119" s="312">
        <f>C119</f>
        <v>0</v>
      </c>
    </row>
    <row r="120" spans="1:9" ht="15">
      <c r="A120" s="416" t="s">
        <v>182</v>
      </c>
      <c r="B120" s="306">
        <f>-PGL_Supplies!AI7/1000</f>
        <v>0</v>
      </c>
      <c r="C120" s="306">
        <f>-NSG_Supplies!AD7/1000</f>
        <v>0</v>
      </c>
      <c r="D120" s="306">
        <f>B120</f>
        <v>0</v>
      </c>
      <c r="E120" s="306">
        <f>C120</f>
        <v>0</v>
      </c>
      <c r="F120" s="306">
        <f>B120</f>
        <v>0</v>
      </c>
      <c r="G120" s="306">
        <f>C120</f>
        <v>0</v>
      </c>
      <c r="H120" s="311">
        <f>B120</f>
        <v>0</v>
      </c>
      <c r="I120" s="312">
        <f>C120</f>
        <v>0</v>
      </c>
    </row>
    <row r="121" spans="1:9" ht="15.6">
      <c r="A121" s="416" t="s">
        <v>403</v>
      </c>
      <c r="B121" s="301">
        <f>PGL_Requirements!AC7/1000</f>
        <v>0</v>
      </c>
      <c r="C121" s="301" t="s">
        <v>9</v>
      </c>
      <c r="D121" s="301">
        <f>+B121</f>
        <v>0</v>
      </c>
      <c r="E121" s="304"/>
      <c r="F121" s="301">
        <f>+D121</f>
        <v>0</v>
      </c>
      <c r="G121" s="304"/>
      <c r="H121" s="302">
        <f>+B121</f>
        <v>0</v>
      </c>
      <c r="I121" s="303" t="str">
        <f>+C121</f>
        <v xml:space="preserve"> </v>
      </c>
    </row>
    <row r="122" spans="1:9" ht="15.6">
      <c r="A122" s="416" t="s">
        <v>406</v>
      </c>
      <c r="B122" s="301" t="e">
        <f>PGL_Requirements!#REF!/1000</f>
        <v>#REF!</v>
      </c>
      <c r="C122" s="301">
        <f>NSG_Requirements!U7/1000</f>
        <v>0</v>
      </c>
      <c r="D122" s="304"/>
      <c r="E122" s="304"/>
      <c r="F122" s="304"/>
      <c r="G122" s="304"/>
      <c r="H122" s="308"/>
      <c r="I122" s="309"/>
    </row>
    <row r="123" spans="1:9" ht="15">
      <c r="A123" s="416" t="s">
        <v>407</v>
      </c>
      <c r="B123" s="306">
        <f>-PGL_Supplies!W7/1000</f>
        <v>0</v>
      </c>
      <c r="C123" s="306">
        <f>-NSG_Supplies!R7/1000</f>
        <v>-16.641999999999999</v>
      </c>
      <c r="D123" s="304"/>
      <c r="E123" s="304"/>
      <c r="F123" s="304"/>
      <c r="G123" s="304"/>
      <c r="H123" s="308"/>
      <c r="I123" s="309"/>
    </row>
    <row r="124" spans="1:9" ht="16.2" thickBot="1">
      <c r="A124" s="317" t="s">
        <v>9</v>
      </c>
      <c r="B124" s="470" t="s">
        <v>9</v>
      </c>
      <c r="C124" s="499" t="s">
        <v>65</v>
      </c>
      <c r="D124" s="469"/>
      <c r="E124" s="319"/>
      <c r="F124" s="320" t="s">
        <v>187</v>
      </c>
      <c r="G124" s="319"/>
      <c r="H124" s="321"/>
      <c r="I124" s="322"/>
    </row>
    <row r="125" spans="1:9" ht="15">
      <c r="A125" s="416" t="s">
        <v>408</v>
      </c>
      <c r="B125" s="306">
        <f>PGL_Requirements!T7/1000</f>
        <v>10.425000000000001</v>
      </c>
      <c r="F125" s="525" t="s">
        <v>9</v>
      </c>
      <c r="G125" s="526"/>
      <c r="H125" s="593"/>
      <c r="I125" s="327"/>
    </row>
    <row r="126" spans="1:9" ht="15">
      <c r="A126" s="416" t="s">
        <v>365</v>
      </c>
      <c r="B126" s="315">
        <f>PGL_Supplies!P7/1000</f>
        <v>0</v>
      </c>
      <c r="C126" s="306" t="s">
        <v>9</v>
      </c>
      <c r="D126" s="304"/>
      <c r="E126" s="324"/>
      <c r="F126" s="416" t="s">
        <v>428</v>
      </c>
      <c r="G126" s="527"/>
      <c r="H126" s="532"/>
      <c r="I126" s="327"/>
    </row>
    <row r="127" spans="1:9" ht="15">
      <c r="A127" s="416" t="s">
        <v>458</v>
      </c>
      <c r="B127" s="306">
        <f>PGL_Requirements!N7/1000</f>
        <v>4.5119999999999996</v>
      </c>
      <c r="C127" s="306" t="s">
        <v>9</v>
      </c>
      <c r="D127" s="304"/>
      <c r="E127" s="324"/>
      <c r="F127" s="416" t="s">
        <v>429</v>
      </c>
      <c r="G127" s="527"/>
      <c r="H127" s="308"/>
      <c r="I127" s="327"/>
    </row>
    <row r="128" spans="1:9" ht="15">
      <c r="A128" s="416" t="s">
        <v>398</v>
      </c>
      <c r="B128" s="306">
        <f>PGL_Requirements!H7/1000</f>
        <v>0</v>
      </c>
      <c r="C128" s="306" t="s">
        <v>9</v>
      </c>
      <c r="D128" s="304"/>
      <c r="E128" s="324"/>
      <c r="F128" s="416" t="s">
        <v>430</v>
      </c>
      <c r="G128" s="527"/>
      <c r="H128" s="308"/>
      <c r="I128" s="327"/>
    </row>
    <row r="129" spans="1:9" ht="15">
      <c r="A129" s="416" t="s">
        <v>409</v>
      </c>
      <c r="B129" s="306" t="e">
        <f>PGL_Requirements!#REF!/1000</f>
        <v>#REF!</v>
      </c>
      <c r="C129" s="304"/>
      <c r="D129" s="304"/>
      <c r="E129" s="324"/>
      <c r="F129" s="416" t="s">
        <v>431</v>
      </c>
      <c r="G129" s="527"/>
      <c r="H129" s="308"/>
      <c r="I129" s="327"/>
    </row>
    <row r="130" spans="1:9" ht="15">
      <c r="A130" s="416" t="s">
        <v>410</v>
      </c>
      <c r="B130" s="306">
        <f>PGL_Requirements!Z7/1000</f>
        <v>0</v>
      </c>
      <c r="C130" s="577"/>
      <c r="D130" s="304"/>
      <c r="E130" s="324"/>
      <c r="F130" s="416" t="s">
        <v>432</v>
      </c>
      <c r="G130" s="527"/>
      <c r="H130" s="308"/>
      <c r="I130" s="327"/>
    </row>
    <row r="131" spans="1:9" ht="15">
      <c r="A131" s="408" t="s">
        <v>103</v>
      </c>
      <c r="B131" s="315">
        <f>PGL_Supplies!Y7/1000</f>
        <v>10.425000000000001</v>
      </c>
      <c r="C131" s="304"/>
      <c r="D131" s="304"/>
      <c r="E131" s="324"/>
      <c r="F131" s="361" t="s">
        <v>433</v>
      </c>
      <c r="G131" s="527"/>
      <c r="H131" s="308"/>
      <c r="I131" s="327"/>
    </row>
    <row r="132" spans="1:9" ht="15.6" thickBot="1">
      <c r="A132" s="416" t="s">
        <v>361</v>
      </c>
      <c r="B132" s="315">
        <f>PGL_Supplies!T7/1000</f>
        <v>0</v>
      </c>
      <c r="C132" s="340"/>
      <c r="D132" s="340"/>
      <c r="E132" s="537"/>
      <c r="F132" s="416" t="s">
        <v>434</v>
      </c>
      <c r="G132" s="527"/>
      <c r="H132" s="308"/>
      <c r="I132" s="327"/>
    </row>
    <row r="133" spans="1:9" ht="16.2" thickBot="1">
      <c r="A133" s="542" t="s">
        <v>411</v>
      </c>
      <c r="B133" s="549" t="e">
        <f>B126+B127+B130+B131+B132-B125-B128-B129</f>
        <v>#REF!</v>
      </c>
      <c r="C133" s="514"/>
      <c r="D133" s="514"/>
      <c r="E133" s="504"/>
      <c r="F133" s="416" t="s">
        <v>435</v>
      </c>
      <c r="G133" s="527"/>
      <c r="H133" s="308"/>
      <c r="I133" s="327"/>
    </row>
    <row r="134" spans="1:9" ht="16.2" thickBot="1">
      <c r="A134" s="538" t="s">
        <v>9</v>
      </c>
      <c r="B134" s="539" t="s">
        <v>9</v>
      </c>
      <c r="C134" s="540" t="s">
        <v>66</v>
      </c>
      <c r="D134" s="541"/>
      <c r="E134" s="541" t="s">
        <v>9</v>
      </c>
      <c r="F134" s="529" t="s">
        <v>436</v>
      </c>
      <c r="G134" s="528"/>
      <c r="H134" s="308"/>
      <c r="I134" s="327"/>
    </row>
    <row r="135" spans="1:9" ht="15">
      <c r="A135" s="416" t="s">
        <v>398</v>
      </c>
      <c r="B135" s="132">
        <f>PGL_Requirements!I7</f>
        <v>0</v>
      </c>
      <c r="C135" s="8"/>
      <c r="D135" s="8"/>
      <c r="E135" s="8"/>
      <c r="F135" s="530" t="s">
        <v>437</v>
      </c>
      <c r="G135" s="528"/>
      <c r="H135" s="341"/>
      <c r="I135" s="327"/>
    </row>
    <row r="136" spans="1:9" ht="15">
      <c r="A136" s="416" t="s">
        <v>412</v>
      </c>
      <c r="B136" s="315">
        <f>NSG_Supplies!N7/1011</f>
        <v>0</v>
      </c>
      <c r="C136" s="304"/>
      <c r="D136" s="304"/>
      <c r="E136" s="304"/>
      <c r="F136" s="416" t="s">
        <v>438</v>
      </c>
      <c r="G136" s="527"/>
      <c r="H136" s="343"/>
      <c r="I136" s="327"/>
    </row>
    <row r="137" spans="1:9" ht="15">
      <c r="A137" s="416" t="s">
        <v>413</v>
      </c>
      <c r="B137" s="315">
        <f>PGL_Supplies!Z7/1000</f>
        <v>0</v>
      </c>
      <c r="C137" s="577"/>
      <c r="D137" s="304"/>
      <c r="E137" s="304"/>
      <c r="F137" s="416" t="s">
        <v>439</v>
      </c>
      <c r="G137" s="527"/>
      <c r="H137" s="308"/>
      <c r="I137" s="327"/>
    </row>
    <row r="138" spans="1:9" ht="15">
      <c r="A138" s="416" t="s">
        <v>414</v>
      </c>
      <c r="B138" s="132">
        <f>PGL_Requirements!C7</f>
        <v>0</v>
      </c>
      <c r="C138" s="304"/>
      <c r="D138" s="304"/>
      <c r="E138" s="304"/>
      <c r="F138" s="416" t="s">
        <v>371</v>
      </c>
      <c r="G138" s="527"/>
      <c r="H138" s="343"/>
      <c r="I138" s="327"/>
    </row>
    <row r="139" spans="1:9" ht="15">
      <c r="A139" s="416" t="s">
        <v>415</v>
      </c>
      <c r="B139" s="315">
        <f>PGL_Supplies!C7/1000</f>
        <v>0</v>
      </c>
      <c r="C139" s="304"/>
      <c r="D139" s="304"/>
      <c r="E139" s="304"/>
      <c r="F139" s="361" t="s">
        <v>440</v>
      </c>
      <c r="G139" s="531"/>
      <c r="H139" s="522"/>
      <c r="I139" s="327"/>
    </row>
    <row r="140" spans="1:9" ht="15.6" thickBot="1">
      <c r="A140" s="416" t="s">
        <v>361</v>
      </c>
      <c r="B140" s="315">
        <f>PGL_Supplies!U7/1000</f>
        <v>126.39100000000001</v>
      </c>
      <c r="C140" s="340"/>
      <c r="D140" s="340"/>
      <c r="E140" s="340"/>
      <c r="F140" s="361" t="s">
        <v>441</v>
      </c>
      <c r="G140" s="531"/>
      <c r="H140" s="533"/>
      <c r="I140" s="327"/>
    </row>
    <row r="141" spans="1:9" ht="16.2" thickBot="1">
      <c r="A141" s="542" t="s">
        <v>411</v>
      </c>
      <c r="B141" s="544">
        <f>-B135+B136+B137-B138+B139+B140</f>
        <v>126.39100000000001</v>
      </c>
      <c r="C141" s="545"/>
      <c r="D141" s="514"/>
      <c r="E141" s="515"/>
      <c r="F141" s="534" t="s">
        <v>209</v>
      </c>
      <c r="G141" s="535"/>
      <c r="H141" s="536"/>
      <c r="I141" s="327"/>
    </row>
    <row r="142" spans="1:9" ht="16.2" thickBot="1">
      <c r="A142" s="538" t="s">
        <v>9</v>
      </c>
      <c r="B142" s="543" t="s">
        <v>9</v>
      </c>
      <c r="C142" s="540" t="s">
        <v>57</v>
      </c>
      <c r="D142" s="541"/>
      <c r="E142" s="541"/>
      <c r="F142" s="511" t="s">
        <v>9</v>
      </c>
      <c r="G142" s="512" t="s">
        <v>442</v>
      </c>
      <c r="H142" s="512" t="s">
        <v>9</v>
      </c>
      <c r="I142" s="351"/>
    </row>
    <row r="143" spans="1:9" ht="15">
      <c r="A143" s="416" t="s">
        <v>69</v>
      </c>
      <c r="B143" s="315">
        <f>PGL_Requirements!O7/1000</f>
        <v>115.3</v>
      </c>
      <c r="C143" s="304"/>
      <c r="D143" s="304"/>
      <c r="E143" s="304"/>
      <c r="F143" s="551" t="s">
        <v>394</v>
      </c>
      <c r="G143" s="524"/>
      <c r="H143" s="546" t="s">
        <v>9</v>
      </c>
      <c r="I143" s="357">
        <f>NSG_Supplies!AB7/1000</f>
        <v>0</v>
      </c>
    </row>
    <row r="144" spans="1:9" ht="15">
      <c r="A144" s="416" t="s">
        <v>416</v>
      </c>
      <c r="B144" s="315">
        <f>PGL_Supplies!L7/1000</f>
        <v>0</v>
      </c>
      <c r="C144" s="304"/>
      <c r="D144" s="304"/>
      <c r="E144" s="304"/>
      <c r="F144" s="352" t="s">
        <v>443</v>
      </c>
      <c r="G144" s="304"/>
      <c r="H144" s="379" t="s">
        <v>9</v>
      </c>
      <c r="I144" s="357">
        <f>NSG_Supplies!N7/1000</f>
        <v>0</v>
      </c>
    </row>
    <row r="145" spans="1:9" ht="15.6" thickBot="1">
      <c r="A145" s="416" t="s">
        <v>417</v>
      </c>
      <c r="B145" s="315">
        <f>PGL_Requirements!B7/1000</f>
        <v>0</v>
      </c>
      <c r="C145" s="304"/>
      <c r="D145" s="304"/>
      <c r="E145" s="304"/>
      <c r="F145" s="520" t="s">
        <v>444</v>
      </c>
      <c r="G145" s="346"/>
      <c r="H145" s="509" t="s">
        <v>9</v>
      </c>
      <c r="I145" s="398"/>
    </row>
    <row r="146" spans="1:9" ht="15.6" thickBot="1">
      <c r="A146" s="416" t="s">
        <v>418</v>
      </c>
      <c r="B146" s="315">
        <f>PGL_Supplies!G7/1000</f>
        <v>0.20899999999999999</v>
      </c>
      <c r="C146" s="304"/>
      <c r="D146" s="304"/>
      <c r="E146" s="304"/>
      <c r="F146" s="548" t="s">
        <v>420</v>
      </c>
      <c r="G146" s="514"/>
      <c r="H146" s="549" t="s">
        <v>9</v>
      </c>
      <c r="I146" s="550" t="e">
        <f>PGL_Requirements!#REF!/1000</f>
        <v>#REF!</v>
      </c>
    </row>
    <row r="147" spans="1:9" ht="16.2" thickBot="1">
      <c r="A147" s="361" t="s">
        <v>395</v>
      </c>
      <c r="B147" s="315" t="s">
        <v>9</v>
      </c>
      <c r="C147" s="304"/>
      <c r="D147" s="304"/>
      <c r="E147" s="304"/>
      <c r="F147" s="349" t="s">
        <v>445</v>
      </c>
      <c r="G147" s="350"/>
      <c r="H147" s="350"/>
      <c r="I147" s="351"/>
    </row>
    <row r="148" spans="1:9" ht="15.6" thickBot="1">
      <c r="A148" s="416" t="s">
        <v>419</v>
      </c>
      <c r="B148" s="315">
        <f>PGL_Requirements!P7/1000</f>
        <v>1.7295</v>
      </c>
      <c r="C148" s="340"/>
      <c r="D148" s="340"/>
      <c r="E148" s="340"/>
      <c r="F148" s="525" t="s">
        <v>446</v>
      </c>
      <c r="G148" s="526"/>
      <c r="H148" s="552" t="s">
        <v>9</v>
      </c>
      <c r="I148" s="553">
        <f>+NSG_Supplies!Y7/1000</f>
        <v>0</v>
      </c>
    </row>
    <row r="149" spans="1:9" ht="16.2" thickBot="1">
      <c r="A149" s="501" t="s">
        <v>420</v>
      </c>
      <c r="B149" s="502">
        <f>B144+B146</f>
        <v>0.20899999999999999</v>
      </c>
      <c r="C149" s="503"/>
      <c r="D149" s="503"/>
      <c r="E149" s="504"/>
      <c r="F149" s="416" t="s">
        <v>9</v>
      </c>
      <c r="G149" s="527"/>
      <c r="H149" s="554" t="s">
        <v>9</v>
      </c>
      <c r="I149" s="555">
        <f>NSG_Supplies!Z7/1000</f>
        <v>0</v>
      </c>
    </row>
    <row r="150" spans="1:9" ht="15.6" thickBot="1">
      <c r="A150" s="416" t="s">
        <v>203</v>
      </c>
      <c r="B150" s="505">
        <f>PGL_Deliveries!AG5</f>
        <v>0</v>
      </c>
      <c r="C150" s="506"/>
      <c r="D150" s="506"/>
      <c r="E150" s="507"/>
      <c r="F150" s="548" t="s">
        <v>420</v>
      </c>
      <c r="G150" s="514"/>
      <c r="H150" s="549" t="s">
        <v>9</v>
      </c>
      <c r="I150" s="550" t="e">
        <f>PGL_Requirements!#REF!/1000</f>
        <v>#REF!</v>
      </c>
    </row>
    <row r="151" spans="1:9" ht="16.2" thickBot="1">
      <c r="A151" s="416" t="s">
        <v>201</v>
      </c>
      <c r="B151" s="505">
        <f>PGL_Deliveries!AI5</f>
        <v>0</v>
      </c>
      <c r="C151" s="368"/>
      <c r="D151" s="368"/>
      <c r="E151" s="368"/>
      <c r="F151" s="349" t="s">
        <v>389</v>
      </c>
      <c r="G151" s="350"/>
      <c r="H151" s="350"/>
      <c r="I151" s="351"/>
    </row>
    <row r="152" spans="1:9" ht="16.2" thickBot="1">
      <c r="A152" s="337" t="s">
        <v>9</v>
      </c>
      <c r="B152" s="318"/>
      <c r="C152" s="500" t="s">
        <v>35</v>
      </c>
      <c r="D152" s="338"/>
      <c r="E152" s="466" t="s">
        <v>9</v>
      </c>
      <c r="F152" s="525" t="s">
        <v>447</v>
      </c>
      <c r="G152" s="526"/>
      <c r="H152" s="557"/>
      <c r="I152" s="379">
        <f>PGL_Requirements!S7/1000</f>
        <v>0</v>
      </c>
    </row>
    <row r="153" spans="1:9" ht="15">
      <c r="A153" s="416" t="s">
        <v>421</v>
      </c>
      <c r="B153" s="379">
        <f>PGL_Requirements!M7/1000</f>
        <v>0</v>
      </c>
      <c r="C153" s="304"/>
      <c r="D153" s="304"/>
      <c r="E153" s="371"/>
      <c r="F153" s="521" t="s">
        <v>448</v>
      </c>
      <c r="G153" s="528"/>
      <c r="H153" s="523"/>
      <c r="I153" s="379">
        <f>PGL_Requirements!S7/1000</f>
        <v>0</v>
      </c>
    </row>
    <row r="154" spans="1:9" ht="15">
      <c r="A154" s="416" t="s">
        <v>422</v>
      </c>
      <c r="B154" s="315">
        <f>PGL_Supplies!AD7/1000</f>
        <v>0</v>
      </c>
      <c r="C154" s="372" t="s">
        <v>9</v>
      </c>
      <c r="D154" s="304"/>
      <c r="E154" s="373"/>
      <c r="F154" s="520" t="s">
        <v>449</v>
      </c>
      <c r="G154" s="527"/>
      <c r="H154" s="523"/>
      <c r="I154" s="315">
        <f>PGL_Supplies!AK7/1000</f>
        <v>0</v>
      </c>
    </row>
    <row r="155" spans="1:9" ht="15">
      <c r="A155" s="416" t="s">
        <v>423</v>
      </c>
      <c r="B155" s="379">
        <f>PGL_Requirements!E7/1000</f>
        <v>5.0279999999999996</v>
      </c>
      <c r="C155" s="372" t="s">
        <v>9</v>
      </c>
      <c r="D155" s="304"/>
      <c r="E155" s="373"/>
      <c r="F155" s="416" t="s">
        <v>103</v>
      </c>
      <c r="G155" s="556"/>
      <c r="H155" s="523"/>
      <c r="I155" s="315">
        <f>PGL_Supplies!AK8/1000</f>
        <v>0</v>
      </c>
    </row>
    <row r="156" spans="1:9" ht="15.6" thickBot="1">
      <c r="A156" s="416" t="s">
        <v>424</v>
      </c>
      <c r="B156" s="315">
        <f>PGL_Supplies!F7/1000</f>
        <v>0</v>
      </c>
      <c r="C156" s="380" t="s">
        <v>9</v>
      </c>
      <c r="D156" s="304"/>
      <c r="E156" s="373"/>
      <c r="F156" s="361" t="s">
        <v>361</v>
      </c>
      <c r="G156" s="556"/>
      <c r="H156" s="533"/>
      <c r="I156" s="315">
        <f>PGL_Supplies!AK9/1000</f>
        <v>0</v>
      </c>
    </row>
    <row r="157" spans="1:9" ht="15.6">
      <c r="A157" s="416" t="s">
        <v>425</v>
      </c>
      <c r="B157" s="379">
        <f>PGL_Requirements!S7/1000</f>
        <v>0</v>
      </c>
      <c r="C157" s="372" t="s">
        <v>9</v>
      </c>
      <c r="D157" s="304"/>
      <c r="E157" s="373"/>
      <c r="F157" s="558" t="s">
        <v>450</v>
      </c>
      <c r="G157" s="559"/>
      <c r="H157" s="557"/>
      <c r="I157" s="560">
        <v>0</v>
      </c>
    </row>
    <row r="158" spans="1:9" ht="15.6" thickBot="1">
      <c r="A158" s="416" t="s">
        <v>426</v>
      </c>
      <c r="B158" s="315">
        <f>PGL_Supplies!N7/1000</f>
        <v>0</v>
      </c>
      <c r="C158" s="380" t="s">
        <v>9</v>
      </c>
      <c r="D158" s="304"/>
      <c r="E158" s="474"/>
      <c r="F158" s="561" t="s">
        <v>451</v>
      </c>
      <c r="G158" s="383"/>
      <c r="H158" s="562"/>
      <c r="I158" s="563">
        <v>0</v>
      </c>
    </row>
    <row r="159" spans="1:9" ht="16.2" thickBot="1">
      <c r="A159" s="416" t="s">
        <v>103</v>
      </c>
      <c r="B159" s="315">
        <f>PGL_Supplies!AC7/1000</f>
        <v>5.0279999999999996</v>
      </c>
      <c r="C159" s="380" t="s">
        <v>9</v>
      </c>
      <c r="D159" s="304"/>
      <c r="E159" s="373"/>
      <c r="F159" s="511" t="s">
        <v>236</v>
      </c>
      <c r="G159" s="512"/>
      <c r="H159" s="513"/>
      <c r="I159" s="351"/>
    </row>
    <row r="160" spans="1:9" ht="15.6" thickBot="1">
      <c r="A160" s="416" t="s">
        <v>361</v>
      </c>
      <c r="B160" s="594">
        <f>PGL_Supplies!X7/1000</f>
        <v>69.284000000000006</v>
      </c>
      <c r="C160" s="510" t="s">
        <v>9</v>
      </c>
      <c r="D160" s="340"/>
      <c r="E160" s="508"/>
      <c r="F160" s="564" t="s">
        <v>452</v>
      </c>
      <c r="G160" s="524" t="s">
        <v>9</v>
      </c>
      <c r="H160" s="506"/>
      <c r="I160" s="569"/>
    </row>
    <row r="161" spans="1:9" ht="16.2" thickBot="1">
      <c r="A161" s="578" t="s">
        <v>427</v>
      </c>
      <c r="B161" s="596"/>
      <c r="C161" s="516" t="s">
        <v>9</v>
      </c>
      <c r="D161" s="517"/>
      <c r="E161" s="518"/>
      <c r="F161" s="547" t="s">
        <v>453</v>
      </c>
      <c r="G161" s="340"/>
      <c r="H161" s="567"/>
      <c r="I161" s="568" t="s">
        <v>9</v>
      </c>
    </row>
    <row r="162" spans="1:9" ht="16.2" thickBot="1">
      <c r="A162" s="390" t="s">
        <v>420</v>
      </c>
      <c r="B162" s="595">
        <f>B154+B156+B158+B159+B160-B153-B155-B157-B161</f>
        <v>69.284000000000006</v>
      </c>
      <c r="C162" s="391"/>
      <c r="D162" s="392"/>
      <c r="E162" s="519"/>
      <c r="F162" s="565" t="s">
        <v>240</v>
      </c>
      <c r="G162" s="514"/>
      <c r="H162" s="503"/>
      <c r="I162" s="566"/>
    </row>
    <row r="163" spans="1:9" ht="12" thickBot="1">
      <c r="A163" s="579"/>
      <c r="B163" s="580" t="s">
        <v>454</v>
      </c>
      <c r="C163" s="580"/>
      <c r="D163" s="580" t="s">
        <v>455</v>
      </c>
      <c r="E163" s="580"/>
      <c r="F163" s="580"/>
      <c r="G163" s="580"/>
      <c r="H163" s="581" t="s">
        <v>243</v>
      </c>
      <c r="I163" s="582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1" t="s">
        <v>244</v>
      </c>
      <c r="B2" s="191" t="s">
        <v>244</v>
      </c>
      <c r="C2" s="191" t="s">
        <v>244</v>
      </c>
      <c r="D2" s="191" t="s">
        <v>244</v>
      </c>
      <c r="E2" s="191" t="s">
        <v>244</v>
      </c>
      <c r="F2" s="191" t="s">
        <v>244</v>
      </c>
      <c r="G2" s="191" t="s">
        <v>244</v>
      </c>
      <c r="H2" s="191" t="s">
        <v>244</v>
      </c>
      <c r="I2" s="191" t="s">
        <v>244</v>
      </c>
      <c r="J2" s="6"/>
    </row>
    <row r="14" spans="1:10" ht="30">
      <c r="A14" s="191" t="s">
        <v>251</v>
      </c>
      <c r="B14" s="191" t="s">
        <v>251</v>
      </c>
      <c r="C14" s="191" t="s">
        <v>251</v>
      </c>
      <c r="D14" s="191" t="s">
        <v>251</v>
      </c>
      <c r="E14" s="191" t="s">
        <v>251</v>
      </c>
      <c r="F14" s="191" t="s">
        <v>251</v>
      </c>
      <c r="G14" s="191" t="s">
        <v>251</v>
      </c>
      <c r="H14" s="191" t="s">
        <v>251</v>
      </c>
      <c r="I14" s="191" t="s">
        <v>251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9</v>
      </c>
    </row>
    <row r="2" spans="1:10" ht="30">
      <c r="A2" s="191" t="s">
        <v>244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2" t="s">
        <v>245</v>
      </c>
      <c r="D5" s="122" t="s">
        <v>351</v>
      </c>
      <c r="F5" s="192" t="s">
        <v>246</v>
      </c>
      <c r="G5" s="122" t="s">
        <v>352</v>
      </c>
    </row>
    <row r="6" spans="1:10">
      <c r="D6" s="161" t="s">
        <v>247</v>
      </c>
      <c r="G6" s="161" t="s">
        <v>248</v>
      </c>
    </row>
    <row r="7" spans="1:10">
      <c r="D7" s="161" t="s">
        <v>248</v>
      </c>
    </row>
    <row r="8" spans="1:10">
      <c r="G8" s="122" t="s">
        <v>353</v>
      </c>
    </row>
    <row r="9" spans="1:10">
      <c r="D9" s="122" t="s">
        <v>355</v>
      </c>
      <c r="G9" s="122" t="s">
        <v>354</v>
      </c>
    </row>
    <row r="10" spans="1:10">
      <c r="D10" s="122" t="s">
        <v>356</v>
      </c>
    </row>
    <row r="11" spans="1:10" ht="15.6">
      <c r="D11" s="192" t="s">
        <v>249</v>
      </c>
    </row>
    <row r="12" spans="1:10" ht="15.6">
      <c r="D12" s="192" t="s">
        <v>250</v>
      </c>
    </row>
    <row r="14" spans="1:10" ht="30">
      <c r="A14" s="191" t="s">
        <v>251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252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253</v>
      </c>
      <c r="C17" s="190"/>
      <c r="D17" s="6"/>
      <c r="E17" s="6"/>
      <c r="F17" s="6"/>
      <c r="G17" s="6"/>
      <c r="H17" s="6"/>
      <c r="I17" s="6"/>
    </row>
    <row r="18" spans="2:9" ht="15.6">
      <c r="B18" s="190" t="s">
        <v>254</v>
      </c>
      <c r="C18" s="190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89" t="s">
        <v>360</v>
      </c>
      <c r="C20" s="188"/>
      <c r="D20" s="188"/>
      <c r="E20" s="188"/>
      <c r="F20" s="188"/>
      <c r="G20" s="188"/>
      <c r="H20" s="188"/>
      <c r="I20" s="187"/>
    </row>
    <row r="22" spans="2:9">
      <c r="B22" s="161" t="s">
        <v>255</v>
      </c>
      <c r="D22" s="163">
        <f ca="1">NOW()</f>
        <v>37148.45346099537</v>
      </c>
      <c r="F22" s="161" t="s">
        <v>256</v>
      </c>
      <c r="G22" s="186">
        <f ca="1">NOW()</f>
        <v>37148.45346099537</v>
      </c>
    </row>
    <row r="24" spans="2:9">
      <c r="B24" s="161" t="s">
        <v>257</v>
      </c>
      <c r="D24" s="221" t="s">
        <v>375</v>
      </c>
      <c r="E24" t="s">
        <v>9</v>
      </c>
      <c r="F24" s="161" t="s">
        <v>258</v>
      </c>
      <c r="G24" s="162" t="s">
        <v>259</v>
      </c>
    </row>
    <row r="25" spans="2:9" ht="15.6" thickBot="1"/>
    <row r="26" spans="2:9" ht="15.6" thickBot="1">
      <c r="B26" s="204" t="s">
        <v>9</v>
      </c>
      <c r="C26" s="161" t="s">
        <v>260</v>
      </c>
    </row>
    <row r="27" spans="2:9" ht="15.6" thickBot="1">
      <c r="B27" s="204" t="s">
        <v>9</v>
      </c>
      <c r="C27" s="161" t="s">
        <v>261</v>
      </c>
    </row>
    <row r="28" spans="2:9" ht="15.6" thickBot="1">
      <c r="B28" s="204" t="s">
        <v>376</v>
      </c>
      <c r="C28" s="122" t="s">
        <v>357</v>
      </c>
    </row>
    <row r="29" spans="2:9">
      <c r="B29" t="s">
        <v>9</v>
      </c>
      <c r="C29" s="161" t="s">
        <v>358</v>
      </c>
    </row>
    <row r="30" spans="2:9">
      <c r="C30" s="161" t="s">
        <v>9</v>
      </c>
    </row>
    <row r="32" spans="2:9">
      <c r="B32" s="161" t="s">
        <v>262</v>
      </c>
      <c r="E32" s="433">
        <v>35915</v>
      </c>
    </row>
    <row r="34" spans="2:8" ht="15.6">
      <c r="B34" s="161" t="s">
        <v>263</v>
      </c>
      <c r="E34" s="185">
        <v>0</v>
      </c>
      <c r="F34" t="s">
        <v>264</v>
      </c>
    </row>
    <row r="36" spans="2:8" ht="15.6">
      <c r="B36" s="161" t="s">
        <v>265</v>
      </c>
      <c r="E36" s="185">
        <v>0</v>
      </c>
      <c r="F36" t="s">
        <v>264</v>
      </c>
    </row>
    <row r="38" spans="2:8" ht="15.6">
      <c r="B38" t="s">
        <v>266</v>
      </c>
      <c r="E38" s="163">
        <f>+E32+1</f>
        <v>35916</v>
      </c>
      <c r="F38" s="185">
        <v>0</v>
      </c>
      <c r="G38" t="s">
        <v>264</v>
      </c>
    </row>
    <row r="39" spans="2:8" ht="15.6">
      <c r="E39" s="163">
        <f>+E38+1</f>
        <v>35917</v>
      </c>
      <c r="F39" s="185">
        <v>0</v>
      </c>
      <c r="G39" t="s">
        <v>264</v>
      </c>
    </row>
    <row r="40" spans="2:8" ht="15.6">
      <c r="E40" s="163">
        <f>+E39+1</f>
        <v>35918</v>
      </c>
      <c r="F40" s="185">
        <v>0</v>
      </c>
      <c r="G40" t="s">
        <v>264</v>
      </c>
    </row>
    <row r="41" spans="2:8" ht="15.6">
      <c r="E41" s="163">
        <f>+E40+1</f>
        <v>35919</v>
      </c>
      <c r="F41" s="185">
        <v>0</v>
      </c>
      <c r="G41" t="s">
        <v>264</v>
      </c>
    </row>
    <row r="42" spans="2:8" ht="15.6">
      <c r="E42" s="163">
        <f>+E41+1</f>
        <v>35920</v>
      </c>
      <c r="F42" s="185">
        <v>0</v>
      </c>
      <c r="G42" t="s">
        <v>264</v>
      </c>
    </row>
    <row r="44" spans="2:8">
      <c r="B44" s="161" t="s">
        <v>267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2" t="s">
        <v>268</v>
      </c>
      <c r="C47" s="182" t="s">
        <v>9</v>
      </c>
      <c r="D47" s="184"/>
    </row>
    <row r="48" spans="2:8">
      <c r="B48" s="183"/>
      <c r="C48" s="182" t="s">
        <v>9</v>
      </c>
      <c r="D48" s="184"/>
    </row>
    <row r="49" spans="2:4">
      <c r="B49" s="183"/>
      <c r="C49" s="428" t="s">
        <v>359</v>
      </c>
      <c r="D49" s="184"/>
    </row>
    <row r="50" spans="2:4">
      <c r="B50" s="183"/>
      <c r="C50" s="182" t="s">
        <v>269</v>
      </c>
    </row>
    <row r="51" spans="2:4">
      <c r="B51" s="183"/>
      <c r="C51" s="182" t="s">
        <v>270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271</v>
      </c>
      <c r="E4" s="88"/>
      <c r="F4" s="88" t="s">
        <v>272</v>
      </c>
      <c r="G4" s="88"/>
      <c r="H4" s="91"/>
      <c r="I4" s="90" t="s">
        <v>273</v>
      </c>
    </row>
    <row r="5" spans="1:109" ht="15">
      <c r="A5" s="18" t="str">
        <f>CHOOSE(WEEKDAY(B5),"Sunday","Monday","Tuesday","Wednesday","Thursday","Friday","Saturday")</f>
        <v>Thursday</v>
      </c>
      <c r="B5" s="21">
        <f>Weather_Input!A5</f>
        <v>37147</v>
      </c>
      <c r="C5" s="15"/>
      <c r="D5" s="22" t="s">
        <v>274</v>
      </c>
      <c r="E5" s="23">
        <f>Weather_Input!B5</f>
        <v>67</v>
      </c>
      <c r="F5" s="24" t="s">
        <v>275</v>
      </c>
      <c r="G5" s="25">
        <f>Weather_Input!H5</f>
        <v>2</v>
      </c>
      <c r="H5" s="26" t="s">
        <v>276</v>
      </c>
      <c r="I5" s="27">
        <f ca="1">G5-(VLOOKUP(B5,DD_Normal_Data,CELL("Col",B6),FALSE))</f>
        <v>-1</v>
      </c>
    </row>
    <row r="6" spans="1:109" ht="15">
      <c r="A6" s="18"/>
      <c r="B6" s="21"/>
      <c r="C6" s="15"/>
      <c r="D6" s="22" t="s">
        <v>161</v>
      </c>
      <c r="E6" s="23">
        <f>Weather_Input!C5</f>
        <v>55</v>
      </c>
      <c r="F6" s="24" t="s">
        <v>277</v>
      </c>
      <c r="G6" s="25">
        <f>Weather_Input!F5</f>
        <v>10</v>
      </c>
      <c r="H6" s="26" t="s">
        <v>278</v>
      </c>
      <c r="I6" s="27">
        <f ca="1">G6-(VLOOKUP(B5,DD_Normal_Data,CELL("Col",C7),FALSE))</f>
        <v>-14</v>
      </c>
      <c r="J6" s="28"/>
      <c r="DE6" s="14" t="s">
        <v>14</v>
      </c>
    </row>
    <row r="7" spans="1:109" ht="15">
      <c r="A7" s="18"/>
      <c r="B7" s="21"/>
      <c r="C7" s="15"/>
      <c r="D7" s="22" t="s">
        <v>279</v>
      </c>
      <c r="E7" s="29">
        <f>IF(Weather_Input!E5="N/A",(Weather_Input!C5+Weather_Input!B5)/2,Weather_Input!E5)</f>
        <v>59.9</v>
      </c>
      <c r="F7" s="24" t="s">
        <v>280</v>
      </c>
      <c r="G7" s="25">
        <f>Weather_Input!G5</f>
        <v>10</v>
      </c>
      <c r="H7" s="26" t="s">
        <v>280</v>
      </c>
      <c r="I7" s="120">
        <f ca="1">G7-(VLOOKUP(B5,DD_Normal_Data,CELL("Col",D4),FALSE))</f>
        <v>-22</v>
      </c>
      <c r="J7" s="120"/>
    </row>
    <row r="8" spans="1:109" ht="15">
      <c r="A8" s="18"/>
      <c r="B8" s="20"/>
      <c r="C8" s="15"/>
      <c r="D8" s="32" t="str">
        <f>IF(Weather_Input!I5=""," ",Weather_Input!I5)</f>
        <v xml:space="preserve">   RATHER CLOUDY, COOL AND BREEZY.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Friday</v>
      </c>
      <c r="B10" s="21">
        <f>Weather_Input!A6</f>
        <v>37148</v>
      </c>
      <c r="C10" s="15"/>
      <c r="D10" s="150" t="s">
        <v>274</v>
      </c>
      <c r="E10" s="23">
        <f>Weather_Input!B6</f>
        <v>67</v>
      </c>
      <c r="F10" s="24" t="s">
        <v>275</v>
      </c>
      <c r="G10" s="25">
        <f>IF(E12&lt;65,65-(Weather_Input!B6+Weather_Input!C6)/2,0)</f>
        <v>9</v>
      </c>
      <c r="H10" s="26" t="s">
        <v>276</v>
      </c>
      <c r="I10" s="27">
        <f ca="1">G10-(VLOOKUP(B10,DD_Normal_Data,CELL("Col",B11),FALSE))</f>
        <v>6</v>
      </c>
    </row>
    <row r="11" spans="1:109" ht="15">
      <c r="A11" s="18"/>
      <c r="B11" s="21"/>
      <c r="C11" s="15"/>
      <c r="D11" s="22" t="s">
        <v>161</v>
      </c>
      <c r="E11" s="23">
        <f>Weather_Input!C6</f>
        <v>45</v>
      </c>
      <c r="F11" s="24" t="s">
        <v>277</v>
      </c>
      <c r="G11" s="25">
        <f>IF(DAY(B10)=1,G10,G6+G10)</f>
        <v>19</v>
      </c>
      <c r="H11" s="30" t="s">
        <v>278</v>
      </c>
      <c r="I11" s="27">
        <f ca="1">G11-(VLOOKUP(B10,DD_Normal_Data,CELL("Col",C12),FALSE))</f>
        <v>-8</v>
      </c>
      <c r="DE11" s="14" t="s">
        <v>281</v>
      </c>
    </row>
    <row r="12" spans="1:109" ht="15">
      <c r="A12" s="18"/>
      <c r="B12" s="20"/>
      <c r="C12" s="15"/>
      <c r="D12" s="22" t="s">
        <v>279</v>
      </c>
      <c r="E12" s="23">
        <f>(Weather_Input!C6+Weather_Input!B6)/2</f>
        <v>56</v>
      </c>
      <c r="F12" s="24" t="s">
        <v>280</v>
      </c>
      <c r="G12" s="25">
        <f>IF(AND(DAY(B10)=1,MONTH(B10)=8),G10,G7+G10)</f>
        <v>19</v>
      </c>
      <c r="H12" s="26" t="s">
        <v>280</v>
      </c>
      <c r="I12" s="27">
        <f ca="1">G12-(VLOOKUP(B10,DD_Normal_Data,CELL("Col",D9),FALSE))</f>
        <v>-16</v>
      </c>
    </row>
    <row r="13" spans="1:109" ht="15">
      <c r="A13" s="18"/>
      <c r="B13" s="21"/>
      <c r="C13" s="15"/>
      <c r="D13" s="32" t="str">
        <f>IF(Weather_Input!I6=""," ",Weather_Input!I6)</f>
        <v xml:space="preserve">  TODAY - A GOOD DEAL OF SUNSHINE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 TONIGHT - CLEAR TO PARTLY CLOUDY.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Saturday</v>
      </c>
      <c r="B15" s="21">
        <f>Weather_Input!A7</f>
        <v>37149</v>
      </c>
      <c r="C15" s="15"/>
      <c r="D15" s="22" t="s">
        <v>274</v>
      </c>
      <c r="E15" s="23">
        <f>Weather_Input!B7</f>
        <v>67</v>
      </c>
      <c r="F15" s="24" t="s">
        <v>275</v>
      </c>
      <c r="G15" s="25">
        <f>IF(E17&lt;65,65-(Weather_Input!B7+Weather_Input!C7)/2,0)</f>
        <v>8</v>
      </c>
      <c r="H15" s="26" t="s">
        <v>276</v>
      </c>
      <c r="I15" s="27">
        <f ca="1">G15-(VLOOKUP(B15,DD_Normal_Data,CELL("Col",B16),FALSE))</f>
        <v>5</v>
      </c>
    </row>
    <row r="16" spans="1:109" ht="15">
      <c r="A16" s="18"/>
      <c r="B16" s="20"/>
      <c r="C16" s="15"/>
      <c r="D16" s="22" t="s">
        <v>161</v>
      </c>
      <c r="E16" s="23">
        <f>Weather_Input!C7</f>
        <v>47</v>
      </c>
      <c r="F16" s="24" t="s">
        <v>277</v>
      </c>
      <c r="G16" s="25">
        <f>IF(DAY(B15)=1,G15,G11+G15)</f>
        <v>27</v>
      </c>
      <c r="H16" s="30" t="s">
        <v>278</v>
      </c>
      <c r="I16" s="27">
        <f ca="1">G16-(VLOOKUP(B15,DD_Normal_Data,CELL("Col",C17),FALSE))</f>
        <v>-3</v>
      </c>
      <c r="DE16" s="14" t="s">
        <v>32</v>
      </c>
    </row>
    <row r="17" spans="1:109" ht="15">
      <c r="A17" s="18"/>
      <c r="B17" s="21"/>
      <c r="C17" s="15"/>
      <c r="D17" s="22" t="s">
        <v>279</v>
      </c>
      <c r="E17" s="23">
        <f>(Weather_Input!C7+Weather_Input!B7)/2</f>
        <v>57</v>
      </c>
      <c r="F17" s="24" t="s">
        <v>280</v>
      </c>
      <c r="G17" s="25">
        <f>IF(AND(DAY(B15)=1,MONTH(B15)=8),G15,G12+G15)</f>
        <v>27</v>
      </c>
      <c r="H17" s="26" t="s">
        <v>280</v>
      </c>
      <c r="I17" s="27">
        <f ca="1">G17-(VLOOKUP(B15,DD_Normal_Data,CELL("Col",D14),FALSE))</f>
        <v>-11</v>
      </c>
    </row>
    <row r="18" spans="1:109" ht="15">
      <c r="A18" s="18"/>
      <c r="B18" s="20"/>
      <c r="C18" s="15"/>
      <c r="D18" s="32" t="str">
        <f>IF(Weather_Input!I7=""," ",Weather_Input!I7)</f>
        <v xml:space="preserve">  PARTLY TO MOSTLY SUNNY IN THE MORNING 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 FOLLOWED BY THICKENING CLOUDS.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Sunday</v>
      </c>
      <c r="B20" s="21">
        <f>Weather_Input!A8</f>
        <v>37150</v>
      </c>
      <c r="C20" s="15"/>
      <c r="D20" s="22" t="s">
        <v>274</v>
      </c>
      <c r="E20" s="23">
        <f>Weather_Input!B8</f>
        <v>70</v>
      </c>
      <c r="F20" s="24" t="s">
        <v>275</v>
      </c>
      <c r="G20" s="25">
        <f>IF(E22&lt;65,65-(Weather_Input!B8+Weather_Input!C8)/2,0)</f>
        <v>4.5</v>
      </c>
      <c r="H20" s="26" t="s">
        <v>276</v>
      </c>
      <c r="I20" s="27">
        <f ca="1">G20-(VLOOKUP(B20,DD_Normal_Data,CELL("Col",B21),FALSE))</f>
        <v>1.5</v>
      </c>
    </row>
    <row r="21" spans="1:109" ht="15">
      <c r="A21" s="18"/>
      <c r="B21" s="21"/>
      <c r="C21" s="15"/>
      <c r="D21" s="22" t="s">
        <v>161</v>
      </c>
      <c r="E21" s="23">
        <f>Weather_Input!C8</f>
        <v>51</v>
      </c>
      <c r="F21" s="24" t="s">
        <v>277</v>
      </c>
      <c r="G21" s="25">
        <f>IF(DAY(B20)=1,G20,G16+G20)</f>
        <v>31.5</v>
      </c>
      <c r="H21" s="30" t="s">
        <v>278</v>
      </c>
      <c r="I21" s="27">
        <f ca="1">G21-(VLOOKUP(B20,DD_Normal_Data,CELL("Col",C22),FALSE))</f>
        <v>-1.5</v>
      </c>
      <c r="DE21" s="14" t="s">
        <v>282</v>
      </c>
    </row>
    <row r="22" spans="1:109" ht="15">
      <c r="A22" s="18"/>
      <c r="B22" s="21"/>
      <c r="C22" s="15"/>
      <c r="D22" s="22" t="s">
        <v>279</v>
      </c>
      <c r="E22" s="23">
        <f>(Weather_Input!C8+Weather_Input!B8)/2</f>
        <v>60.5</v>
      </c>
      <c r="F22" s="24" t="s">
        <v>280</v>
      </c>
      <c r="G22" s="25">
        <f>IF(AND(DAY(B20)=1,MONTH(B20)=8),G20,G17+G20)</f>
        <v>31.5</v>
      </c>
      <c r="H22" s="26" t="s">
        <v>280</v>
      </c>
      <c r="I22" s="27">
        <f ca="1">G22-(VLOOKUP(B20,DD_Normal_Data,CELL("Col",D19),FALSE))</f>
        <v>-9.5</v>
      </c>
    </row>
    <row r="23" spans="1:109" ht="15">
      <c r="A23" s="18"/>
      <c r="B23" s="21"/>
      <c r="C23" s="15"/>
      <c r="D23" s="32" t="str">
        <f>IF(Weather_Input!I8=""," ",Weather_Input!I8)</f>
        <v xml:space="preserve">  MAINLY CLOUDY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Monday</v>
      </c>
      <c r="B25" s="21">
        <f>Weather_Input!A9</f>
        <v>37151</v>
      </c>
      <c r="C25" s="15"/>
      <c r="D25" s="22" t="s">
        <v>274</v>
      </c>
      <c r="E25" s="23">
        <f>Weather_Input!B9</f>
        <v>74</v>
      </c>
      <c r="F25" s="24" t="s">
        <v>275</v>
      </c>
      <c r="G25" s="25">
        <f>IF(E27&lt;65,65-(Weather_Input!B9+Weather_Input!C9)/2,0)</f>
        <v>1.5</v>
      </c>
      <c r="H25" s="26" t="s">
        <v>276</v>
      </c>
      <c r="I25" s="27">
        <f ca="1">G25-(VLOOKUP(B25,DD_Normal_Data,CELL("Col",B26),FALSE))</f>
        <v>-2.5</v>
      </c>
    </row>
    <row r="26" spans="1:109" ht="15">
      <c r="A26" s="18"/>
      <c r="B26" s="21"/>
      <c r="C26" s="15"/>
      <c r="D26" s="22" t="s">
        <v>161</v>
      </c>
      <c r="E26" s="23">
        <f>Weather_Input!C9</f>
        <v>53</v>
      </c>
      <c r="F26" s="24" t="s">
        <v>277</v>
      </c>
      <c r="G26" s="25">
        <f>IF(DAY(B25)=1,G25,G21+G25)</f>
        <v>33</v>
      </c>
      <c r="H26" s="30" t="s">
        <v>278</v>
      </c>
      <c r="I26" s="27">
        <f ca="1">G26-(VLOOKUP(B25,DD_Normal_Data,CELL("Col",C27),FALSE))</f>
        <v>-4</v>
      </c>
      <c r="DE26" s="14" t="s">
        <v>283</v>
      </c>
    </row>
    <row r="27" spans="1:109" ht="15">
      <c r="A27" s="18"/>
      <c r="B27" s="20"/>
      <c r="C27" s="15"/>
      <c r="D27" s="22" t="s">
        <v>279</v>
      </c>
      <c r="E27" s="23">
        <f>(Weather_Input!C9+Weather_Input!B9)/2</f>
        <v>63.5</v>
      </c>
      <c r="F27" s="24" t="s">
        <v>280</v>
      </c>
      <c r="G27" s="25">
        <f>IF(AND(DAY(B25)=1,MONTH(B25)=8),G25,G22+G25)</f>
        <v>33</v>
      </c>
      <c r="H27" s="26" t="s">
        <v>280</v>
      </c>
      <c r="I27" s="27">
        <f ca="1">G27-(VLOOKUP(B25,DD_Normal_Data,CELL("Col",D24),FALSE))</f>
        <v>-12</v>
      </c>
    </row>
    <row r="28" spans="1:109" ht="15">
      <c r="A28" s="18"/>
      <c r="B28" s="20"/>
      <c r="C28" s="15"/>
      <c r="D28" s="32" t="str">
        <f>IF(Weather_Input!I9=""," ",Weather_Input!I9)</f>
        <v xml:space="preserve">  PARTLY SUNNY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Tuesday</v>
      </c>
      <c r="B30" s="21">
        <f>Weather_Input!A10</f>
        <v>37152</v>
      </c>
      <c r="C30" s="15"/>
      <c r="D30" s="22" t="s">
        <v>274</v>
      </c>
      <c r="E30" s="23">
        <f>Weather_Input!B10</f>
        <v>74</v>
      </c>
      <c r="F30" s="24" t="s">
        <v>275</v>
      </c>
      <c r="G30" s="25">
        <f>IF(E32&lt;65,65-(Weather_Input!B10+Weather_Input!C10)/2,0)</f>
        <v>0</v>
      </c>
      <c r="H30" s="26" t="s">
        <v>276</v>
      </c>
      <c r="I30" s="27">
        <f ca="1">G30-(VLOOKUP(B30,DD_Normal_Data,CELL("Col",B31),FALSE))</f>
        <v>-4</v>
      </c>
    </row>
    <row r="31" spans="1:109" ht="15">
      <c r="A31" s="15"/>
      <c r="B31" s="15"/>
      <c r="C31" s="15"/>
      <c r="D31" s="22" t="s">
        <v>161</v>
      </c>
      <c r="E31" s="23">
        <f>Weather_Input!C10</f>
        <v>60</v>
      </c>
      <c r="F31" s="24" t="s">
        <v>277</v>
      </c>
      <c r="G31" s="25">
        <f>IF(DAY(B30)=1,G30,G26+G30)</f>
        <v>33</v>
      </c>
      <c r="H31" s="30" t="s">
        <v>278</v>
      </c>
      <c r="I31" s="27">
        <f ca="1">G31-(VLOOKUP(B30,DD_Normal_Data,CELL("Col",C32),FALSE))</f>
        <v>-8</v>
      </c>
      <c r="DE31" s="14" t="s">
        <v>31</v>
      </c>
    </row>
    <row r="32" spans="1:109" ht="15">
      <c r="A32" s="15"/>
      <c r="B32" s="15"/>
      <c r="C32" s="15"/>
      <c r="D32" s="22" t="s">
        <v>279</v>
      </c>
      <c r="E32" s="23">
        <f>(Weather_Input!C10+Weather_Input!B10)/2</f>
        <v>67</v>
      </c>
      <c r="F32" s="24" t="s">
        <v>280</v>
      </c>
      <c r="G32" s="25">
        <f>IF(AND(DAY(B30)=1,MONTH(B30)=8),G30,G27+G30)</f>
        <v>33</v>
      </c>
      <c r="H32" s="26" t="s">
        <v>280</v>
      </c>
      <c r="I32" s="27">
        <f ca="1">G32-(VLOOKUP(B30,DD_Normal_Data,CELL("Col",D29),FALSE))</f>
        <v>-16</v>
      </c>
    </row>
    <row r="33" spans="1:9" ht="15">
      <c r="A33" s="15"/>
      <c r="B33" s="34"/>
      <c r="C33" s="15"/>
      <c r="D33" s="32" t="str">
        <f>IF(Weather_Input!I10=""," ",Weather_Input!I10)</f>
        <v xml:space="preserve">  MOSTLY CLOUDY; IT MAY SHOWER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284</v>
      </c>
      <c r="B35" s="18" t="s">
        <v>151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37147</v>
      </c>
      <c r="C36" s="89">
        <f>B10</f>
        <v>37148</v>
      </c>
      <c r="D36" s="89">
        <f>B15</f>
        <v>37149</v>
      </c>
      <c r="E36" s="89">
        <f xml:space="preserve">       B20</f>
        <v>37150</v>
      </c>
      <c r="F36" s="89">
        <f>B25</f>
        <v>37151</v>
      </c>
      <c r="G36" s="89">
        <f>B30</f>
        <v>37152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205</v>
      </c>
      <c r="C37" s="41">
        <f ca="1">(VLOOKUP(C36,PGL_Sendouts,(CELL("COL",PGL_Deliveries!C7))))/1000</f>
        <v>220</v>
      </c>
      <c r="D37" s="41">
        <f ca="1">(VLOOKUP(D36,PGL_Sendouts,(CELL("COL",PGL_Deliveries!C8))))/1000</f>
        <v>200</v>
      </c>
      <c r="E37" s="41">
        <f ca="1">(VLOOKUP(E36,PGL_Sendouts,(CELL("COL",PGL_Deliveries!C9))))/1000</f>
        <v>205</v>
      </c>
      <c r="F37" s="41">
        <f ca="1">(VLOOKUP(F36,PGL_Sendouts,(CELL("COL",PGL_Deliveries!C10))))/1000</f>
        <v>195</v>
      </c>
      <c r="G37" s="41">
        <f ca="1">(VLOOKUP(G36,PGL_Sendouts,(CELL("COL",PGL_Deliveries!C10))))/1000</f>
        <v>190</v>
      </c>
      <c r="H37" s="14"/>
      <c r="I37" s="15"/>
    </row>
    <row r="38" spans="1:9" ht="15">
      <c r="A38" s="15" t="s">
        <v>285</v>
      </c>
      <c r="B38" s="41">
        <f>PGL_6_Day_Report!D25</f>
        <v>342.6345</v>
      </c>
      <c r="C38" s="41">
        <f>PGL_6_Day_Report!E25</f>
        <v>350.40000000000003</v>
      </c>
      <c r="D38" s="41">
        <f>PGL_6_Day_Report!F25</f>
        <v>345.85300000000007</v>
      </c>
      <c r="E38" s="41">
        <f>PGL_6_Day_Report!G25</f>
        <v>350.85300000000007</v>
      </c>
      <c r="F38" s="41">
        <f>PGL_6_Day_Report!H25</f>
        <v>340.85300000000007</v>
      </c>
      <c r="G38" s="41">
        <f>PGL_6_Day_Report!I25</f>
        <v>335.85300000000007</v>
      </c>
      <c r="H38" s="14"/>
      <c r="I38" s="15"/>
    </row>
    <row r="39" spans="1:9" ht="15">
      <c r="A39" s="42" t="s">
        <v>103</v>
      </c>
      <c r="B39" s="41">
        <f>SUM(PGL_Supplies!Y7:AD7)/1000</f>
        <v>246.62700000000001</v>
      </c>
      <c r="C39" s="41">
        <f>SUM(PGL_Supplies!Y8:AD8)/1000</f>
        <v>205.06</v>
      </c>
      <c r="D39" s="41">
        <f>SUM(PGL_Supplies!Y9:AD9)/1000</f>
        <v>205.06</v>
      </c>
      <c r="E39" s="41">
        <f>SUM(PGL_Supplies!Y10:AD10)/1000</f>
        <v>205.06</v>
      </c>
      <c r="F39" s="41">
        <f>SUM(PGL_Supplies!Y11:AD11)/1000</f>
        <v>205.06</v>
      </c>
      <c r="G39" s="41">
        <f>SUM(PGL_Supplies!Y12:AD12)/1000</f>
        <v>205.06</v>
      </c>
      <c r="H39" s="14"/>
      <c r="I39" s="15"/>
    </row>
    <row r="40" spans="1:9" ht="15">
      <c r="A40" s="42" t="s">
        <v>286</v>
      </c>
      <c r="B40" s="41">
        <f>(PGL_Supplies!M7+PGL_Supplies!N7+PGL_Supplies!O7+PGL_Supplies!P7+PGL_Supplies!Q7)/1000</f>
        <v>0</v>
      </c>
      <c r="C40" s="41">
        <v>0</v>
      </c>
      <c r="D40" s="41">
        <v>0</v>
      </c>
      <c r="E40" s="41">
        <v>0</v>
      </c>
      <c r="F40" s="41">
        <v>0</v>
      </c>
      <c r="G40" s="41">
        <v>0</v>
      </c>
      <c r="H40" s="14"/>
      <c r="I40" s="15"/>
    </row>
    <row r="41" spans="1:9" ht="15">
      <c r="A41" s="45" t="s">
        <v>287</v>
      </c>
      <c r="B41" s="41">
        <f>SUM(PGL_Requirements!Q7:T7)/1000</f>
        <v>11.065</v>
      </c>
      <c r="C41" s="41">
        <f>SUM(PGL_Requirements!Q7:T7)/1000</f>
        <v>11.065</v>
      </c>
      <c r="D41" s="41">
        <f>SUM(PGL_Requirements!Q7:T7)/1000</f>
        <v>11.065</v>
      </c>
      <c r="E41" s="41">
        <f>SUM(PGL_Requirements!Q7:T7)/1000</f>
        <v>11.065</v>
      </c>
      <c r="F41" s="41">
        <f>SUM(PGL_Requirements!Q7:T7)/1000</f>
        <v>11.065</v>
      </c>
      <c r="G41" s="41">
        <f>SUM(PGL_Requirements!Q7:T7)/1000</f>
        <v>11.065</v>
      </c>
      <c r="H41" s="14"/>
      <c r="I41" s="15"/>
    </row>
    <row r="42" spans="1:9" ht="15">
      <c r="A42" s="15" t="s">
        <v>126</v>
      </c>
      <c r="B42" s="41">
        <f>PGL_Supplies!U7/1000</f>
        <v>126.39100000000001</v>
      </c>
      <c r="C42" s="41">
        <f>PGL_Supplies!U8/1000</f>
        <v>125.459</v>
      </c>
      <c r="D42" s="41">
        <f>PGL_Supplies!U9/1000</f>
        <v>125.459</v>
      </c>
      <c r="E42" s="41">
        <f>PGL_Supplies!U10/1000</f>
        <v>125.459</v>
      </c>
      <c r="F42" s="41">
        <f>PGL_Supplies!U11/1000</f>
        <v>125.459</v>
      </c>
      <c r="G42" s="41">
        <f>PGL_Supplies!U12/1000</f>
        <v>125.459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80</v>
      </c>
      <c r="B44" s="89">
        <f t="shared" ref="B44:G44" si="0">B36</f>
        <v>37147</v>
      </c>
      <c r="C44" s="89">
        <f t="shared" si="0"/>
        <v>37148</v>
      </c>
      <c r="D44" s="89">
        <f t="shared" si="0"/>
        <v>37149</v>
      </c>
      <c r="E44" s="89">
        <f t="shared" si="0"/>
        <v>37150</v>
      </c>
      <c r="F44" s="89">
        <f t="shared" si="0"/>
        <v>37151</v>
      </c>
      <c r="G44" s="89">
        <f t="shared" si="0"/>
        <v>37152</v>
      </c>
      <c r="H44" s="14"/>
      <c r="I44" s="15"/>
    </row>
    <row r="45" spans="1:9" ht="15">
      <c r="A45" s="15" t="s">
        <v>54</v>
      </c>
      <c r="B45" s="41">
        <f ca="1">NSG_6_Day_Report!D6</f>
        <v>39.700000000000003</v>
      </c>
      <c r="C45" s="41">
        <f ca="1">NSG_6_Day_Report!E6</f>
        <v>45</v>
      </c>
      <c r="D45" s="41">
        <f ca="1">NSG_6_Day_Report!F6</f>
        <v>40</v>
      </c>
      <c r="E45" s="41">
        <f ca="1">NSG_6_Day_Report!G6</f>
        <v>37</v>
      </c>
      <c r="F45" s="41">
        <f ca="1">NSG_6_Day_Report!H6</f>
        <v>35</v>
      </c>
      <c r="G45" s="41">
        <f ca="1">NSG_6_Day_Report!I6</f>
        <v>34</v>
      </c>
      <c r="H45" s="14"/>
      <c r="I45" s="15"/>
    </row>
    <row r="46" spans="1:9" ht="15">
      <c r="A46" s="42" t="s">
        <v>285</v>
      </c>
      <c r="B46" s="41">
        <f ca="1">NSG_6_Day_Report!D11</f>
        <v>47.605000000000004</v>
      </c>
      <c r="C46" s="41">
        <f ca="1">NSG_6_Day_Report!E11</f>
        <v>46.5</v>
      </c>
      <c r="D46" s="41">
        <f ca="1">NSG_6_Day_Report!F11</f>
        <v>40</v>
      </c>
      <c r="E46" s="41">
        <f ca="1">NSG_6_Day_Report!G11</f>
        <v>37</v>
      </c>
      <c r="F46" s="41">
        <f ca="1">NSG_6_Day_Report!H11</f>
        <v>35</v>
      </c>
      <c r="G46" s="41">
        <f ca="1">NSG_6_Day_Report!I11</f>
        <v>34</v>
      </c>
      <c r="H46" s="14"/>
      <c r="I46" s="15"/>
    </row>
    <row r="47" spans="1:9" ht="15">
      <c r="A47" s="42" t="s">
        <v>103</v>
      </c>
      <c r="B47" s="41">
        <f>SUM(NSG_Supplies!O7:Q7)/1000</f>
        <v>46.499000000000002</v>
      </c>
      <c r="C47" s="41">
        <f>SUM(NSG_Supplies!O8:Q8)/1000</f>
        <v>46.499000000000002</v>
      </c>
      <c r="D47" s="41">
        <f>SUM(NSG_Supplies!O9:Q9)/1000</f>
        <v>46.499000000000002</v>
      </c>
      <c r="E47" s="41">
        <f>SUM(NSG_Supplies!O10:Q10)/1000</f>
        <v>46.499000000000002</v>
      </c>
      <c r="F47" s="41">
        <f>SUM(NSG_Supplies!O11:Q11)/1000</f>
        <v>46.499000000000002</v>
      </c>
      <c r="G47" s="41">
        <f>SUM(NSG_Supplies!O12:Q12)/1000</f>
        <v>46.499000000000002</v>
      </c>
      <c r="H47" s="14"/>
      <c r="I47" s="15"/>
    </row>
    <row r="48" spans="1:9" ht="15">
      <c r="A48" s="42" t="s">
        <v>286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287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126</v>
      </c>
      <c r="B50" s="41">
        <f>NSG_Supplies!R7/1000</f>
        <v>16.641999999999999</v>
      </c>
      <c r="C50" s="41">
        <f>NSG_Supplies!R8/1000</f>
        <v>16.641999999999999</v>
      </c>
      <c r="D50" s="41">
        <f>NSG_Supplies!R9/1000</f>
        <v>16.641999999999999</v>
      </c>
      <c r="E50" s="41">
        <f>NSG_Supplies!R10/1000</f>
        <v>16.641999999999999</v>
      </c>
      <c r="F50" s="41">
        <f>NSG_Supplies!R11/1000</f>
        <v>16.641999999999999</v>
      </c>
      <c r="G50" s="41">
        <f>NSG_Supplies!R12/1000</f>
        <v>16.641999999999999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288</v>
      </c>
      <c r="B52" s="89">
        <f t="shared" ref="B52:G52" si="1">B36</f>
        <v>37147</v>
      </c>
      <c r="C52" s="89">
        <f t="shared" si="1"/>
        <v>37148</v>
      </c>
      <c r="D52" s="89">
        <f t="shared" si="1"/>
        <v>37149</v>
      </c>
      <c r="E52" s="89">
        <f t="shared" si="1"/>
        <v>37150</v>
      </c>
      <c r="F52" s="89">
        <f t="shared" si="1"/>
        <v>37151</v>
      </c>
      <c r="G52" s="89">
        <f t="shared" si="1"/>
        <v>37152</v>
      </c>
      <c r="H52" s="14"/>
      <c r="I52" s="15"/>
    </row>
    <row r="53" spans="1:9" ht="15">
      <c r="A53" s="92" t="s">
        <v>289</v>
      </c>
      <c r="B53" s="41">
        <f>PGL_Requirements!O7/1000</f>
        <v>115.3</v>
      </c>
      <c r="C53" s="41">
        <f>PGL_Requirements!O8/1000</f>
        <v>120</v>
      </c>
      <c r="D53" s="41">
        <f>PGL_Requirements!O9/1000</f>
        <v>120</v>
      </c>
      <c r="E53" s="41">
        <f>PGL_Requirements!O10/1000</f>
        <v>120</v>
      </c>
      <c r="F53" s="41">
        <f>PGL_Requirements!O11/1000</f>
        <v>120</v>
      </c>
      <c r="G53" s="41">
        <f>PGL_Requirements!O12/1000</f>
        <v>120</v>
      </c>
      <c r="H53" s="14"/>
      <c r="I53" s="15"/>
    </row>
    <row r="54" spans="1:9" ht="15">
      <c r="A54" s="15" t="s">
        <v>290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03" t="s">
        <v>648</v>
      </c>
    </row>
    <row r="57" spans="1:9">
      <c r="A57" s="155" t="s">
        <v>291</v>
      </c>
    </row>
    <row r="58" spans="1:9">
      <c r="A58" s="155" t="s">
        <v>292</v>
      </c>
      <c r="G58" s="156"/>
    </row>
    <row r="59" spans="1:9">
      <c r="A59" s="155" t="s">
        <v>293</v>
      </c>
    </row>
    <row r="60" spans="1:9">
      <c r="A60" s="155" t="s">
        <v>294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43" t="s">
        <v>9</v>
      </c>
      <c r="B1" s="95"/>
      <c r="C1" s="95" t="s">
        <v>9</v>
      </c>
      <c r="D1" s="95"/>
      <c r="E1" s="95"/>
      <c r="F1" s="6"/>
    </row>
    <row r="2" spans="1:8" ht="15.6">
      <c r="A2" t="s">
        <v>9</v>
      </c>
      <c r="C2" s="94"/>
      <c r="D2" s="94"/>
      <c r="E2" s="94"/>
      <c r="F2" s="1026"/>
    </row>
    <row r="3" spans="1:8" ht="16.2" thickBot="1">
      <c r="A3" s="96" t="s">
        <v>295</v>
      </c>
    </row>
    <row r="4" spans="1:8">
      <c r="A4" s="97"/>
      <c r="B4" s="1027" t="str">
        <f>Six_Day_Summary!A10</f>
        <v>Friday</v>
      </c>
      <c r="C4" s="1028" t="str">
        <f>Six_Day_Summary!A15</f>
        <v>Saturday</v>
      </c>
      <c r="D4" s="1028" t="str">
        <f>Six_Day_Summary!A20</f>
        <v>Sunday</v>
      </c>
      <c r="E4" s="1028" t="str">
        <f>Six_Day_Summary!A25</f>
        <v>Monday</v>
      </c>
      <c r="F4" s="1029" t="str">
        <f>Six_Day_Summary!A30</f>
        <v>Tuesday</v>
      </c>
      <c r="G4" s="98"/>
    </row>
    <row r="5" spans="1:8">
      <c r="A5" s="101" t="s">
        <v>296</v>
      </c>
      <c r="B5" s="1030">
        <f>Weather_Input!A6</f>
        <v>37148</v>
      </c>
      <c r="C5" s="1031">
        <f>Weather_Input!A7</f>
        <v>37149</v>
      </c>
      <c r="D5" s="1031">
        <f>Weather_Input!A8</f>
        <v>37150</v>
      </c>
      <c r="E5" s="1031">
        <f>Weather_Input!A9</f>
        <v>37151</v>
      </c>
      <c r="F5" s="1032">
        <f>Weather_Input!A10</f>
        <v>37152</v>
      </c>
      <c r="G5" s="98"/>
    </row>
    <row r="6" spans="1:8">
      <c r="A6" s="98" t="s">
        <v>297</v>
      </c>
      <c r="B6" s="1033">
        <f>PGL_Supplies!AB8/1000+PGL_Supplies!K8/1000-PGL_Requirements!N8/1000-PGL_Requirements!S8/1000+B8</f>
        <v>-0.53599999999999959</v>
      </c>
      <c r="C6" s="1033">
        <f>PGL_Supplies!AB9/1000+PGL_Supplies!K9/1000-PGL_Requirements!N9/1000+C15-PGL_Requirements!S9/1000</f>
        <v>-2.8559999999999999</v>
      </c>
      <c r="D6" s="1033">
        <f>PGL_Supplies!AB10/1000+PGL_Supplies!K10/1000-PGL_Requirements!N10/1000+D15-PGL_Requirements!S10/1000</f>
        <v>-2.8559999999999999</v>
      </c>
      <c r="E6" s="1033">
        <f>PGL_Supplies!AB11/1000+PGL_Supplies!K11/1000-PGL_Requirements!N11/1000+E15-PGL_Requirements!S11/1000</f>
        <v>-2.8559999999999999</v>
      </c>
      <c r="F6" s="1034">
        <f>PGL_Supplies!AB12/1000+PGL_Supplies!K12/1000-PGL_Requirements!N12/1000+F15-PGL_Requirements!S12/1000</f>
        <v>-2.8559999999999999</v>
      </c>
      <c r="G6" s="98"/>
      <c r="H6" t="s">
        <v>9</v>
      </c>
    </row>
    <row r="7" spans="1:8">
      <c r="A7" s="98" t="s">
        <v>298</v>
      </c>
      <c r="B7" s="1033">
        <f>PGL_Supplies!M8/1000</f>
        <v>0</v>
      </c>
      <c r="C7" s="1033">
        <f>PGL_Supplies!M9/1000</f>
        <v>0</v>
      </c>
      <c r="D7" s="1033">
        <f>PGL_Supplies!M10/1000</f>
        <v>0</v>
      </c>
      <c r="E7" s="1033">
        <f>PGL_Supplies!M11/1000</f>
        <v>0</v>
      </c>
      <c r="F7" s="1035">
        <f>PGL_Supplies!M12/1000</f>
        <v>0</v>
      </c>
      <c r="G7" s="98"/>
    </row>
    <row r="8" spans="1:8">
      <c r="A8" s="98" t="s">
        <v>299</v>
      </c>
      <c r="B8" s="1033">
        <v>0</v>
      </c>
      <c r="C8" s="1033">
        <v>0</v>
      </c>
      <c r="D8" s="1033">
        <v>0</v>
      </c>
      <c r="E8" s="1033">
        <v>0</v>
      </c>
      <c r="F8" s="1035">
        <v>0</v>
      </c>
      <c r="G8" s="98"/>
    </row>
    <row r="9" spans="1:8">
      <c r="A9" s="98" t="s">
        <v>300</v>
      </c>
      <c r="B9" s="1033">
        <v>0</v>
      </c>
      <c r="C9" s="1033">
        <v>0</v>
      </c>
      <c r="D9" s="1033">
        <v>0</v>
      </c>
      <c r="E9" s="1033">
        <v>0</v>
      </c>
      <c r="F9" s="1035">
        <v>0</v>
      </c>
      <c r="G9" s="98"/>
    </row>
    <row r="10" spans="1:8">
      <c r="A10" s="99"/>
      <c r="B10" s="1036"/>
      <c r="C10" s="1036"/>
      <c r="D10" s="1036"/>
      <c r="E10" s="1036"/>
      <c r="F10" s="1037"/>
      <c r="G10" s="98"/>
    </row>
    <row r="11" spans="1:8">
      <c r="A11" s="98" t="s">
        <v>301</v>
      </c>
      <c r="B11" s="1033">
        <v>0</v>
      </c>
      <c r="C11" s="1033">
        <v>0</v>
      </c>
      <c r="D11" s="1033">
        <v>0</v>
      </c>
      <c r="E11" s="1033">
        <v>0</v>
      </c>
      <c r="F11" s="1035">
        <v>0</v>
      </c>
      <c r="G11" s="98"/>
      <c r="H11" s="119" t="s">
        <v>9</v>
      </c>
    </row>
    <row r="12" spans="1:8">
      <c r="A12" s="98" t="s">
        <v>302</v>
      </c>
      <c r="B12" s="1033">
        <f>PGL_Requirements!R8/1000</f>
        <v>0</v>
      </c>
      <c r="C12" s="1033">
        <f>PGL_Requirements!R9/1000</f>
        <v>0</v>
      </c>
      <c r="D12" s="1033">
        <f>PGL_Requirements!R10/1000</f>
        <v>0</v>
      </c>
      <c r="E12" s="1033">
        <f>PGL_Requirements!R11/1000</f>
        <v>0</v>
      </c>
      <c r="F12" s="1035">
        <f>PGL_Requirements!R12/1000</f>
        <v>0</v>
      </c>
      <c r="G12" s="98"/>
    </row>
    <row r="13" spans="1:8">
      <c r="A13" s="98" t="s">
        <v>303</v>
      </c>
      <c r="B13" s="1033">
        <v>0</v>
      </c>
      <c r="C13" s="1033">
        <v>0</v>
      </c>
      <c r="D13" s="1033">
        <v>0</v>
      </c>
      <c r="E13" s="1033">
        <v>0</v>
      </c>
      <c r="F13" s="1035">
        <v>0</v>
      </c>
      <c r="G13" s="98"/>
    </row>
    <row r="14" spans="1:8">
      <c r="A14" s="98" t="s">
        <v>174</v>
      </c>
      <c r="B14" s="1033">
        <v>0</v>
      </c>
      <c r="C14" s="1039"/>
      <c r="D14" s="1039"/>
      <c r="E14" s="1039"/>
      <c r="F14" s="1035"/>
      <c r="G14" s="98"/>
    </row>
    <row r="15" spans="1:8">
      <c r="A15" s="98" t="s">
        <v>634</v>
      </c>
      <c r="B15" s="1038">
        <v>0</v>
      </c>
      <c r="C15" s="1038">
        <v>0</v>
      </c>
      <c r="D15" s="1038">
        <v>0</v>
      </c>
      <c r="E15" s="1038">
        <v>0</v>
      </c>
      <c r="F15" s="1066">
        <v>0</v>
      </c>
      <c r="G15" s="119"/>
    </row>
    <row r="16" spans="1:8">
      <c r="A16" s="98" t="s">
        <v>304</v>
      </c>
      <c r="B16" s="1038">
        <v>0</v>
      </c>
      <c r="C16" s="1039"/>
      <c r="D16" s="1039"/>
      <c r="E16" s="1039"/>
      <c r="F16" s="1035"/>
      <c r="G16" s="98"/>
    </row>
    <row r="17" spans="1:7" ht="15.6" thickBot="1">
      <c r="A17" s="100" t="s">
        <v>685</v>
      </c>
      <c r="B17" s="1040">
        <v>0</v>
      </c>
      <c r="C17" s="1041"/>
      <c r="D17" s="1041"/>
      <c r="E17" s="1041"/>
      <c r="F17" s="1042"/>
      <c r="G17" s="98"/>
    </row>
    <row r="20" spans="1:7" ht="16.2" thickBot="1">
      <c r="A20" s="104" t="s">
        <v>305</v>
      </c>
      <c r="B20" s="103"/>
      <c r="C20" s="103"/>
      <c r="D20" s="103"/>
      <c r="E20" s="103"/>
      <c r="F20" s="103"/>
    </row>
    <row r="21" spans="1:7">
      <c r="A21" s="97"/>
      <c r="B21" s="1043" t="str">
        <f t="shared" ref="B21:F22" si="0">B4</f>
        <v>Friday</v>
      </c>
      <c r="C21" s="1043" t="str">
        <f t="shared" si="0"/>
        <v>Saturday</v>
      </c>
      <c r="D21" s="1043" t="str">
        <f t="shared" si="0"/>
        <v>Sunday</v>
      </c>
      <c r="E21" s="1043" t="str">
        <f t="shared" si="0"/>
        <v>Monday</v>
      </c>
      <c r="F21" s="1044" t="str">
        <f t="shared" si="0"/>
        <v>Tuesday</v>
      </c>
      <c r="G21" s="98"/>
    </row>
    <row r="22" spans="1:7">
      <c r="A22" s="105" t="s">
        <v>296</v>
      </c>
      <c r="B22" s="1045">
        <f t="shared" si="0"/>
        <v>37148</v>
      </c>
      <c r="C22" s="1045">
        <f t="shared" si="0"/>
        <v>37149</v>
      </c>
      <c r="D22" s="1045">
        <f t="shared" si="0"/>
        <v>37150</v>
      </c>
      <c r="E22" s="1045">
        <f t="shared" si="0"/>
        <v>37151</v>
      </c>
      <c r="F22" s="1046">
        <f t="shared" si="0"/>
        <v>37152</v>
      </c>
      <c r="G22" s="98"/>
    </row>
    <row r="23" spans="1:7">
      <c r="A23" s="98" t="s">
        <v>297</v>
      </c>
      <c r="B23" s="1039">
        <f>NSG_Supplies!Q8/1000+NSG_Supplies!F8/1000-NSG_Requirements!H8/1000</f>
        <v>26.498999999999999</v>
      </c>
      <c r="C23" s="1039">
        <f>NSG_Supplies!Q9/1000+NSG_Supplies!F9/1000-NSG_Requirements!H9/1000</f>
        <v>26.498999999999999</v>
      </c>
      <c r="D23" s="1039">
        <f>NSG_Supplies!Q10/1000+NSG_Supplies!F10/1000-NSG_Requirements!H10/1000</f>
        <v>26.498999999999999</v>
      </c>
      <c r="E23" s="1039">
        <f>NSG_Supplies!Q12/1000+NSG_Supplies!F11/1000-NSG_Requirements!H11/1000</f>
        <v>26.498999999999999</v>
      </c>
      <c r="F23" s="1034">
        <f>NSG_Supplies!Q12/1000+NSG_Supplies!F12/1000-NSG_Requirements!H12/1000</f>
        <v>26.498999999999999</v>
      </c>
      <c r="G23" s="98"/>
    </row>
    <row r="24" spans="1:7">
      <c r="A24" s="98" t="s">
        <v>306</v>
      </c>
      <c r="B24" s="1039">
        <f>NSG_Supplies!G8/1000</f>
        <v>0</v>
      </c>
      <c r="C24" s="1039">
        <f>NSG_Supplies!G9/1000</f>
        <v>0</v>
      </c>
      <c r="D24" s="1039">
        <f>NSG_Supplies!G10/1000</f>
        <v>0</v>
      </c>
      <c r="E24" s="1039">
        <f>NSG_Supplies!G11/1000</f>
        <v>0</v>
      </c>
      <c r="F24" s="1035">
        <f>NSG_Supplies!G12/1000</f>
        <v>0</v>
      </c>
      <c r="G24" s="98"/>
    </row>
    <row r="25" spans="1:7">
      <c r="A25" s="98" t="s">
        <v>298</v>
      </c>
      <c r="B25" s="1039">
        <f>NSG_Supplies!H8/1000</f>
        <v>0</v>
      </c>
      <c r="C25" s="1039">
        <f>NSG_Supplies!H9/1000</f>
        <v>0</v>
      </c>
      <c r="D25" s="1039">
        <f>NSG_Supplies!H10/1000</f>
        <v>0</v>
      </c>
      <c r="E25" s="1039">
        <f>NSG_Supplies!H11/1000</f>
        <v>0</v>
      </c>
      <c r="F25" s="1035">
        <f>NSG_Supplies!H12/1000</f>
        <v>0</v>
      </c>
      <c r="G25" s="98"/>
    </row>
    <row r="26" spans="1:7">
      <c r="A26" s="102" t="s">
        <v>299</v>
      </c>
      <c r="B26" s="1039">
        <f>NSG_Supplies!I8/1000</f>
        <v>0</v>
      </c>
      <c r="C26" s="1039">
        <f>NSG_Supplies!I9/1000</f>
        <v>0</v>
      </c>
      <c r="D26" s="1039">
        <f>NSG_Supplies!I10/1000</f>
        <v>0</v>
      </c>
      <c r="E26" s="1039">
        <f>NSG_Supplies!I11/1000</f>
        <v>0</v>
      </c>
      <c r="F26" s="1035">
        <f>NSG_Supplies!I12/1000</f>
        <v>0</v>
      </c>
      <c r="G26" s="98"/>
    </row>
    <row r="27" spans="1:7">
      <c r="A27" s="98" t="s">
        <v>300</v>
      </c>
      <c r="B27" s="1039">
        <f>NSG_Supplies!J8/1000</f>
        <v>0</v>
      </c>
      <c r="C27" s="1039">
        <f>NSG_Supplies!J9/1000</f>
        <v>0</v>
      </c>
      <c r="D27" s="1039">
        <f>NSG_Supplies!J10/1000</f>
        <v>0</v>
      </c>
      <c r="E27" s="1039">
        <f>NSG_Supplies!J11/1000</f>
        <v>0</v>
      </c>
      <c r="F27" s="1035">
        <f>NSG_Supplies!J12/1000</f>
        <v>0</v>
      </c>
      <c r="G27" s="98"/>
    </row>
    <row r="28" spans="1:7">
      <c r="A28" s="98" t="s">
        <v>307</v>
      </c>
      <c r="B28" s="1039" t="s">
        <v>9</v>
      </c>
      <c r="C28" s="1039"/>
      <c r="D28" s="1039"/>
      <c r="E28" s="1039"/>
      <c r="F28" s="1035"/>
      <c r="G28" s="98"/>
    </row>
    <row r="29" spans="1:7">
      <c r="A29" s="99"/>
      <c r="B29" s="1036"/>
      <c r="C29" s="1036"/>
      <c r="D29" s="1036"/>
      <c r="E29" s="1036"/>
      <c r="F29" s="1037"/>
      <c r="G29" s="98"/>
    </row>
    <row r="30" spans="1:7">
      <c r="A30" s="98" t="s">
        <v>301</v>
      </c>
      <c r="B30" s="1039">
        <f>NSG_Requirements!P8/1000</f>
        <v>0</v>
      </c>
      <c r="C30" s="1039">
        <f>NSG_Requirements!P9/1000</f>
        <v>0</v>
      </c>
      <c r="D30" s="1039">
        <f>NSG_Requirements!P10/1000</f>
        <v>0</v>
      </c>
      <c r="E30" s="1039">
        <f>NSG_Requirements!P11/1000</f>
        <v>0</v>
      </c>
      <c r="F30" s="1035">
        <f>NSG_Supplies!J12/1000</f>
        <v>0</v>
      </c>
      <c r="G30" s="98"/>
    </row>
    <row r="31" spans="1:7">
      <c r="A31" s="98" t="s">
        <v>302</v>
      </c>
      <c r="B31" s="1039">
        <f>NSG_Requirements!R8/1000</f>
        <v>0</v>
      </c>
      <c r="C31" s="1039">
        <f>NSG_Requirements!R9/1000</f>
        <v>0</v>
      </c>
      <c r="D31" s="1039">
        <f>NSG_Requirements!R10/1000</f>
        <v>0</v>
      </c>
      <c r="E31" s="1039">
        <f>NSG_Requirements!R11/1000</f>
        <v>0</v>
      </c>
      <c r="F31" s="1035">
        <f>NSG_Supplies!L12/1000</f>
        <v>0</v>
      </c>
      <c r="G31" s="98"/>
    </row>
    <row r="32" spans="1:7">
      <c r="A32" s="98" t="s">
        <v>303</v>
      </c>
      <c r="B32" s="1039">
        <f>NSG_Requirements!Q8/1000</f>
        <v>0</v>
      </c>
      <c r="C32" s="1039">
        <f>NSG_Requirements!Q9/1000</f>
        <v>0</v>
      </c>
      <c r="D32" s="1039">
        <f>NSG_Requirements!Q10/1000</f>
        <v>0</v>
      </c>
      <c r="E32" s="1039">
        <f>NSG_Requirements!Q11/1000</f>
        <v>0</v>
      </c>
      <c r="F32" s="1035">
        <f>NSG_Requirements!Q12/1000</f>
        <v>0</v>
      </c>
      <c r="G32" s="98"/>
    </row>
    <row r="33" spans="1:7" ht="15.6" thickBot="1">
      <c r="A33" s="100" t="s">
        <v>308</v>
      </c>
      <c r="B33" s="1041">
        <f>NSG_Requirements!L8/1000</f>
        <v>0</v>
      </c>
      <c r="C33" s="1041">
        <f>NSG_Requirements!L9/1000</f>
        <v>0</v>
      </c>
      <c r="D33" s="1041">
        <f>NSG_Requirements!L10/1000</f>
        <v>0</v>
      </c>
      <c r="E33" s="1041">
        <f>NSG_Requirements!L11/1000</f>
        <v>0</v>
      </c>
      <c r="F33" s="1042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>
      <selection sqref="A1:I33"/>
    </sheetView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38"/>
      <c r="B1" s="1227" t="s">
        <v>763</v>
      </c>
      <c r="C1" s="1228">
        <f>Weather_Input!A6</f>
        <v>37148</v>
      </c>
      <c r="D1" s="1229" t="s">
        <v>764</v>
      </c>
      <c r="E1" s="1230"/>
      <c r="F1" s="1231"/>
      <c r="G1" s="421"/>
      <c r="H1" s="421"/>
      <c r="I1" s="984" t="s">
        <v>9</v>
      </c>
    </row>
    <row r="2" spans="1:11" ht="15.75" customHeight="1" thickBot="1">
      <c r="A2" s="424"/>
      <c r="B2" s="1232" t="s">
        <v>765</v>
      </c>
      <c r="E2" s="158"/>
      <c r="I2" s="158"/>
    </row>
    <row r="3" spans="1:11" ht="15.75" customHeight="1" thickTop="1">
      <c r="B3" s="169" t="s">
        <v>103</v>
      </c>
      <c r="C3" s="1233">
        <f>NSG_Supplies!P8/1000</f>
        <v>20</v>
      </c>
      <c r="E3" s="158"/>
      <c r="F3" s="1234" t="s">
        <v>154</v>
      </c>
      <c r="G3" s="764"/>
      <c r="H3" s="1235" t="s">
        <v>766</v>
      </c>
      <c r="I3" s="1236" t="s">
        <v>767</v>
      </c>
    </row>
    <row r="4" spans="1:11" ht="15.75" customHeight="1" thickBot="1">
      <c r="A4" t="s">
        <v>9</v>
      </c>
      <c r="B4" s="169" t="str">
        <f>IF(C5&gt;C3,"No-Notice withdraw","No-Notice injection")</f>
        <v>No-Notice injection</v>
      </c>
      <c r="C4" s="1024">
        <f>NSG_Supplies!E8/1000</f>
        <v>0</v>
      </c>
      <c r="D4" s="132">
        <f>NSG_Requirements!J8/1000</f>
        <v>1.5</v>
      </c>
      <c r="E4" s="1237"/>
      <c r="F4" s="169" t="s">
        <v>768</v>
      </c>
      <c r="G4" s="60"/>
      <c r="H4" s="151">
        <f>PGL_Requirements!O8/1000</f>
        <v>120</v>
      </c>
      <c r="I4" s="173">
        <f>AVERAGE(H4/1.025)</f>
        <v>117.07317073170732</v>
      </c>
      <c r="J4" t="s">
        <v>9</v>
      </c>
    </row>
    <row r="5" spans="1:11" ht="15.75" customHeight="1" thickTop="1" thickBot="1">
      <c r="B5" s="1238" t="s">
        <v>769</v>
      </c>
      <c r="C5" s="1239">
        <f>C3+C4-D4</f>
        <v>18.5</v>
      </c>
      <c r="D5" s="427"/>
      <c r="E5" s="1240">
        <f>AVERAGE(C5/24)</f>
        <v>0.77083333333333337</v>
      </c>
      <c r="F5" s="167" t="s">
        <v>416</v>
      </c>
      <c r="G5" s="205">
        <f>PGL_Supplies!L8/1000</f>
        <v>0</v>
      </c>
      <c r="H5" s="165"/>
      <c r="I5" s="1241">
        <f>AVERAGE(G5/1.025)</f>
        <v>0</v>
      </c>
      <c r="K5" t="s">
        <v>9</v>
      </c>
    </row>
    <row r="6" spans="1:11" ht="15.75" customHeight="1" thickTop="1" thickBot="1">
      <c r="B6" s="1242" t="s">
        <v>770</v>
      </c>
      <c r="C6" s="1243"/>
      <c r="D6" s="119"/>
      <c r="E6" s="1244"/>
      <c r="F6" t="s">
        <v>771</v>
      </c>
      <c r="G6" s="1243">
        <f>AVERAGE(H4/24)</f>
        <v>5</v>
      </c>
      <c r="H6" s="421"/>
      <c r="I6" s="984"/>
    </row>
    <row r="7" spans="1:11" ht="15.75" customHeight="1">
      <c r="B7" s="169" t="s">
        <v>772</v>
      </c>
      <c r="C7" s="151">
        <f>NSG_Supplies!K8/1000</f>
        <v>0</v>
      </c>
      <c r="D7" s="60"/>
      <c r="E7" s="1245"/>
      <c r="F7" s="1232" t="s">
        <v>773</v>
      </c>
      <c r="G7" s="1246"/>
      <c r="H7" s="60"/>
      <c r="I7" s="158"/>
    </row>
    <row r="8" spans="1:11" ht="15.75" customHeight="1">
      <c r="B8" s="169" t="s">
        <v>491</v>
      </c>
      <c r="C8" s="151">
        <f>PGL_Requirements!V8/1000</f>
        <v>0</v>
      </c>
      <c r="D8" s="60"/>
      <c r="E8" s="1245"/>
      <c r="F8" s="169" t="s">
        <v>774</v>
      </c>
      <c r="G8" s="151">
        <f>PGL_Supplies!S8/1000</f>
        <v>10</v>
      </c>
      <c r="H8" s="60"/>
      <c r="I8" s="158"/>
    </row>
    <row r="9" spans="1:11" ht="15.75" customHeight="1" thickBot="1">
      <c r="B9" s="169" t="s">
        <v>775</v>
      </c>
      <c r="C9" s="151">
        <f>NSG_Requirements!B8/1000</f>
        <v>0</v>
      </c>
      <c r="D9" s="60"/>
      <c r="E9" s="1245"/>
      <c r="F9" s="1" t="s">
        <v>776</v>
      </c>
      <c r="G9" s="151">
        <f>PGL_Supplies!T8/1000</f>
        <v>0</v>
      </c>
      <c r="I9" s="158"/>
    </row>
    <row r="10" spans="1:11" ht="15.75" customHeight="1" thickTop="1" thickBot="1">
      <c r="B10" s="1238" t="s">
        <v>777</v>
      </c>
      <c r="C10" s="1239">
        <f>C7+C8-C9</f>
        <v>0</v>
      </c>
      <c r="D10" s="427"/>
      <c r="E10" s="1240">
        <f>AVERAGE(C10/24)</f>
        <v>0</v>
      </c>
      <c r="F10" s="169" t="s">
        <v>413</v>
      </c>
      <c r="G10" s="151">
        <f>PGL_Supplies!AA8/1000</f>
        <v>184.46299999999999</v>
      </c>
      <c r="H10" s="151" t="s">
        <v>9</v>
      </c>
      <c r="I10" s="158"/>
    </row>
    <row r="11" spans="1:11" ht="15.75" customHeight="1" thickTop="1">
      <c r="A11" t="s">
        <v>9</v>
      </c>
      <c r="B11" s="1247" t="s">
        <v>661</v>
      </c>
      <c r="C11" s="151">
        <f>PGL_Supplies!X8/1000</f>
        <v>104.023</v>
      </c>
      <c r="D11" s="764"/>
      <c r="E11" s="1248"/>
      <c r="F11" s="1249" t="s">
        <v>778</v>
      </c>
      <c r="G11" s="1250">
        <f>G8+G10</f>
        <v>194.46299999999999</v>
      </c>
      <c r="H11" s="425"/>
      <c r="I11" s="426"/>
    </row>
    <row r="12" spans="1:11" ht="15.75" customHeight="1">
      <c r="B12" s="240" t="s">
        <v>779</v>
      </c>
      <c r="C12" s="151">
        <v>0</v>
      </c>
      <c r="D12" s="119"/>
      <c r="E12" s="158"/>
      <c r="F12" s="170" t="s">
        <v>780</v>
      </c>
      <c r="G12" s="151">
        <f>PGL_Supplies!D8/1000</f>
        <v>0</v>
      </c>
      <c r="H12" s="60"/>
      <c r="I12" s="1245"/>
    </row>
    <row r="13" spans="1:11" ht="15.75" customHeight="1" thickBot="1">
      <c r="B13" s="240" t="s">
        <v>662</v>
      </c>
      <c r="C13" s="119"/>
      <c r="D13" s="151">
        <f>PGL_Requirements!I8/1000</f>
        <v>0</v>
      </c>
      <c r="E13" s="158"/>
      <c r="F13" s="170" t="s">
        <v>781</v>
      </c>
      <c r="G13" s="60"/>
      <c r="H13" s="151">
        <f>PGL_Requirements!D8/1000</f>
        <v>0</v>
      </c>
      <c r="I13" s="158"/>
    </row>
    <row r="14" spans="1:11" ht="15.75" customHeight="1" thickTop="1" thickBot="1">
      <c r="B14" s="1251" t="s">
        <v>782</v>
      </c>
      <c r="C14" s="1239">
        <f>C11-D13-C12</f>
        <v>104.023</v>
      </c>
      <c r="D14" s="427"/>
      <c r="E14" s="1240">
        <f>AVERAGE(C14/24)</f>
        <v>4.3342916666666662</v>
      </c>
      <c r="F14" s="1252" t="s">
        <v>783</v>
      </c>
      <c r="G14" s="1239">
        <v>0</v>
      </c>
      <c r="H14" s="427"/>
      <c r="I14" s="1240">
        <f>AVERAGE(G14/24)</f>
        <v>0</v>
      </c>
    </row>
    <row r="15" spans="1:11" ht="15.75" customHeight="1" thickTop="1" thickBot="1">
      <c r="B15" s="169" t="s">
        <v>784</v>
      </c>
      <c r="C15" s="151">
        <f>PGL_Supplies!Y8/1000</f>
        <v>10.425000000000001</v>
      </c>
      <c r="D15" s="60"/>
      <c r="E15" s="158"/>
      <c r="F15" s="1252" t="s">
        <v>785</v>
      </c>
      <c r="G15" s="1250">
        <f>SUM(G11)-G16-G17-H13</f>
        <v>194.46299999999999</v>
      </c>
      <c r="H15" s="427" t="s">
        <v>9</v>
      </c>
      <c r="I15" s="1240">
        <f>AVERAGE(G15/24)</f>
        <v>8.1026249999999997</v>
      </c>
    </row>
    <row r="16" spans="1:11" ht="15.75" customHeight="1" thickTop="1" thickBot="1">
      <c r="B16" s="169" t="str">
        <f>IF(C17&gt;C15,"No-Notice withdraw","No-Notice injection")</f>
        <v>No-Notice injection</v>
      </c>
      <c r="C16" s="151">
        <f>PGL_Supplies!P8/1000</f>
        <v>0</v>
      </c>
      <c r="D16" s="151">
        <f>PGL_Requirements!T8/1000</f>
        <v>0</v>
      </c>
      <c r="E16" s="158"/>
      <c r="F16" s="1252" t="s">
        <v>786</v>
      </c>
      <c r="G16" s="1239">
        <f>PGL_Requirements!G8/1000</f>
        <v>0</v>
      </c>
      <c r="H16" s="1239" t="s">
        <v>9</v>
      </c>
      <c r="I16" s="1240">
        <f>AVERAGE(G16/24)</f>
        <v>0</v>
      </c>
    </row>
    <row r="17" spans="1:9" ht="15.75" customHeight="1" thickTop="1" thickBot="1">
      <c r="B17" s="1249" t="s">
        <v>778</v>
      </c>
      <c r="C17" s="1250">
        <f>SUM(C15:C16)-SUM(D15:D16)</f>
        <v>10.425000000000001</v>
      </c>
      <c r="D17" s="425"/>
      <c r="E17" s="426"/>
      <c r="F17" s="1253" t="s">
        <v>787</v>
      </c>
      <c r="G17" s="1239">
        <f>PGL_Requirements!J8/1000</f>
        <v>0</v>
      </c>
      <c r="H17" s="1254"/>
      <c r="I17" s="1255">
        <f>AVERAGE(G17/24)</f>
        <v>0</v>
      </c>
    </row>
    <row r="18" spans="1:9" ht="15.75" customHeight="1">
      <c r="B18" s="1256"/>
      <c r="C18" s="1257"/>
      <c r="D18" s="612"/>
      <c r="E18" s="1258"/>
      <c r="F18" s="1259" t="s">
        <v>788</v>
      </c>
      <c r="G18" s="60" t="s">
        <v>9</v>
      </c>
      <c r="H18" s="60"/>
      <c r="I18" s="158"/>
    </row>
    <row r="19" spans="1:9" ht="15.75" customHeight="1" thickBot="1">
      <c r="B19" s="1256"/>
      <c r="C19" s="612"/>
      <c r="D19" s="1257"/>
      <c r="E19" s="1258"/>
      <c r="F19" s="167" t="s">
        <v>789</v>
      </c>
      <c r="G19" s="165"/>
      <c r="H19" s="205">
        <v>0</v>
      </c>
      <c r="I19" s="429"/>
    </row>
    <row r="20" spans="1:9" ht="15.75" customHeight="1" thickTop="1" thickBot="1">
      <c r="B20" s="1238" t="s">
        <v>790</v>
      </c>
      <c r="C20" s="1239">
        <f>C17+C18-D19</f>
        <v>10.425000000000001</v>
      </c>
      <c r="D20" s="1260" t="s">
        <v>9</v>
      </c>
      <c r="E20" s="1240">
        <f>AVERAGE(C20/24)</f>
        <v>0.43437500000000001</v>
      </c>
      <c r="F20" s="1261" t="s">
        <v>168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791</v>
      </c>
      <c r="C21" s="151">
        <f>PGL_Supplies!Z8/1000</f>
        <v>0</v>
      </c>
      <c r="D21" s="151" t="s">
        <v>9</v>
      </c>
      <c r="E21" s="158"/>
      <c r="F21" s="169" t="s">
        <v>103</v>
      </c>
      <c r="G21" s="151">
        <f>PGL_Supplies!AC8/1000</f>
        <v>5.0279999999999996</v>
      </c>
      <c r="H21" s="151" t="s">
        <v>9</v>
      </c>
      <c r="I21" s="158"/>
    </row>
    <row r="22" spans="1:9" ht="15.75" customHeight="1">
      <c r="B22" s="1249" t="s">
        <v>778</v>
      </c>
      <c r="C22" s="1250">
        <f>SUM(C21:C21)-SUM(D21)</f>
        <v>0</v>
      </c>
      <c r="D22" s="425"/>
      <c r="E22" s="426"/>
      <c r="F22" s="1249" t="s">
        <v>778</v>
      </c>
      <c r="G22" s="1250">
        <f>G21</f>
        <v>5.0279999999999996</v>
      </c>
      <c r="H22" s="425"/>
      <c r="I22" s="426"/>
    </row>
    <row r="23" spans="1:9" ht="15.75" customHeight="1">
      <c r="B23" s="169" t="s">
        <v>792</v>
      </c>
      <c r="C23" s="151">
        <f>PGL_Supplies!C8/1000</f>
        <v>0</v>
      </c>
      <c r="D23" s="60"/>
      <c r="E23" s="158"/>
      <c r="F23" s="169" t="s">
        <v>793</v>
      </c>
      <c r="G23" s="151">
        <f>PGL_Supplies!F8/1000</f>
        <v>25</v>
      </c>
      <c r="H23" s="60"/>
      <c r="I23" s="158"/>
    </row>
    <row r="24" spans="1:9" ht="15.75" customHeight="1" thickBot="1">
      <c r="B24" s="169" t="s">
        <v>794</v>
      </c>
      <c r="C24" s="60">
        <v>0</v>
      </c>
      <c r="D24" s="151">
        <f>PGL_Requirements!C8/1000</f>
        <v>0</v>
      </c>
      <c r="E24" s="158"/>
      <c r="F24" s="169" t="s">
        <v>795</v>
      </c>
      <c r="G24" s="60"/>
      <c r="H24" s="151">
        <f>PGL_Requirements!E8/1000</f>
        <v>0</v>
      </c>
      <c r="I24" s="158"/>
    </row>
    <row r="25" spans="1:9" ht="15.75" customHeight="1" thickTop="1" thickBot="1">
      <c r="B25" s="1238" t="s">
        <v>796</v>
      </c>
      <c r="C25" s="1239">
        <f>C22+C23-D24</f>
        <v>0</v>
      </c>
      <c r="D25" s="427"/>
      <c r="E25" s="1240">
        <f>AVERAGE(C25/24)</f>
        <v>0</v>
      </c>
      <c r="F25" s="534" t="s">
        <v>797</v>
      </c>
      <c r="G25" s="866">
        <f>G22+G23-H24+G20</f>
        <v>30.027999999999999</v>
      </c>
      <c r="H25" s="421"/>
      <c r="I25" s="1262">
        <f>AVERAGE(G25/24)</f>
        <v>1.2511666666666665</v>
      </c>
    </row>
    <row r="26" spans="1:9" ht="15.75" customHeight="1" thickTop="1">
      <c r="B26" t="s">
        <v>798</v>
      </c>
    </row>
    <row r="27" spans="1:9" ht="15.75" customHeight="1">
      <c r="B27" t="s">
        <v>799</v>
      </c>
    </row>
    <row r="28" spans="1:9" ht="15.75" customHeight="1">
      <c r="A28" t="s">
        <v>9</v>
      </c>
      <c r="B28" s="1" t="s">
        <v>815</v>
      </c>
      <c r="C28" s="193" t="s">
        <v>816</v>
      </c>
      <c r="D28" s="193" t="s">
        <v>817</v>
      </c>
      <c r="E28" t="s">
        <v>818</v>
      </c>
      <c r="F28" s="103"/>
    </row>
    <row r="29" spans="1:9" ht="15.75" customHeight="1">
      <c r="B29" s="1" t="s">
        <v>819</v>
      </c>
      <c r="C29" s="193" t="s">
        <v>816</v>
      </c>
      <c r="D29" s="193" t="s">
        <v>817</v>
      </c>
      <c r="E29" t="s">
        <v>818</v>
      </c>
      <c r="F29" s="425"/>
    </row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574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952" customWidth="1"/>
    <col min="2" max="2" width="8.08984375" style="952" customWidth="1"/>
    <col min="3" max="3" width="7.90625" style="952" customWidth="1"/>
    <col min="4" max="4" width="5.90625" style="952" customWidth="1"/>
    <col min="5" max="5" width="4.453125" style="952" customWidth="1"/>
    <col min="6" max="6" width="5.1796875" style="952" customWidth="1"/>
    <col min="7" max="7" width="9" style="952" customWidth="1"/>
    <col min="8" max="11" width="8.90625" style="952"/>
    <col min="12" max="12" width="14.90625" style="952" customWidth="1"/>
    <col min="13" max="13" width="5.6328125" style="952" customWidth="1"/>
    <col min="14" max="16384" width="8.90625" style="952"/>
  </cols>
  <sheetData>
    <row r="1" spans="1:22" ht="20.399999999999999">
      <c r="A1" s="894"/>
      <c r="B1" s="890"/>
      <c r="C1" s="901" t="s">
        <v>578</v>
      </c>
      <c r="D1" s="898"/>
      <c r="E1" s="898" t="s">
        <v>579</v>
      </c>
      <c r="F1" s="898"/>
      <c r="G1" s="950" t="s">
        <v>309</v>
      </c>
      <c r="H1" s="951">
        <f>Weather_Input!A6</f>
        <v>37148</v>
      </c>
      <c r="I1" s="887"/>
      <c r="J1" s="889"/>
      <c r="K1" s="889"/>
    </row>
    <row r="2" spans="1:22" ht="16.5" customHeight="1">
      <c r="A2" s="907" t="s">
        <v>606</v>
      </c>
      <c r="C2" s="953">
        <v>300</v>
      </c>
      <c r="F2" s="954">
        <v>300</v>
      </c>
      <c r="H2" s="889"/>
      <c r="I2" s="887" t="s">
        <v>608</v>
      </c>
      <c r="J2" s="909">
        <f>NSG_Supplies!P8/1000</f>
        <v>20</v>
      </c>
    </row>
    <row r="3" spans="1:22" ht="16.5" customHeight="1">
      <c r="A3" s="955">
        <f>PGL_Supplies!I8/1000</f>
        <v>0</v>
      </c>
      <c r="C3" s="952" t="s">
        <v>9</v>
      </c>
      <c r="G3" s="887"/>
      <c r="H3" s="889"/>
    </row>
    <row r="4" spans="1:22" ht="16.5" customHeight="1">
      <c r="A4" s="897" t="s">
        <v>580</v>
      </c>
      <c r="G4" s="915"/>
      <c r="H4" s="889"/>
      <c r="I4" s="887"/>
      <c r="J4" s="887" t="s">
        <v>604</v>
      </c>
      <c r="K4" s="909">
        <f>Billy_Sheet!C5</f>
        <v>18.5</v>
      </c>
      <c r="N4" s="909"/>
    </row>
    <row r="5" spans="1:22" ht="16.5" customHeight="1">
      <c r="A5" s="956">
        <f>PGL_Supplies!J7/1000</f>
        <v>0</v>
      </c>
      <c r="B5" s="957"/>
      <c r="G5" s="890"/>
      <c r="H5" s="909"/>
      <c r="U5" s="889"/>
      <c r="V5" s="889"/>
    </row>
    <row r="6" spans="1:22" ht="16.5" customHeight="1">
      <c r="A6" s="896" t="s">
        <v>576</v>
      </c>
      <c r="G6" s="890"/>
      <c r="H6" s="909"/>
      <c r="U6" s="889"/>
      <c r="V6" s="909"/>
    </row>
    <row r="7" spans="1:22" ht="18.75" customHeight="1">
      <c r="A7" s="909">
        <f>Billy_Sheet!G14</f>
        <v>0</v>
      </c>
      <c r="G7" s="890"/>
      <c r="H7" s="888"/>
      <c r="U7" s="889"/>
      <c r="V7" s="888"/>
    </row>
    <row r="8" spans="1:22" ht="14.4" customHeight="1">
      <c r="A8" s="887" t="s">
        <v>71</v>
      </c>
      <c r="G8" s="890"/>
      <c r="H8" s="887" t="s">
        <v>163</v>
      </c>
      <c r="I8" s="887"/>
      <c r="K8" s="887"/>
      <c r="L8" s="887"/>
      <c r="N8" s="887"/>
      <c r="O8" s="887"/>
      <c r="U8" s="889"/>
      <c r="V8" s="909"/>
    </row>
    <row r="9" spans="1:22" ht="14.4" customHeight="1">
      <c r="A9" s="909">
        <f>PGL_Supplies!H8/1000</f>
        <v>3</v>
      </c>
      <c r="H9" s="909">
        <f>NSG_Supplies!Q8/1000+NSG_Supplies!F8/1000-NSG_Requirements!H8/1000</f>
        <v>26.498999999999999</v>
      </c>
      <c r="I9" s="958"/>
      <c r="K9" s="887" t="s">
        <v>610</v>
      </c>
      <c r="L9" s="909">
        <f>NSG_Deliveries!C6/1000</f>
        <v>45</v>
      </c>
      <c r="N9" s="887"/>
      <c r="O9" s="909"/>
      <c r="U9" s="889"/>
      <c r="V9" s="909"/>
    </row>
    <row r="10" spans="1:22" ht="18" customHeight="1">
      <c r="A10" s="887" t="s">
        <v>65</v>
      </c>
      <c r="H10" s="916" t="s">
        <v>609</v>
      </c>
      <c r="U10" s="889"/>
      <c r="V10" s="909"/>
    </row>
    <row r="11" spans="1:22" ht="14.4" customHeight="1">
      <c r="A11" s="909">
        <f>Billy_Sheet!C17</f>
        <v>10.425000000000001</v>
      </c>
      <c r="B11" s="958"/>
      <c r="H11" s="909">
        <f>NSG_Supplies!T8/1000</f>
        <v>0</v>
      </c>
      <c r="K11" s="890" t="s">
        <v>611</v>
      </c>
      <c r="L11" s="915">
        <f>SUM(K4+K17+K19+H11+H9-L9)</f>
        <v>-1.0000000000047748E-3</v>
      </c>
      <c r="N11" s="890"/>
      <c r="O11" s="915"/>
      <c r="U11" s="889"/>
      <c r="V11" s="903"/>
    </row>
    <row r="12" spans="1:22" ht="14.4" customHeight="1">
      <c r="A12" s="887" t="s">
        <v>658</v>
      </c>
      <c r="H12" s="909"/>
      <c r="U12" s="889"/>
      <c r="V12" s="909"/>
    </row>
    <row r="13" spans="1:22" ht="14.4" customHeight="1">
      <c r="A13" s="956">
        <f>PGL_Supplies!X8/1000</f>
        <v>104.023</v>
      </c>
      <c r="H13" s="909"/>
      <c r="U13" s="889"/>
      <c r="V13" s="909"/>
    </row>
    <row r="14" spans="1:22" ht="14.4" customHeight="1">
      <c r="H14" s="909"/>
      <c r="U14" s="889"/>
      <c r="V14" s="909"/>
    </row>
    <row r="15" spans="1:22" ht="15.6" customHeight="1">
      <c r="B15" s="952" t="s">
        <v>9</v>
      </c>
      <c r="C15" s="959">
        <v>300</v>
      </c>
      <c r="D15" s="952">
        <v>410</v>
      </c>
      <c r="F15" s="959">
        <v>300</v>
      </c>
      <c r="H15" s="915"/>
      <c r="U15" s="899"/>
      <c r="V15" s="915"/>
    </row>
    <row r="16" spans="1:22" ht="42.75" customHeight="1">
      <c r="A16" s="900"/>
      <c r="B16" s="915"/>
      <c r="C16" s="960"/>
      <c r="D16" s="961"/>
      <c r="E16" s="961"/>
      <c r="F16" s="960"/>
    </row>
    <row r="17" spans="1:17" ht="38.25" customHeight="1">
      <c r="B17" s="961"/>
      <c r="C17" s="961"/>
      <c r="D17" s="962"/>
      <c r="E17" s="961"/>
      <c r="F17" s="961"/>
      <c r="G17" s="961"/>
      <c r="J17" s="887" t="s">
        <v>310</v>
      </c>
      <c r="K17" s="909">
        <f>NSG_Supplies!K8/1000</f>
        <v>0</v>
      </c>
      <c r="N17" s="909"/>
    </row>
    <row r="18" spans="1:17" ht="15" customHeight="1">
      <c r="A18" s="895"/>
      <c r="C18" s="959">
        <v>500</v>
      </c>
      <c r="D18" s="961"/>
      <c r="E18" s="961"/>
      <c r="F18" s="954">
        <v>790</v>
      </c>
    </row>
    <row r="19" spans="1:17">
      <c r="A19" s="896" t="s">
        <v>577</v>
      </c>
      <c r="C19" s="952" t="s">
        <v>9</v>
      </c>
      <c r="J19" s="887" t="s">
        <v>605</v>
      </c>
      <c r="K19" s="909"/>
      <c r="N19" s="964"/>
    </row>
    <row r="20" spans="1:17" ht="17.25" customHeight="1">
      <c r="A20" s="909">
        <f>Billy_Sheet!G15</f>
        <v>194.46299999999999</v>
      </c>
      <c r="G20" s="424"/>
      <c r="J20" s="887"/>
    </row>
    <row r="21" spans="1:17" ht="11.25" customHeight="1">
      <c r="G21" s="888"/>
      <c r="H21" s="888"/>
      <c r="I21" s="890"/>
      <c r="J21" s="915"/>
    </row>
    <row r="22" spans="1:17">
      <c r="A22" s="889" t="s">
        <v>166</v>
      </c>
      <c r="G22" s="887"/>
      <c r="I22" s="890"/>
      <c r="J22" s="887"/>
      <c r="M22" s="890"/>
      <c r="N22" s="915"/>
    </row>
    <row r="23" spans="1:17">
      <c r="A23" s="909">
        <f>Billy_Sheet!C25</f>
        <v>0</v>
      </c>
      <c r="G23" s="887" t="s">
        <v>667</v>
      </c>
      <c r="H23" s="889"/>
      <c r="I23" s="890"/>
      <c r="J23" s="915"/>
      <c r="M23" s="887"/>
      <c r="N23" s="915"/>
      <c r="Q23" s="965"/>
    </row>
    <row r="24" spans="1:17" ht="9" customHeight="1">
      <c r="G24" s="909">
        <f>PGL_Requirements!J7/1000</f>
        <v>0</v>
      </c>
      <c r="H24" s="890"/>
      <c r="I24" s="890"/>
      <c r="J24" s="890"/>
    </row>
    <row r="25" spans="1:17" ht="10.5" customHeight="1">
      <c r="A25" s="889" t="s">
        <v>168</v>
      </c>
      <c r="B25" s="889"/>
      <c r="C25" s="889"/>
      <c r="D25" s="889"/>
      <c r="F25" s="889"/>
      <c r="G25" s="887" t="s">
        <v>613</v>
      </c>
      <c r="H25" s="890"/>
      <c r="I25" s="890"/>
      <c r="J25" s="890"/>
    </row>
    <row r="26" spans="1:17" ht="14.25" customHeight="1">
      <c r="A26" s="909">
        <f>Billy_Sheet!G25</f>
        <v>30.027999999999999</v>
      </c>
      <c r="B26" s="889"/>
      <c r="C26" s="890"/>
      <c r="D26" s="890"/>
      <c r="F26" s="890"/>
      <c r="G26" s="963">
        <v>0</v>
      </c>
      <c r="H26" s="890"/>
      <c r="I26" s="890"/>
      <c r="J26" s="890" t="s">
        <v>518</v>
      </c>
      <c r="K26" s="966">
        <f>PGL_Deliveries!C6/1000</f>
        <v>220</v>
      </c>
      <c r="L26" s="887" t="s">
        <v>610</v>
      </c>
      <c r="M26" s="909">
        <f>NSG_Deliveries!C6/1000</f>
        <v>45</v>
      </c>
      <c r="N26" s="909"/>
    </row>
    <row r="27" spans="1:17" ht="8.25" customHeight="1">
      <c r="A27" s="890"/>
      <c r="B27" s="911"/>
      <c r="C27" s="890"/>
      <c r="D27" s="890"/>
      <c r="F27" s="890"/>
      <c r="G27" s="890"/>
      <c r="H27" s="891"/>
      <c r="I27" s="890"/>
      <c r="J27" s="891"/>
    </row>
    <row r="28" spans="1:17" ht="12.75" customHeight="1">
      <c r="A28" s="898" t="s">
        <v>581</v>
      </c>
      <c r="B28" s="909"/>
      <c r="C28" s="889"/>
      <c r="D28" s="890"/>
      <c r="F28" s="887"/>
      <c r="G28" s="899" t="s">
        <v>586</v>
      </c>
      <c r="H28" s="424"/>
      <c r="J28" s="890" t="s">
        <v>612</v>
      </c>
      <c r="K28" s="915">
        <f>SUM(A42)</f>
        <v>222.93900000000002</v>
      </c>
      <c r="L28" s="890" t="s">
        <v>650</v>
      </c>
      <c r="M28" s="915">
        <f>SUM(J2+K17+K19+H11+H9-M26)</f>
        <v>1.4989999999999952</v>
      </c>
      <c r="N28" s="915"/>
    </row>
    <row r="29" spans="1:17">
      <c r="A29" s="909">
        <f>PGL_Supplies!L8/1000</f>
        <v>0</v>
      </c>
      <c r="B29" s="909"/>
      <c r="C29" s="890"/>
      <c r="D29" s="967"/>
      <c r="F29" s="1006">
        <f>PGL_Requirements!A7</f>
        <v>37147</v>
      </c>
      <c r="G29" s="909">
        <f>PGL_Requirements!G7/1000</f>
        <v>0</v>
      </c>
      <c r="H29" s="888"/>
      <c r="J29" s="890" t="s">
        <v>614</v>
      </c>
      <c r="K29" s="909">
        <f>PGL_Supplies!AB8/1000+PGL_Supplies!K8/1000-PGL_Requirements!N8/1000</f>
        <v>-0.53599999999999959</v>
      </c>
    </row>
    <row r="30" spans="1:17" ht="10.5" customHeight="1">
      <c r="A30" s="892"/>
      <c r="B30" s="909"/>
      <c r="C30" s="890"/>
      <c r="D30" s="909"/>
      <c r="F30" s="1006">
        <f>PGL_Requirements!A8</f>
        <v>37148</v>
      </c>
      <c r="G30" s="909">
        <f>PGL_Requirements!G8/1000</f>
        <v>0</v>
      </c>
    </row>
    <row r="31" spans="1:17" ht="17.25" customHeight="1">
      <c r="A31" s="898" t="s">
        <v>583</v>
      </c>
      <c r="B31" s="968"/>
      <c r="C31" s="893"/>
      <c r="D31" s="915"/>
      <c r="G31" s="899" t="s">
        <v>584</v>
      </c>
      <c r="H31" s="915"/>
      <c r="J31" s="890" t="s">
        <v>611</v>
      </c>
      <c r="K31" s="915">
        <f>SUM(K28+K29-K26)</f>
        <v>2.40300000000002</v>
      </c>
    </row>
    <row r="32" spans="1:17">
      <c r="A32" s="909">
        <f>PGL_Supplies!G8/1000</f>
        <v>1</v>
      </c>
      <c r="G32" s="909">
        <f>PGL_Requirements!O8/1000</f>
        <v>120</v>
      </c>
    </row>
    <row r="33" spans="1:11" ht="6.75" customHeight="1"/>
    <row r="34" spans="1:11">
      <c r="A34" s="887" t="s">
        <v>582</v>
      </c>
      <c r="G34" s="890" t="s">
        <v>585</v>
      </c>
    </row>
    <row r="35" spans="1:11">
      <c r="A35" s="963">
        <v>0</v>
      </c>
      <c r="G35" s="909">
        <f>PGL_Requirements!B8/1000</f>
        <v>0</v>
      </c>
    </row>
    <row r="36" spans="1:11">
      <c r="G36" s="909"/>
    </row>
    <row r="37" spans="1:11">
      <c r="C37" s="887" t="s">
        <v>588</v>
      </c>
      <c r="F37" s="887" t="s">
        <v>589</v>
      </c>
      <c r="G37" s="909"/>
    </row>
    <row r="38" spans="1:11">
      <c r="C38" s="959">
        <v>515</v>
      </c>
      <c r="F38" s="959">
        <v>752</v>
      </c>
    </row>
    <row r="39" spans="1:11">
      <c r="A39" s="907" t="s">
        <v>649</v>
      </c>
      <c r="E39" s="889" t="s">
        <v>587</v>
      </c>
      <c r="F39" s="889"/>
    </row>
    <row r="40" spans="1:11">
      <c r="A40" s="915">
        <f>SUM(A3:A35)</f>
        <v>342.93900000000002</v>
      </c>
      <c r="B40" s="903"/>
      <c r="C40" s="902"/>
      <c r="D40" s="903"/>
      <c r="E40" s="903"/>
      <c r="F40" s="969"/>
      <c r="G40" s="969">
        <f>SUM(G30:G35)</f>
        <v>120</v>
      </c>
      <c r="H40" s="905"/>
      <c r="I40" s="904"/>
    </row>
    <row r="41" spans="1:11">
      <c r="A41" s="906" t="s">
        <v>603</v>
      </c>
      <c r="B41" s="909"/>
      <c r="C41" s="903"/>
      <c r="D41" s="903"/>
      <c r="E41" s="903"/>
      <c r="F41" s="903"/>
      <c r="G41" s="903"/>
      <c r="H41" s="903"/>
      <c r="I41" s="902"/>
    </row>
    <row r="42" spans="1:11">
      <c r="A42" s="909">
        <f>SUM(A40-G40)</f>
        <v>222.93900000000002</v>
      </c>
      <c r="B42" s="909"/>
      <c r="C42" s="903"/>
      <c r="D42" s="903"/>
      <c r="E42" s="903"/>
      <c r="F42" s="912"/>
      <c r="G42" s="914" t="s">
        <v>607</v>
      </c>
      <c r="H42" s="970"/>
      <c r="I42" s="971"/>
      <c r="J42" s="970"/>
      <c r="K42" s="961"/>
    </row>
    <row r="43" spans="1:11" ht="14.25" customHeight="1">
      <c r="A43" s="909"/>
      <c r="B43" s="909"/>
      <c r="C43" s="909"/>
      <c r="D43" s="909"/>
      <c r="E43" s="912"/>
      <c r="F43" s="911" t="s">
        <v>602</v>
      </c>
      <c r="G43" s="912" t="s">
        <v>601</v>
      </c>
      <c r="I43" s="909"/>
    </row>
    <row r="44" spans="1:11" ht="12.75" customHeight="1">
      <c r="A44" s="906" t="s">
        <v>590</v>
      </c>
      <c r="B44" s="909" t="s">
        <v>595</v>
      </c>
      <c r="C44" s="909" t="s">
        <v>596</v>
      </c>
      <c r="D44" s="909" t="s">
        <v>597</v>
      </c>
      <c r="E44" s="910"/>
      <c r="F44" s="910" t="s">
        <v>598</v>
      </c>
      <c r="G44" s="903" t="s">
        <v>600</v>
      </c>
      <c r="H44" s="889" t="s">
        <v>599</v>
      </c>
      <c r="I44" s="909"/>
      <c r="K44" s="889"/>
    </row>
    <row r="45" spans="1:11">
      <c r="A45" s="906" t="s">
        <v>594</v>
      </c>
      <c r="B45" s="972">
        <v>250</v>
      </c>
      <c r="C45" s="972">
        <v>410</v>
      </c>
      <c r="D45" s="973">
        <f>SUM(F2+F15)/2</f>
        <v>300</v>
      </c>
      <c r="E45" s="974"/>
      <c r="F45" s="975">
        <v>6.7000000000000004E-2</v>
      </c>
      <c r="G45" s="976">
        <f>(C45-D45)*F45</f>
        <v>7.37</v>
      </c>
      <c r="H45" s="976">
        <f>(D45-B45)*F45</f>
        <v>3.35</v>
      </c>
      <c r="I45" s="909"/>
      <c r="J45" s="977"/>
    </row>
    <row r="46" spans="1:11">
      <c r="A46" s="889" t="s">
        <v>591</v>
      </c>
      <c r="B46" s="978">
        <v>797</v>
      </c>
      <c r="C46" s="972">
        <v>797</v>
      </c>
      <c r="D46" s="973">
        <v>797</v>
      </c>
      <c r="E46" s="974"/>
      <c r="F46" s="975">
        <v>0.13900000000000001</v>
      </c>
      <c r="G46" s="976">
        <f>(C46-D46)*F46</f>
        <v>0</v>
      </c>
      <c r="H46" s="976">
        <f>(D46-B46)*F46</f>
        <v>0</v>
      </c>
      <c r="I46" s="909"/>
    </row>
    <row r="47" spans="1:11">
      <c r="A47" s="889" t="s">
        <v>592</v>
      </c>
      <c r="B47" s="978">
        <v>250</v>
      </c>
      <c r="C47" s="972">
        <v>410</v>
      </c>
      <c r="D47" s="973">
        <f>SUM(C2+C15)/2</f>
        <v>300</v>
      </c>
      <c r="E47" s="974"/>
      <c r="F47" s="975">
        <v>0.14099999999999999</v>
      </c>
      <c r="G47" s="976">
        <f>(C47-D47)*F47</f>
        <v>15.509999999999998</v>
      </c>
      <c r="H47" s="976">
        <f>(D47-B47)*F47</f>
        <v>7.0499999999999989</v>
      </c>
      <c r="I47" s="909"/>
    </row>
    <row r="48" spans="1:11">
      <c r="A48" s="889" t="s">
        <v>593</v>
      </c>
      <c r="B48" s="978">
        <v>300</v>
      </c>
      <c r="C48" s="972">
        <v>750</v>
      </c>
      <c r="D48" s="973">
        <f>SUM(C18+C38)/2</f>
        <v>507.5</v>
      </c>
      <c r="E48" s="974"/>
      <c r="F48" s="975">
        <v>0.161</v>
      </c>
      <c r="G48" s="976">
        <f>(C48-D48)*F48</f>
        <v>39.042500000000004</v>
      </c>
      <c r="H48" s="976">
        <f>(D48-B48)*F48</f>
        <v>33.407499999999999</v>
      </c>
    </row>
    <row r="49" spans="1:8">
      <c r="B49" s="958"/>
      <c r="C49" s="958"/>
      <c r="D49" s="958"/>
      <c r="E49" s="958"/>
      <c r="F49" s="913" t="s">
        <v>338</v>
      </c>
      <c r="G49" s="976">
        <f>SUM(G45:G48)</f>
        <v>61.922499999999999</v>
      </c>
      <c r="H49" s="976">
        <f>SUM(H45:H48)</f>
        <v>43.807499999999997</v>
      </c>
    </row>
    <row r="55" spans="1:8">
      <c r="A55" s="979"/>
      <c r="G55" s="979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G6" sqref="G6"/>
    </sheetView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37147</v>
      </c>
      <c r="B5" s="11">
        <v>67</v>
      </c>
      <c r="C5" s="49">
        <v>55</v>
      </c>
      <c r="D5" s="49">
        <v>13.2</v>
      </c>
      <c r="E5" s="11">
        <v>59.9</v>
      </c>
      <c r="F5" s="11">
        <v>10</v>
      </c>
      <c r="G5" s="11">
        <v>10</v>
      </c>
      <c r="H5" s="11">
        <v>2</v>
      </c>
      <c r="I5" s="867" t="s">
        <v>820</v>
      </c>
      <c r="J5" s="867" t="s">
        <v>9</v>
      </c>
      <c r="K5" s="11">
        <v>2</v>
      </c>
      <c r="L5" s="11">
        <v>1</v>
      </c>
      <c r="N5" s="15" t="str">
        <f>I5&amp;" "&amp;I5</f>
        <v xml:space="preserve">   RATHER CLOUDY, COOL AND BREEZY.    RATHER CLOUDY, COOL AND BREEZY.</v>
      </c>
      <c r="AE5" s="15">
        <v>1</v>
      </c>
      <c r="AH5" s="15" t="s">
        <v>32</v>
      </c>
    </row>
    <row r="6" spans="1:34" ht="16.5" customHeight="1">
      <c r="A6" s="86">
        <f>A5+1</f>
        <v>37148</v>
      </c>
      <c r="B6" s="11">
        <v>67</v>
      </c>
      <c r="C6" s="49">
        <v>45</v>
      </c>
      <c r="D6" s="49">
        <v>9</v>
      </c>
      <c r="E6" s="11" t="s">
        <v>9</v>
      </c>
      <c r="F6" s="11" t="s">
        <v>9</v>
      </c>
      <c r="G6" s="11"/>
      <c r="H6" s="11" t="s">
        <v>9</v>
      </c>
      <c r="I6" s="867" t="s">
        <v>821</v>
      </c>
      <c r="J6" s="867" t="s">
        <v>822</v>
      </c>
      <c r="K6" s="11">
        <v>3</v>
      </c>
      <c r="L6" s="11" t="s">
        <v>558</v>
      </c>
      <c r="N6" s="15" t="str">
        <f>I6&amp;" "&amp;J6</f>
        <v xml:space="preserve">  TODAY - A GOOD DEAL OF SUNSHINE   TONIGHT - CLEAR TO PARTLY CLOUDY.</v>
      </c>
      <c r="AE6" s="15">
        <v>1</v>
      </c>
      <c r="AH6" s="15" t="s">
        <v>33</v>
      </c>
    </row>
    <row r="7" spans="1:34" ht="16.5" customHeight="1">
      <c r="A7" s="86">
        <f>A6+1</f>
        <v>37149</v>
      </c>
      <c r="B7" s="11">
        <v>67</v>
      </c>
      <c r="C7" s="49">
        <v>47</v>
      </c>
      <c r="D7" s="49">
        <v>8</v>
      </c>
      <c r="E7" s="11" t="s">
        <v>9</v>
      </c>
      <c r="F7" s="11" t="s">
        <v>9</v>
      </c>
      <c r="G7" s="11"/>
      <c r="H7" s="11" t="s">
        <v>9</v>
      </c>
      <c r="I7" s="867" t="s">
        <v>823</v>
      </c>
      <c r="J7" s="867" t="s">
        <v>824</v>
      </c>
      <c r="K7" s="11">
        <v>3</v>
      </c>
      <c r="L7" s="11" t="s">
        <v>20</v>
      </c>
      <c r="N7" s="15" t="str">
        <f>I7&amp;" "&amp;J7</f>
        <v xml:space="preserve">  PARTLY TO MOSTLY SUNNY IN THE MORNING    FOLLOWED BY THICKENING CLOUDS.</v>
      </c>
    </row>
    <row r="8" spans="1:34" ht="16.5" customHeight="1">
      <c r="A8" s="86">
        <f>A7+1</f>
        <v>37150</v>
      </c>
      <c r="B8" s="11">
        <v>70</v>
      </c>
      <c r="C8" s="49">
        <v>51</v>
      </c>
      <c r="D8" s="49">
        <v>8</v>
      </c>
      <c r="E8" s="11" t="s">
        <v>9</v>
      </c>
      <c r="F8" s="11" t="s">
        <v>9</v>
      </c>
      <c r="G8" s="11"/>
      <c r="H8" s="11" t="s">
        <v>9</v>
      </c>
      <c r="I8" s="867" t="s">
        <v>825</v>
      </c>
      <c r="J8" s="867" t="s">
        <v>9</v>
      </c>
      <c r="K8" s="11">
        <v>2</v>
      </c>
      <c r="L8" s="11"/>
      <c r="N8" s="15" t="str">
        <f>I8&amp;" "&amp;J8</f>
        <v xml:space="preserve">  MAINLY CLOUDY  </v>
      </c>
    </row>
    <row r="9" spans="1:34" ht="16.5" customHeight="1">
      <c r="A9" s="86">
        <f>A8+1</f>
        <v>37151</v>
      </c>
      <c r="B9" s="11">
        <v>74</v>
      </c>
      <c r="C9" s="49">
        <v>53</v>
      </c>
      <c r="D9" s="49">
        <v>6</v>
      </c>
      <c r="E9" s="11" t="s">
        <v>9</v>
      </c>
      <c r="F9" s="11" t="s">
        <v>9</v>
      </c>
      <c r="G9" s="11"/>
      <c r="H9" s="11" t="s">
        <v>9</v>
      </c>
      <c r="I9" s="867" t="s">
        <v>826</v>
      </c>
      <c r="J9" s="867" t="s">
        <v>9</v>
      </c>
      <c r="K9" s="11">
        <v>3</v>
      </c>
      <c r="L9" s="11">
        <v>0</v>
      </c>
      <c r="M9" s="87"/>
      <c r="N9" s="15" t="str">
        <f>I9&amp;" "&amp;J9</f>
        <v xml:space="preserve">  PARTLY SUNNY  </v>
      </c>
    </row>
    <row r="10" spans="1:34" ht="16.5" customHeight="1">
      <c r="A10" s="86">
        <f>A9+1</f>
        <v>37152</v>
      </c>
      <c r="B10" s="11">
        <v>74</v>
      </c>
      <c r="C10" s="49">
        <v>60</v>
      </c>
      <c r="D10" s="49">
        <v>6</v>
      </c>
      <c r="E10" s="11" t="s">
        <v>9</v>
      </c>
      <c r="F10" s="11" t="s">
        <v>9</v>
      </c>
      <c r="G10" s="11"/>
      <c r="H10" s="11" t="s">
        <v>9</v>
      </c>
      <c r="I10" s="867" t="s">
        <v>827</v>
      </c>
      <c r="J10" s="867" t="s">
        <v>9</v>
      </c>
      <c r="K10" s="11">
        <v>2</v>
      </c>
      <c r="L10" s="11" t="s">
        <v>382</v>
      </c>
      <c r="N10" s="15" t="str">
        <f>I10&amp;" "&amp;J10</f>
        <v xml:space="preserve">  MOSTLY CLOUDY; IT MAY SHOWER  </v>
      </c>
    </row>
    <row r="11" spans="1:34" ht="16.5" customHeight="1">
      <c r="G11"/>
    </row>
    <row r="12" spans="1:34" ht="15.6">
      <c r="E12" s="83"/>
      <c r="F12" s="83"/>
      <c r="G12" s="447"/>
      <c r="H12" s="83"/>
      <c r="I12" s="83"/>
      <c r="J12" s="83"/>
    </row>
    <row r="13" spans="1:34" ht="15">
      <c r="E13" s="83"/>
      <c r="F13" s="83"/>
      <c r="G13" s="465" t="s">
        <v>9</v>
      </c>
      <c r="H13" s="83"/>
      <c r="I13" s="83"/>
      <c r="J13" s="83"/>
    </row>
    <row r="14" spans="1:34" ht="15">
      <c r="E14" s="83"/>
      <c r="F14" s="83"/>
      <c r="G14" s="448"/>
      <c r="H14" s="83"/>
      <c r="I14" s="83"/>
      <c r="J14" s="83"/>
    </row>
    <row r="15" spans="1:34">
      <c r="E15" s="83"/>
      <c r="F15" s="83"/>
      <c r="G15" s="464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2" thickBot="1">
      <c r="A2" s="121" t="s">
        <v>518</v>
      </c>
      <c r="B2" s="181">
        <f>PGL_Deliveries!V5/1000</f>
        <v>203.9</v>
      </c>
      <c r="C2" s="60"/>
      <c r="D2" s="118" t="s">
        <v>309</v>
      </c>
      <c r="E2" s="417">
        <f>Weather_Input!A5</f>
        <v>37147</v>
      </c>
      <c r="F2" s="60"/>
      <c r="H2"/>
      <c r="I2"/>
      <c r="J2"/>
      <c r="K2"/>
      <c r="L2"/>
      <c r="M2"/>
    </row>
    <row r="3" spans="1:13" ht="15">
      <c r="A3" s="97" t="s">
        <v>519</v>
      </c>
      <c r="B3" s="614">
        <f>PGL_Supplies!I7/1000</f>
        <v>0</v>
      </c>
      <c r="C3" s="180"/>
      <c r="D3" s="1019" t="s">
        <v>674</v>
      </c>
      <c r="E3" s="1275">
        <f>PGL_Deliveries!U5/1000</f>
        <v>0</v>
      </c>
      <c r="F3" s="179"/>
      <c r="H3"/>
      <c r="I3"/>
      <c r="J3"/>
      <c r="K3"/>
      <c r="L3"/>
      <c r="M3"/>
    </row>
    <row r="4" spans="1:13" ht="15.6" thickBot="1">
      <c r="A4" s="100"/>
      <c r="B4" s="160"/>
      <c r="C4" s="157"/>
      <c r="D4" s="763"/>
      <c r="E4" s="165"/>
      <c r="F4" s="164"/>
      <c r="H4"/>
      <c r="I4"/>
      <c r="J4"/>
      <c r="K4"/>
      <c r="L4"/>
      <c r="M4"/>
    </row>
    <row r="5" spans="1:13" ht="15">
      <c r="A5" s="178" t="s">
        <v>522</v>
      </c>
      <c r="B5" s="151">
        <f>PGL_Deliveries!D5/1000</f>
        <v>177.172</v>
      </c>
      <c r="C5" s="63"/>
      <c r="F5" s="179"/>
      <c r="H5"/>
      <c r="I5"/>
      <c r="J5"/>
      <c r="K5"/>
      <c r="L5"/>
      <c r="M5"/>
    </row>
    <row r="6" spans="1:13" ht="15.6" thickBot="1">
      <c r="A6" s="177" t="s">
        <v>239</v>
      </c>
      <c r="B6" s="151">
        <f>PGL_Deliveries!I5/1000</f>
        <v>0</v>
      </c>
      <c r="C6" s="166"/>
      <c r="F6" s="168"/>
      <c r="H6"/>
      <c r="I6"/>
      <c r="J6"/>
      <c r="K6"/>
      <c r="L6"/>
      <c r="M6"/>
    </row>
    <row r="7" spans="1:13" ht="16.2" thickBot="1">
      <c r="A7" s="176" t="s">
        <v>524</v>
      </c>
      <c r="B7" s="220">
        <f>SUM(B5:B6)</f>
        <v>177.172</v>
      </c>
      <c r="C7" s="166"/>
      <c r="D7" s="59" t="s">
        <v>520</v>
      </c>
      <c r="E7" s="151">
        <f>PGL_Deliveries!P5/1000</f>
        <v>0</v>
      </c>
      <c r="F7" s="168"/>
      <c r="H7"/>
      <c r="I7"/>
      <c r="J7"/>
      <c r="K7"/>
      <c r="L7"/>
      <c r="M7"/>
    </row>
    <row r="8" spans="1:13" ht="15">
      <c r="A8" s="430" t="s">
        <v>811</v>
      </c>
      <c r="B8" s="1275">
        <f>SUM(PGL_Deliveries!BK5)</f>
        <v>0</v>
      </c>
      <c r="C8" s="613"/>
      <c r="D8" s="59" t="s">
        <v>521</v>
      </c>
      <c r="E8" s="151">
        <f>PGL_Deliveries!Q5/1000</f>
        <v>0.79700000000000004</v>
      </c>
      <c r="F8" s="168"/>
      <c r="H8"/>
      <c r="I8"/>
      <c r="J8"/>
      <c r="K8"/>
      <c r="L8"/>
      <c r="M8"/>
    </row>
    <row r="9" spans="1:13" ht="15">
      <c r="A9" s="169" t="s">
        <v>658</v>
      </c>
      <c r="B9" s="151">
        <f>PGL_Deliveries!W5/1000</f>
        <v>66.137</v>
      </c>
      <c r="C9" s="63"/>
      <c r="D9" s="115" t="s">
        <v>193</v>
      </c>
      <c r="E9" s="151">
        <f>PGL_Deliveries!E5/1000</f>
        <v>0</v>
      </c>
      <c r="F9" s="168"/>
      <c r="H9"/>
      <c r="I9"/>
      <c r="J9"/>
      <c r="K9"/>
      <c r="L9"/>
      <c r="M9"/>
    </row>
    <row r="10" spans="1:13" ht="15">
      <c r="A10" s="169" t="s">
        <v>65</v>
      </c>
      <c r="B10" s="151">
        <f>PGL_Deliveries!X5/1000</f>
        <v>0</v>
      </c>
      <c r="C10" s="63"/>
      <c r="D10" s="115" t="s">
        <v>523</v>
      </c>
      <c r="E10" s="151">
        <f>PGL_Deliveries!O5/1000</f>
        <v>1.006</v>
      </c>
      <c r="F10" s="168"/>
      <c r="H10"/>
      <c r="I10"/>
      <c r="J10"/>
      <c r="K10"/>
      <c r="L10"/>
      <c r="M10"/>
    </row>
    <row r="11" spans="1:13" ht="15">
      <c r="A11" s="169" t="s">
        <v>166</v>
      </c>
      <c r="B11" s="151">
        <f>PGL_Deliveries!Y5/1000</f>
        <v>0</v>
      </c>
      <c r="C11" s="63"/>
      <c r="D11" s="115" t="s">
        <v>196</v>
      </c>
      <c r="E11" s="151">
        <f>PGL_Deliveries!R5/1000</f>
        <v>0.27400000000000002</v>
      </c>
      <c r="F11" s="168"/>
      <c r="H11"/>
      <c r="I11"/>
      <c r="J11"/>
      <c r="K11"/>
      <c r="L11"/>
      <c r="M11"/>
    </row>
    <row r="12" spans="1:13" ht="15">
      <c r="A12" s="170" t="s">
        <v>71</v>
      </c>
      <c r="B12" s="151">
        <f>(PGL_Deliveries!AL5+PGL_Deliveries!AM5)/1000</f>
        <v>3</v>
      </c>
      <c r="C12" s="63"/>
      <c r="D12" s="115" t="s">
        <v>198</v>
      </c>
      <c r="E12" s="151">
        <f>PGL_Deliveries!T5/1000</f>
        <v>4.3140000000000001</v>
      </c>
      <c r="F12" s="168"/>
      <c r="H12"/>
      <c r="I12"/>
      <c r="J12"/>
      <c r="K12"/>
      <c r="L12"/>
      <c r="M12"/>
    </row>
    <row r="13" spans="1:13" ht="15">
      <c r="A13" s="169" t="s">
        <v>526</v>
      </c>
      <c r="B13" s="151">
        <f>PGL_Supplies!J7/1000</f>
        <v>0</v>
      </c>
      <c r="C13" s="63"/>
      <c r="D13" s="115" t="s">
        <v>525</v>
      </c>
      <c r="E13" s="151">
        <f>PGL_Deliveries!S5/1000</f>
        <v>1.9750000000000001</v>
      </c>
      <c r="F13" s="168"/>
      <c r="H13"/>
      <c r="I13"/>
      <c r="J13"/>
      <c r="K13"/>
      <c r="L13"/>
      <c r="M13"/>
    </row>
    <row r="14" spans="1:13" ht="15">
      <c r="A14" s="169" t="s">
        <v>527</v>
      </c>
      <c r="B14" s="151">
        <f>PGL_Deliveries!Z5/1000+PGL_Deliveries!AA5/1000+PGL_Deliveries!AB5/1000</f>
        <v>206.971</v>
      </c>
      <c r="C14" s="63"/>
      <c r="D14" s="115" t="s">
        <v>202</v>
      </c>
      <c r="E14" s="151">
        <f>PGL_Deliveries!G5/1000</f>
        <v>0</v>
      </c>
      <c r="F14" s="168"/>
      <c r="G14" s="151"/>
      <c r="H14"/>
      <c r="I14"/>
      <c r="J14"/>
      <c r="K14"/>
      <c r="L14"/>
      <c r="M14"/>
    </row>
    <row r="15" spans="1:13" ht="15">
      <c r="A15" s="169" t="s">
        <v>168</v>
      </c>
      <c r="B15" s="151">
        <f>PGL_Deliveries!AF5/1000</f>
        <v>0.14899999999999999</v>
      </c>
      <c r="C15" s="63"/>
      <c r="D15" s="115" t="s">
        <v>204</v>
      </c>
      <c r="E15" s="151">
        <f>PGL_Deliveries!F5/1000</f>
        <v>15.332000000000001</v>
      </c>
      <c r="F15" s="168"/>
      <c r="H15"/>
      <c r="I15"/>
      <c r="J15"/>
      <c r="K15"/>
      <c r="L15"/>
      <c r="M15"/>
    </row>
    <row r="16" spans="1:13" ht="15">
      <c r="A16" s="169" t="s">
        <v>169</v>
      </c>
      <c r="B16" s="151">
        <f>PGL_Deliveries!AJ5/1000+PGL_Deliveries!AZ5/1000+PGL_Deliveries!AV5/1000-PGL_Deliveries!AU5/1000-PGL_Deliveries!AW5/1000+PGL_Deliveries!AG5/1000+PGL_Deliveries!AH5/1000-PGL_Deliveries!AX5/1000</f>
        <v>-115.73099999999999</v>
      </c>
      <c r="C16" s="63"/>
      <c r="D16" s="115" t="s">
        <v>205</v>
      </c>
      <c r="E16" s="151">
        <f>PGL_Deliveries!H5/1000</f>
        <v>1.321</v>
      </c>
      <c r="F16" s="168"/>
      <c r="H16"/>
      <c r="I16"/>
      <c r="J16"/>
      <c r="K16"/>
      <c r="L16"/>
      <c r="M16"/>
    </row>
    <row r="17" spans="1:13" ht="15">
      <c r="A17" s="169" t="s">
        <v>528</v>
      </c>
      <c r="B17" s="60"/>
      <c r="C17" s="218">
        <f>PGL_Deliveries!AQ5/1000</f>
        <v>0</v>
      </c>
      <c r="D17" s="59" t="s">
        <v>370</v>
      </c>
      <c r="E17" s="151">
        <f>PGL_Deliveries!K5/1000</f>
        <v>0</v>
      </c>
      <c r="F17" s="168"/>
      <c r="H17"/>
      <c r="I17"/>
      <c r="J17"/>
      <c r="K17"/>
      <c r="L17"/>
      <c r="M17"/>
    </row>
    <row r="18" spans="1:13" ht="15">
      <c r="A18" s="169" t="s">
        <v>171</v>
      </c>
      <c r="B18" s="151">
        <f>PGL_Deliveries!AR5/1000</f>
        <v>16.646000000000001</v>
      </c>
      <c r="C18" s="63" t="s">
        <v>9</v>
      </c>
      <c r="D18" s="115" t="s">
        <v>208</v>
      </c>
      <c r="E18" s="151">
        <f>PGL_Deliveries!L5/1000</f>
        <v>1.196</v>
      </c>
      <c r="F18" s="168"/>
      <c r="H18"/>
      <c r="I18"/>
      <c r="J18"/>
      <c r="K18"/>
      <c r="L18"/>
      <c r="M18"/>
    </row>
    <row r="19" spans="1:13" ht="15">
      <c r="A19" s="169" t="s">
        <v>812</v>
      </c>
      <c r="B19" s="60"/>
      <c r="C19" s="151">
        <f>PGL_Deliveries!AC5/1000</f>
        <v>0</v>
      </c>
      <c r="D19" s="226" t="s">
        <v>207</v>
      </c>
      <c r="E19" s="151">
        <f>PGL_Deliveries!M5/1000</f>
        <v>0.51300000000000001</v>
      </c>
      <c r="F19" s="168"/>
      <c r="H19"/>
      <c r="I19"/>
      <c r="J19"/>
      <c r="K19"/>
      <c r="L19"/>
      <c r="M19"/>
    </row>
    <row r="20" spans="1:13" ht="15.6" thickBot="1">
      <c r="A20" s="169" t="s">
        <v>586</v>
      </c>
      <c r="B20" s="60"/>
      <c r="C20" s="151">
        <f>PGL_Deliveries!BG5/1000</f>
        <v>0</v>
      </c>
      <c r="D20" s="1272" t="s">
        <v>813</v>
      </c>
      <c r="E20" s="205">
        <f>PGL_Deliveries!M6/1000</f>
        <v>0</v>
      </c>
      <c r="F20" s="164"/>
      <c r="H20"/>
      <c r="I20"/>
      <c r="J20"/>
      <c r="K20"/>
      <c r="L20"/>
      <c r="M20"/>
    </row>
    <row r="21" spans="1:13" ht="16.2" thickBot="1">
      <c r="A21" s="1267" t="s">
        <v>529</v>
      </c>
      <c r="B21" s="866">
        <f>SUM(B8:B20)-C17-C19-C20</f>
        <v>177.17200000000003</v>
      </c>
      <c r="C21" s="1268"/>
      <c r="D21" s="175" t="s">
        <v>530</v>
      </c>
      <c r="E21" s="174">
        <f>SUM(E7:E20)</f>
        <v>26.728000000000005</v>
      </c>
      <c r="F21" s="164"/>
      <c r="H21"/>
      <c r="I21"/>
      <c r="J21"/>
      <c r="K21"/>
      <c r="L21"/>
      <c r="M21"/>
    </row>
    <row r="22" spans="1:13" ht="15">
      <c r="A22" s="430" t="s">
        <v>661</v>
      </c>
      <c r="B22" s="151">
        <f>PGL_Supplies!X7/1000</f>
        <v>69.284000000000006</v>
      </c>
      <c r="C22" s="613"/>
      <c r="D22" s="115" t="s">
        <v>304</v>
      </c>
      <c r="E22" s="151">
        <f>PGL_Deliveries!AK5/1000</f>
        <v>0</v>
      </c>
      <c r="F22" s="168"/>
      <c r="H22"/>
      <c r="I22"/>
      <c r="J22"/>
      <c r="K22"/>
      <c r="L22"/>
      <c r="M22"/>
    </row>
    <row r="23" spans="1:13" ht="15.6" thickBot="1">
      <c r="A23" s="169" t="s">
        <v>659</v>
      </c>
      <c r="B23" s="151">
        <f>PGL_Supplies!W7/1000</f>
        <v>0</v>
      </c>
      <c r="C23" s="63"/>
      <c r="D23" s="115" t="s">
        <v>174</v>
      </c>
      <c r="E23" s="151">
        <f>PGL_Deliveries!AY5/1000+B44</f>
        <v>1.7295</v>
      </c>
      <c r="F23" s="168"/>
      <c r="H23"/>
      <c r="I23"/>
      <c r="J23"/>
      <c r="K23"/>
      <c r="L23"/>
      <c r="M23"/>
    </row>
    <row r="24" spans="1:13" ht="16.2" thickBot="1">
      <c r="A24" s="169" t="s">
        <v>662</v>
      </c>
      <c r="B24" s="60"/>
      <c r="C24" s="218">
        <f>PGL_Requirements!I7/1000</f>
        <v>0</v>
      </c>
      <c r="D24" s="1269" t="s">
        <v>531</v>
      </c>
      <c r="E24" s="220">
        <f>SUM(E21:E23)</f>
        <v>28.457500000000007</v>
      </c>
      <c r="F24" s="1270"/>
      <c r="H24"/>
      <c r="I24"/>
      <c r="J24"/>
      <c r="K24"/>
      <c r="L24"/>
      <c r="M24"/>
    </row>
    <row r="25" spans="1:13" ht="15">
      <c r="A25" s="172" t="s">
        <v>338</v>
      </c>
      <c r="B25" s="1021">
        <f>+B22+B23-C24</f>
        <v>69.284000000000006</v>
      </c>
      <c r="C25" s="1018"/>
      <c r="D25" s="242" t="s">
        <v>532</v>
      </c>
      <c r="E25" s="151">
        <f>NSG_Requirements!$L$7/1000</f>
        <v>0</v>
      </c>
      <c r="F25" s="168"/>
      <c r="H25"/>
      <c r="I25"/>
      <c r="J25"/>
      <c r="K25"/>
      <c r="L25"/>
      <c r="M25"/>
    </row>
    <row r="26" spans="1:13" ht="15">
      <c r="A26" s="169" t="s">
        <v>212</v>
      </c>
      <c r="B26" s="151">
        <f>PGL_Supplies!Y7/1000</f>
        <v>10.425000000000001</v>
      </c>
      <c r="C26" s="63"/>
      <c r="D26" s="242" t="s">
        <v>533</v>
      </c>
      <c r="E26" s="60"/>
      <c r="F26" s="173">
        <f>NSG_Supplies!G7/1000</f>
        <v>0</v>
      </c>
      <c r="G26"/>
      <c r="H26"/>
      <c r="I26"/>
      <c r="J26"/>
      <c r="K26"/>
      <c r="L26"/>
      <c r="M26"/>
    </row>
    <row r="27" spans="1:13" ht="15">
      <c r="A27" s="170" t="s">
        <v>669</v>
      </c>
      <c r="B27" s="615"/>
      <c r="C27" s="218">
        <f>PGL_Requirements!T7/1000</f>
        <v>10.425000000000001</v>
      </c>
      <c r="D27" s="242" t="s">
        <v>538</v>
      </c>
      <c r="E27" s="60" t="s">
        <v>9</v>
      </c>
      <c r="F27" s="173">
        <f>PGL_Deliveries!AS5/1000</f>
        <v>4.5119999999999996</v>
      </c>
      <c r="H27"/>
      <c r="I27"/>
      <c r="J27"/>
      <c r="K27"/>
      <c r="L27"/>
      <c r="M27"/>
    </row>
    <row r="28" spans="1:13" ht="15">
      <c r="A28" s="170" t="s">
        <v>668</v>
      </c>
      <c r="B28" s="151">
        <f>PGL_Supplies!P7/1000</f>
        <v>0</v>
      </c>
      <c r="C28" s="63"/>
      <c r="D28" s="171" t="s">
        <v>539</v>
      </c>
      <c r="E28" s="151">
        <f>PGL_Deliveries!AT5/1000</f>
        <v>0</v>
      </c>
      <c r="F28" s="168"/>
      <c r="H28"/>
      <c r="I28"/>
      <c r="J28"/>
      <c r="K28"/>
      <c r="L28"/>
      <c r="M28"/>
    </row>
    <row r="29" spans="1:13" ht="15">
      <c r="A29" s="172" t="s">
        <v>218</v>
      </c>
      <c r="B29" s="67" t="s">
        <v>9</v>
      </c>
      <c r="C29" s="467" t="s">
        <v>9</v>
      </c>
      <c r="D29" s="242" t="s">
        <v>646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534</v>
      </c>
      <c r="B30" s="151">
        <f>PGL_Supplies!Z7/1000</f>
        <v>0</v>
      </c>
      <c r="C30" s="63"/>
      <c r="D30" s="60" t="s">
        <v>182</v>
      </c>
      <c r="E30" s="151">
        <f>PGL_Supplies!AB7/1000</f>
        <v>32.97</v>
      </c>
      <c r="F30" s="168"/>
      <c r="H30"/>
      <c r="I30"/>
      <c r="J30"/>
      <c r="K30"/>
      <c r="L30"/>
      <c r="M30"/>
    </row>
    <row r="31" spans="1:13" ht="15.6" thickBot="1">
      <c r="A31" s="172" t="s">
        <v>535</v>
      </c>
      <c r="B31" s="1021">
        <v>0</v>
      </c>
      <c r="C31" s="1018"/>
      <c r="D31" s="60"/>
      <c r="E31" s="60"/>
      <c r="F31" s="168"/>
      <c r="H31"/>
      <c r="I31"/>
      <c r="J31"/>
      <c r="K31"/>
      <c r="L31"/>
      <c r="M31"/>
    </row>
    <row r="32" spans="1:13" ht="16.2" thickBot="1">
      <c r="A32" s="169" t="s">
        <v>536</v>
      </c>
      <c r="B32" s="985">
        <f>PGL_Supplies!AC7/1000</f>
        <v>5.0279999999999996</v>
      </c>
      <c r="C32" s="63"/>
      <c r="D32" s="1271" t="s">
        <v>209</v>
      </c>
      <c r="E32" s="220">
        <f>SUM(E25:E31)-SUM(F26:F31)-E29</f>
        <v>28.457999999999998</v>
      </c>
      <c r="F32" s="1268"/>
      <c r="H32"/>
      <c r="I32"/>
      <c r="J32"/>
      <c r="K32"/>
      <c r="L32"/>
      <c r="M32"/>
    </row>
    <row r="33" spans="1:13" ht="15">
      <c r="A33" s="169" t="s">
        <v>537</v>
      </c>
      <c r="B33" s="151">
        <f>PGL_Supplies!AD7/1000</f>
        <v>0</v>
      </c>
      <c r="C33" s="63"/>
      <c r="D33" s="60"/>
      <c r="E33" s="60"/>
      <c r="F33" s="168"/>
      <c r="H33"/>
      <c r="I33"/>
      <c r="J33"/>
      <c r="K33"/>
      <c r="L33"/>
      <c r="M33"/>
    </row>
    <row r="34" spans="1:13" ht="15">
      <c r="A34" s="170" t="s">
        <v>8</v>
      </c>
      <c r="B34" s="60"/>
      <c r="C34" s="218">
        <v>0</v>
      </c>
      <c r="D34" s="60"/>
      <c r="E34" s="60"/>
      <c r="F34" s="168"/>
      <c r="H34"/>
      <c r="I34"/>
      <c r="J34"/>
      <c r="K34"/>
      <c r="L34"/>
      <c r="M34"/>
    </row>
    <row r="35" spans="1:13" ht="15.6" thickBot="1">
      <c r="A35" s="170" t="s">
        <v>7</v>
      </c>
      <c r="B35" s="151">
        <f>PGL_Supplies!O7/1000</f>
        <v>0</v>
      </c>
      <c r="C35" s="63"/>
      <c r="D35" s="60"/>
      <c r="E35" s="60"/>
      <c r="F35" s="164"/>
      <c r="H35"/>
      <c r="I35"/>
      <c r="J35"/>
      <c r="K35"/>
      <c r="L35"/>
      <c r="M35"/>
    </row>
    <row r="36" spans="1:13" ht="15">
      <c r="A36" s="169" t="s">
        <v>540</v>
      </c>
      <c r="B36" s="616">
        <f>(PGL_Deliveries!AD5+PGL_Deliveries!AE5+PGL_Deliveries!AF5)/1000</f>
        <v>0.14899999999999999</v>
      </c>
      <c r="C36" s="63"/>
      <c r="D36" s="757" t="s">
        <v>546</v>
      </c>
      <c r="E36" s="775"/>
      <c r="F36" s="173">
        <f>PGL_Requirements!J7/1000</f>
        <v>0</v>
      </c>
      <c r="H36"/>
      <c r="I36"/>
      <c r="J36"/>
      <c r="K36"/>
      <c r="L36"/>
      <c r="M36"/>
    </row>
    <row r="37" spans="1:13" ht="15">
      <c r="A37" s="169" t="s">
        <v>541</v>
      </c>
      <c r="B37" s="60"/>
      <c r="C37" s="63">
        <f>PGL_Deliveries!AE5/1000</f>
        <v>0</v>
      </c>
      <c r="D37" s="242" t="s">
        <v>488</v>
      </c>
      <c r="E37" s="776">
        <f>PGL_Supplies!AA7/1000</f>
        <v>198.20400000000001</v>
      </c>
      <c r="F37" s="168"/>
      <c r="H37"/>
      <c r="I37"/>
      <c r="J37"/>
      <c r="K37"/>
      <c r="L37"/>
      <c r="M37"/>
    </row>
    <row r="38" spans="1:13" ht="15">
      <c r="A38" s="172" t="s">
        <v>542</v>
      </c>
      <c r="B38" s="67"/>
      <c r="C38" s="467">
        <f>PGL_Deliveries!AD5/1000</f>
        <v>0</v>
      </c>
      <c r="D38" s="60" t="s">
        <v>361</v>
      </c>
      <c r="E38" s="776">
        <f>PGL_Supplies!V7/1000</f>
        <v>0</v>
      </c>
      <c r="F38" s="168"/>
      <c r="H38"/>
      <c r="I38"/>
      <c r="J38"/>
      <c r="K38"/>
      <c r="L38"/>
      <c r="M38"/>
    </row>
    <row r="39" spans="1:13" ht="15">
      <c r="A39" s="170" t="s">
        <v>543</v>
      </c>
      <c r="B39" s="151" t="s">
        <v>9</v>
      </c>
      <c r="C39" s="151">
        <f>PGL_Deliveries!AW5/1000</f>
        <v>115.3</v>
      </c>
      <c r="D39" s="60" t="s">
        <v>491</v>
      </c>
      <c r="E39" s="151"/>
      <c r="F39" s="173">
        <f>(PGL_Requirements!$AE$7+PGL_Requirements!$AF$7+PGL_Requirements!$AG$7)/1000</f>
        <v>0</v>
      </c>
      <c r="G39" s="1" t="s">
        <v>9</v>
      </c>
      <c r="H39"/>
      <c r="I39"/>
      <c r="J39"/>
      <c r="K39"/>
      <c r="L39"/>
      <c r="M39"/>
    </row>
    <row r="40" spans="1:13" ht="15">
      <c r="A40" s="170" t="s">
        <v>544</v>
      </c>
      <c r="B40" s="151">
        <f>PGL_Supplies!L7/1000</f>
        <v>0</v>
      </c>
      <c r="C40" s="63"/>
      <c r="D40" s="60" t="s">
        <v>492</v>
      </c>
      <c r="E40" s="151">
        <f>NSG_Requirements!$AB$7+NSG_Requirements!$AC$7+NSG_Requirements!$AD$7+NSG_Requirements!$AE$7/1000+NSG_Requirements!K7/1000</f>
        <v>0</v>
      </c>
      <c r="F40" s="173"/>
      <c r="H40"/>
      <c r="I40"/>
      <c r="J40"/>
      <c r="K40"/>
      <c r="L40"/>
      <c r="M40"/>
    </row>
    <row r="41" spans="1:13" ht="15">
      <c r="A41" s="169" t="s">
        <v>545</v>
      </c>
      <c r="B41" s="60"/>
      <c r="C41" s="218">
        <f>PGL_Deliveries!AU5/1000</f>
        <v>0</v>
      </c>
      <c r="D41" s="60" t="s">
        <v>557</v>
      </c>
      <c r="E41" s="776">
        <f>PGL_Supplies!R7/1000</f>
        <v>20</v>
      </c>
      <c r="F41" s="168"/>
      <c r="H41"/>
      <c r="I41"/>
      <c r="J41"/>
      <c r="K41"/>
      <c r="L41"/>
      <c r="M41"/>
    </row>
    <row r="42" spans="1:13" ht="15">
      <c r="A42" s="169" t="s">
        <v>194</v>
      </c>
      <c r="B42" s="151">
        <f>PGL_Deliveries!AV5/1000</f>
        <v>0.20899999999999999</v>
      </c>
      <c r="C42" s="63"/>
      <c r="D42" s="72" t="s">
        <v>744</v>
      </c>
      <c r="E42" s="60"/>
      <c r="F42" s="173">
        <f>PGL_Deliveries!BG5/1000</f>
        <v>0</v>
      </c>
      <c r="H42"/>
      <c r="I42"/>
      <c r="J42"/>
      <c r="K42"/>
      <c r="L42"/>
      <c r="M42"/>
    </row>
    <row r="43" spans="1:13" ht="15">
      <c r="A43" s="169" t="s">
        <v>201</v>
      </c>
      <c r="B43" s="151">
        <f>PGL_Deliveries!AI5/1000</f>
        <v>0</v>
      </c>
      <c r="C43" s="63"/>
      <c r="D43" s="756" t="s">
        <v>745</v>
      </c>
      <c r="E43" s="67"/>
      <c r="F43" s="1202">
        <f>PGL_Deliveries!BH5/1000</f>
        <v>0</v>
      </c>
      <c r="H43"/>
      <c r="I43"/>
      <c r="J43"/>
      <c r="K43"/>
      <c r="L43"/>
      <c r="M43"/>
    </row>
    <row r="44" spans="1:13" ht="15.6" thickBot="1">
      <c r="A44" s="170" t="s">
        <v>547</v>
      </c>
      <c r="B44" s="151">
        <f>PGL_Deliveries!AG5/1000</f>
        <v>0</v>
      </c>
      <c r="C44" s="63"/>
      <c r="D44" s="60"/>
      <c r="E44" s="165"/>
      <c r="F44" s="168"/>
      <c r="H44"/>
      <c r="I44"/>
      <c r="J44"/>
      <c r="K44"/>
      <c r="L44"/>
      <c r="M44"/>
    </row>
    <row r="45" spans="1:13" ht="15">
      <c r="A45" s="169" t="s">
        <v>746</v>
      </c>
      <c r="B45" s="151">
        <f>PGL_Deliveries!BK5/1000</f>
        <v>0</v>
      </c>
      <c r="C45" s="218">
        <f>PGL_Deliveries!BJ5/1000</f>
        <v>0</v>
      </c>
      <c r="D45" s="430" t="s">
        <v>549</v>
      </c>
      <c r="E45" s="60">
        <f>Weather_Input!B5</f>
        <v>67</v>
      </c>
      <c r="F45" s="1116"/>
    </row>
    <row r="46" spans="1:13" ht="15">
      <c r="A46" s="169" t="s">
        <v>548</v>
      </c>
      <c r="B46" s="151">
        <f>PGL_Deliveries!AY5/1000</f>
        <v>1.7295</v>
      </c>
      <c r="C46" s="63"/>
      <c r="D46" s="169" t="s">
        <v>550</v>
      </c>
      <c r="E46" s="230">
        <f>Weather_Input!C5</f>
        <v>55</v>
      </c>
      <c r="F46" s="158"/>
    </row>
    <row r="47" spans="1:13" ht="15">
      <c r="A47" s="172" t="s">
        <v>655</v>
      </c>
      <c r="B47" s="67"/>
      <c r="C47" s="1202">
        <f>PGL_Requirements!Q7/1000</f>
        <v>0.64</v>
      </c>
      <c r="D47" s="170" t="s">
        <v>551</v>
      </c>
      <c r="E47" s="60">
        <f>Weather_Input!E5</f>
        <v>59.9</v>
      </c>
      <c r="F47" s="158"/>
    </row>
    <row r="48" spans="1:13" ht="15">
      <c r="A48" s="170" t="s">
        <v>230</v>
      </c>
      <c r="B48" s="151">
        <f>PGL_Deliveries!AK5/1000</f>
        <v>0</v>
      </c>
      <c r="C48" s="158"/>
      <c r="D48" s="169" t="s">
        <v>552</v>
      </c>
      <c r="E48" s="219">
        <f>Weather_Input!D5</f>
        <v>13.2</v>
      </c>
      <c r="F48" s="158"/>
    </row>
    <row r="49" spans="1:6" ht="15">
      <c r="A49" s="169" t="s">
        <v>683</v>
      </c>
      <c r="B49" s="151">
        <f>PGL_Deliveries!AL5/1000</f>
        <v>0</v>
      </c>
      <c r="C49" s="158"/>
      <c r="D49" s="169" t="s">
        <v>553</v>
      </c>
      <c r="E49" s="151">
        <f>PGL_Deliveries!AO5/1000</f>
        <v>1.02</v>
      </c>
      <c r="F49" s="158"/>
    </row>
    <row r="50" spans="1:6" ht="15.6" outlineLevel="2" thickBot="1">
      <c r="A50" s="167" t="s">
        <v>555</v>
      </c>
      <c r="B50" s="205">
        <f>PGL_Deliveries!AM5/1000</f>
        <v>3</v>
      </c>
      <c r="C50" s="429"/>
      <c r="D50" s="100" t="s">
        <v>554</v>
      </c>
      <c r="E50" s="160"/>
      <c r="F50" s="429"/>
    </row>
    <row r="51" spans="1:6" ht="15" outlineLevel="2">
      <c r="A51" s="412" t="s">
        <v>556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19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tabSelected="1" zoomScale="75" workbookViewId="0">
      <selection sqref="A1:F41"/>
    </sheetView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6" thickBot="1">
      <c r="A3" s="1022" t="s">
        <v>4</v>
      </c>
      <c r="B3" s="235">
        <f>NSG_Deliveries!H5/1000</f>
        <v>40.091000000000001</v>
      </c>
      <c r="C3" s="117"/>
      <c r="D3" s="222" t="s">
        <v>309</v>
      </c>
      <c r="E3" s="420">
        <f>Weather_Input!A5</f>
        <v>37147</v>
      </c>
      <c r="F3" s="117"/>
      <c r="G3"/>
      <c r="J3"/>
      <c r="K3"/>
    </row>
    <row r="4" spans="1:11" ht="15.6" thickTop="1">
      <c r="A4" s="240"/>
      <c r="B4" s="233"/>
      <c r="C4" s="129"/>
      <c r="D4" s="159"/>
      <c r="E4" s="159"/>
      <c r="F4" s="123"/>
      <c r="G4"/>
      <c r="J4"/>
      <c r="K4"/>
    </row>
    <row r="5" spans="1:11" ht="15">
      <c r="A5" s="241" t="s">
        <v>163</v>
      </c>
      <c r="B5" s="234">
        <f>NSG_Deliveries!E5/1000</f>
        <v>27.995999999999999</v>
      </c>
      <c r="C5" s="143"/>
      <c r="D5" s="214" t="s">
        <v>310</v>
      </c>
      <c r="E5" s="209">
        <f>NSG_Deliveries!D5/1000</f>
        <v>0</v>
      </c>
      <c r="F5" s="206"/>
      <c r="G5"/>
      <c r="J5"/>
      <c r="K5"/>
    </row>
    <row r="6" spans="1:11" ht="15" customHeight="1">
      <c r="A6" s="240"/>
      <c r="B6" s="233"/>
      <c r="C6" s="129"/>
      <c r="D6" s="159"/>
      <c r="E6" s="159"/>
      <c r="F6" s="124"/>
      <c r="G6"/>
    </row>
    <row r="7" spans="1:11" ht="15" customHeight="1">
      <c r="A7" s="241" t="s">
        <v>311</v>
      </c>
      <c r="B7" s="209">
        <f>NSG_Deliveries!G5/1000</f>
        <v>0</v>
      </c>
      <c r="C7" s="784"/>
      <c r="D7" s="214" t="s">
        <v>312</v>
      </c>
      <c r="E7" s="209">
        <f>NSG_Supplies!T7/1000</f>
        <v>0</v>
      </c>
      <c r="F7" s="113"/>
      <c r="G7"/>
    </row>
    <row r="8" spans="1:11" ht="15" customHeight="1">
      <c r="A8" s="228" t="s">
        <v>209</v>
      </c>
      <c r="B8" s="209">
        <f>B5+B7</f>
        <v>27.995999999999999</v>
      </c>
      <c r="C8" s="158"/>
      <c r="D8" s="785" t="s">
        <v>570</v>
      </c>
      <c r="E8" s="779">
        <f>NSG_Deliveries!F5/1000</f>
        <v>12.095000000000001</v>
      </c>
      <c r="F8" s="778"/>
      <c r="G8"/>
    </row>
    <row r="9" spans="1:11" ht="15" customHeight="1">
      <c r="A9" s="236" t="s">
        <v>308</v>
      </c>
      <c r="B9" s="210" t="s">
        <v>9</v>
      </c>
      <c r="C9" s="131">
        <f>NSG_Requirements!L7/1000</f>
        <v>0</v>
      </c>
      <c r="D9" s="1" t="s">
        <v>562</v>
      </c>
      <c r="E9" s="780" t="s">
        <v>9</v>
      </c>
      <c r="F9" s="947">
        <f>NSG_Deliveries!M5/1000</f>
        <v>7.9050000000000002</v>
      </c>
      <c r="G9" s="119"/>
    </row>
    <row r="10" spans="1:11" ht="15" customHeight="1">
      <c r="A10" s="125" t="s">
        <v>314</v>
      </c>
      <c r="B10" s="211">
        <f>NSG_Supplies!G7/1000</f>
        <v>0</v>
      </c>
      <c r="C10" s="130"/>
      <c r="D10" s="949" t="s">
        <v>563</v>
      </c>
      <c r="E10" s="432">
        <f>NSG_Deliveries!N5/1000</f>
        <v>0</v>
      </c>
      <c r="F10" s="781"/>
      <c r="G10"/>
    </row>
    <row r="11" spans="1:11" ht="15" customHeight="1" thickBot="1">
      <c r="A11" s="128" t="s">
        <v>315</v>
      </c>
      <c r="B11" s="418" t="s">
        <v>9</v>
      </c>
      <c r="C11" s="419"/>
      <c r="D11" s="167" t="s">
        <v>571</v>
      </c>
      <c r="E11" s="782">
        <f>NSG_Supplies!P7/1000</f>
        <v>20</v>
      </c>
      <c r="F11" s="783"/>
      <c r="G11"/>
    </row>
    <row r="12" spans="1:11" ht="15" customHeight="1">
      <c r="A12" s="125" t="s">
        <v>362</v>
      </c>
      <c r="B12" s="211">
        <v>0</v>
      </c>
      <c r="C12" s="129"/>
      <c r="D12" t="s">
        <v>313</v>
      </c>
      <c r="E12" s="233"/>
      <c r="F12" s="770">
        <f>NSG_Requirements!K7/1000+NSG_Requirements!L7/1000+NSG_Requirements!M7/1000+NSG_Requirements!N7/1000</f>
        <v>0</v>
      </c>
      <c r="G12"/>
    </row>
    <row r="13" spans="1:11" ht="15" customHeight="1">
      <c r="A13" s="125" t="s">
        <v>318</v>
      </c>
      <c r="B13" s="211">
        <f>NSG_Supplies!Q7/1000</f>
        <v>26.498999999999999</v>
      </c>
      <c r="C13" s="129"/>
      <c r="D13" s="238" t="s">
        <v>316</v>
      </c>
      <c r="E13" s="231"/>
      <c r="F13" s="239"/>
      <c r="G13"/>
    </row>
    <row r="14" spans="1:11" ht="15" customHeight="1">
      <c r="A14" s="125" t="s">
        <v>179</v>
      </c>
      <c r="B14" s="211">
        <f>NSG_Supplies!C7/1000</f>
        <v>0</v>
      </c>
      <c r="C14" s="129"/>
      <c r="D14" s="207" t="s">
        <v>317</v>
      </c>
      <c r="E14" s="237" t="s">
        <v>9</v>
      </c>
      <c r="F14" s="126">
        <f>NSG_Requirements!M7/1000</f>
        <v>0</v>
      </c>
    </row>
    <row r="15" spans="1:11" ht="15" customHeight="1">
      <c r="A15" s="127" t="s">
        <v>320</v>
      </c>
      <c r="B15" s="207"/>
      <c r="C15" s="131">
        <f>NSG_Deliveries!K5/1000</f>
        <v>0</v>
      </c>
      <c r="D15" s="229" t="s">
        <v>319</v>
      </c>
      <c r="E15" s="749">
        <f>+NSG_Supplies!N7/1000</f>
        <v>0</v>
      </c>
      <c r="F15" s="208"/>
    </row>
    <row r="16" spans="1:11" ht="15" customHeight="1" thickBot="1">
      <c r="A16" s="127" t="s">
        <v>321</v>
      </c>
      <c r="B16" s="432">
        <f>NSG_Deliveries!L5/1000</f>
        <v>1.4970000000000001</v>
      </c>
      <c r="C16" s="948"/>
      <c r="D16" s="793" t="s">
        <v>228</v>
      </c>
      <c r="E16" s="227" t="s">
        <v>9</v>
      </c>
      <c r="F16" s="126">
        <f>NSG_Requirements!X7/1000</f>
        <v>0</v>
      </c>
    </row>
    <row r="17" spans="1:8" ht="15" customHeight="1" thickBot="1">
      <c r="A17" s="125" t="s">
        <v>322</v>
      </c>
      <c r="B17" s="207"/>
      <c r="C17" s="131">
        <f>NSG_Requirements!P7/1000</f>
        <v>0</v>
      </c>
      <c r="D17" s="422" t="s">
        <v>323</v>
      </c>
      <c r="E17" s="421"/>
      <c r="F17" s="423"/>
    </row>
    <row r="18" spans="1:8" ht="15" customHeight="1">
      <c r="A18" s="125" t="s">
        <v>324</v>
      </c>
      <c r="B18" s="211">
        <f>NSG_Supplies!H7/1000</f>
        <v>0</v>
      </c>
      <c r="C18" s="129"/>
      <c r="D18" s="63" t="s">
        <v>325</v>
      </c>
      <c r="E18" s="159"/>
      <c r="F18" s="126">
        <f>NSG_Requirements!N7/1000</f>
        <v>0</v>
      </c>
    </row>
    <row r="19" spans="1:8" ht="15" customHeight="1">
      <c r="A19" s="1212" t="s">
        <v>9</v>
      </c>
      <c r="B19" s="432" t="s">
        <v>9</v>
      </c>
      <c r="C19" s="431" t="s">
        <v>9</v>
      </c>
      <c r="D19" s="224" t="s">
        <v>326</v>
      </c>
      <c r="E19" s="159"/>
      <c r="F19" s="126">
        <f>NSG_Requirements!S7/1000</f>
        <v>0</v>
      </c>
    </row>
    <row r="20" spans="1:8" ht="15" customHeight="1">
      <c r="A20" s="1212" t="s">
        <v>9</v>
      </c>
      <c r="B20" s="432" t="s">
        <v>9</v>
      </c>
      <c r="C20" s="431" t="s">
        <v>9</v>
      </c>
      <c r="D20" s="207" t="s">
        <v>327</v>
      </c>
      <c r="E20" s="159"/>
      <c r="F20" s="126">
        <f>NSG_Requirements!O7/1000</f>
        <v>0</v>
      </c>
    </row>
    <row r="21" spans="1:8" ht="15" customHeight="1">
      <c r="A21" s="1212" t="s">
        <v>9</v>
      </c>
      <c r="B21" s="432" t="s">
        <v>9</v>
      </c>
      <c r="C21" s="431" t="s">
        <v>9</v>
      </c>
      <c r="D21" s="215" t="s">
        <v>328</v>
      </c>
      <c r="E21" s="211">
        <f>NSG_Supplies!K7/1000</f>
        <v>0</v>
      </c>
      <c r="F21" s="141"/>
    </row>
    <row r="22" spans="1:8" ht="15" customHeight="1">
      <c r="A22" s="125" t="s">
        <v>9</v>
      </c>
      <c r="B22" s="207" t="s">
        <v>9</v>
      </c>
      <c r="C22" s="131" t="s">
        <v>9</v>
      </c>
      <c r="D22" s="215" t="s">
        <v>348</v>
      </c>
      <c r="E22" s="211">
        <f>NSG_Supplies!L7/1000</f>
        <v>0</v>
      </c>
      <c r="F22" s="141"/>
    </row>
    <row r="23" spans="1:8" ht="15" customHeight="1">
      <c r="A23" s="125" t="s">
        <v>9</v>
      </c>
      <c r="B23" s="207" t="s">
        <v>9</v>
      </c>
      <c r="C23" s="131" t="s">
        <v>9</v>
      </c>
      <c r="D23" s="215" t="s">
        <v>329</v>
      </c>
      <c r="E23" s="211">
        <f>PGL_Supplies!Q7/1000</f>
        <v>0</v>
      </c>
      <c r="F23" s="126" t="s">
        <v>9</v>
      </c>
    </row>
    <row r="24" spans="1:8" ht="15" customHeight="1">
      <c r="A24" s="125" t="s">
        <v>9</v>
      </c>
      <c r="B24" s="211" t="s">
        <v>9</v>
      </c>
      <c r="C24" s="129" t="s">
        <v>9</v>
      </c>
      <c r="D24" s="223" t="s">
        <v>330</v>
      </c>
      <c r="E24" s="216">
        <f>NSG_Supplies!O7/1000</f>
        <v>0</v>
      </c>
      <c r="F24" s="124"/>
    </row>
    <row r="25" spans="1:8" ht="15" customHeight="1">
      <c r="A25" s="1212" t="s">
        <v>9</v>
      </c>
      <c r="B25" s="207" t="s">
        <v>9</v>
      </c>
      <c r="C25" s="131" t="s">
        <v>9</v>
      </c>
      <c r="D25" s="223" t="s">
        <v>331</v>
      </c>
      <c r="E25" s="211">
        <f>PGL_Requirements!V71/1000</f>
        <v>0</v>
      </c>
      <c r="F25" s="116"/>
    </row>
    <row r="26" spans="1:8" ht="15" customHeight="1">
      <c r="A26" s="142" t="s">
        <v>9</v>
      </c>
      <c r="B26" s="212" t="s">
        <v>9</v>
      </c>
      <c r="C26" s="143"/>
      <c r="D26" s="750" t="s">
        <v>332</v>
      </c>
      <c r="E26" s="754"/>
      <c r="F26" s="126">
        <f>NSG_Requirements!D7/1000</f>
        <v>0</v>
      </c>
    </row>
    <row r="27" spans="1:8" ht="15" customHeight="1" thickBot="1">
      <c r="A27" s="144" t="s">
        <v>209</v>
      </c>
      <c r="B27" s="213">
        <f>SUM(B9:B26)-SUM(C9:C26)</f>
        <v>27.995999999999999</v>
      </c>
      <c r="C27" s="145"/>
      <c r="D27" s="232" t="s">
        <v>333</v>
      </c>
      <c r="E27" s="213">
        <f>SUM(E18:E26)-SUM(F18:F26)</f>
        <v>0</v>
      </c>
      <c r="F27" s="146"/>
      <c r="H27" s="1" t="s">
        <v>9</v>
      </c>
    </row>
    <row r="28" spans="1:8" ht="15" customHeight="1" thickTop="1">
      <c r="A28" s="161" t="s">
        <v>363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1" t="s">
        <v>9</v>
      </c>
    </row>
    <row r="2" spans="1:3" ht="15.6">
      <c r="C2" s="94" t="s">
        <v>334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1" max="1" width="0.6328125" customWidth="1"/>
    <col min="2" max="2" width="1.36328125" style="772" customWidth="1"/>
    <col min="3" max="3" width="22.6328125" customWidth="1"/>
    <col min="4" max="4" width="0.81640625" customWidth="1"/>
    <col min="5" max="5" width="21.453125" customWidth="1"/>
    <col min="6" max="6" width="1.08984375" customWidth="1"/>
    <col min="7" max="7" width="23.90625" customWidth="1"/>
  </cols>
  <sheetData>
    <row r="1" spans="2:7">
      <c r="E1" s="772" t="s">
        <v>9</v>
      </c>
    </row>
    <row r="2" spans="2:7">
      <c r="B2" s="884" t="s">
        <v>9</v>
      </c>
      <c r="C2" s="884" t="s">
        <v>9</v>
      </c>
      <c r="D2" s="884" t="s">
        <v>157</v>
      </c>
      <c r="E2" s="884" t="s">
        <v>9</v>
      </c>
      <c r="F2" s="884" t="s">
        <v>157</v>
      </c>
      <c r="G2" s="884" t="s">
        <v>9</v>
      </c>
    </row>
    <row r="4" spans="2:7">
      <c r="B4" s="885" t="s">
        <v>157</v>
      </c>
      <c r="C4" t="s">
        <v>800</v>
      </c>
      <c r="E4" t="s">
        <v>804</v>
      </c>
      <c r="G4" t="s">
        <v>801</v>
      </c>
    </row>
    <row r="5" spans="2:7">
      <c r="C5" s="193">
        <f>SUM(PGL_Nine_to_Nine!B34)</f>
        <v>208.20400000000001</v>
      </c>
      <c r="E5" s="1263">
        <f>SUM(PGL_Nine_to_Nine!F24)*2</f>
        <v>0</v>
      </c>
      <c r="G5" s="1263">
        <f>SUM(C5-E5)</f>
        <v>208.20400000000001</v>
      </c>
    </row>
    <row r="6" spans="2:7">
      <c r="B6" s="884" t="s">
        <v>9</v>
      </c>
      <c r="E6" t="s">
        <v>805</v>
      </c>
      <c r="G6" t="s">
        <v>806</v>
      </c>
    </row>
    <row r="7" spans="2:7">
      <c r="B7" s="884"/>
      <c r="E7" s="1263">
        <v>50</v>
      </c>
    </row>
    <row r="8" spans="2:7">
      <c r="B8" s="884" t="s">
        <v>9</v>
      </c>
      <c r="C8" t="s">
        <v>802</v>
      </c>
      <c r="G8" t="s">
        <v>803</v>
      </c>
    </row>
    <row r="9" spans="2:7">
      <c r="B9" s="884"/>
    </row>
    <row r="10" spans="2:7">
      <c r="B10" s="884" t="s">
        <v>9</v>
      </c>
    </row>
    <row r="11" spans="2:7">
      <c r="B11" s="884" t="s">
        <v>9</v>
      </c>
    </row>
    <row r="12" spans="2:7">
      <c r="B12" s="884" t="s">
        <v>9</v>
      </c>
    </row>
    <row r="13" spans="2:7">
      <c r="B13" s="884"/>
    </row>
    <row r="14" spans="2:7">
      <c r="B14" s="884" t="s">
        <v>9</v>
      </c>
    </row>
    <row r="15" spans="2:7">
      <c r="B15" s="884"/>
    </row>
    <row r="16" spans="2:7">
      <c r="B16" s="884" t="s">
        <v>9</v>
      </c>
    </row>
    <row r="17" spans="2:5">
      <c r="B17" s="884"/>
    </row>
    <row r="18" spans="2:5">
      <c r="B18" s="884" t="s">
        <v>9</v>
      </c>
    </row>
    <row r="19" spans="2:5">
      <c r="B19" s="884"/>
    </row>
    <row r="20" spans="2:5">
      <c r="B20" s="884" t="s">
        <v>9</v>
      </c>
    </row>
    <row r="21" spans="2:5">
      <c r="B21" s="884"/>
    </row>
    <row r="22" spans="2:5">
      <c r="B22" s="884" t="s">
        <v>9</v>
      </c>
    </row>
    <row r="24" spans="2:5">
      <c r="B24" s="884" t="s">
        <v>9</v>
      </c>
    </row>
    <row r="25" spans="2:5">
      <c r="E25" s="884" t="s">
        <v>9</v>
      </c>
    </row>
    <row r="27" spans="2:5">
      <c r="B27" s="884" t="s">
        <v>9</v>
      </c>
    </row>
    <row r="29" spans="2:5">
      <c r="B29" s="884" t="s">
        <v>9</v>
      </c>
    </row>
    <row r="30" spans="2:5">
      <c r="B30" s="884"/>
    </row>
    <row r="31" spans="2:5">
      <c r="B31" s="884" t="s">
        <v>9</v>
      </c>
    </row>
    <row r="32" spans="2:5">
      <c r="B32" s="884"/>
    </row>
    <row r="33" spans="2:2">
      <c r="B33" s="884" t="s">
        <v>9</v>
      </c>
    </row>
    <row r="34" spans="2:2">
      <c r="B34" s="884"/>
    </row>
    <row r="35" spans="2:2">
      <c r="B35" s="884" t="s">
        <v>9</v>
      </c>
    </row>
    <row r="36" spans="2:2">
      <c r="B36" s="884"/>
    </row>
    <row r="37" spans="2:2">
      <c r="B37" s="884" t="s">
        <v>9</v>
      </c>
    </row>
    <row r="38" spans="2:2">
      <c r="B38" s="884"/>
    </row>
    <row r="39" spans="2:2">
      <c r="B39" s="884" t="s">
        <v>9</v>
      </c>
    </row>
    <row r="40" spans="2:2">
      <c r="B40" s="884"/>
    </row>
    <row r="41" spans="2:2">
      <c r="B41" s="884" t="s">
        <v>9</v>
      </c>
    </row>
    <row r="42" spans="2:2">
      <c r="B42" s="884"/>
    </row>
    <row r="43" spans="2:2">
      <c r="B43" s="884" t="s">
        <v>9</v>
      </c>
    </row>
    <row r="44" spans="2:2">
      <c r="B44" s="884"/>
    </row>
    <row r="45" spans="2:2">
      <c r="B45" s="884" t="s">
        <v>9</v>
      </c>
    </row>
    <row r="47" spans="2:2">
      <c r="B47" s="884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38"/>
    <col min="2" max="16384" width="8.90625" style="135"/>
  </cols>
  <sheetData>
    <row r="1" spans="1:131" ht="15.6">
      <c r="A1" s="133"/>
      <c r="B1" s="134"/>
      <c r="D1" s="136"/>
    </row>
    <row r="2" spans="1:131" ht="15.6">
      <c r="A2" s="137"/>
      <c r="G2" s="134"/>
    </row>
    <row r="3" spans="1:131" ht="15">
      <c r="DZ3"/>
      <c r="EA3" s="149"/>
    </row>
    <row r="5" spans="1:131" ht="15.6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883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335</v>
      </c>
      <c r="B1" s="51">
        <f>Weather_Input!A5</f>
        <v>37147</v>
      </c>
      <c r="C1" s="4"/>
    </row>
    <row r="2" spans="1:19">
      <c r="A2" s="109" t="s">
        <v>336</v>
      </c>
      <c r="B2" s="4"/>
      <c r="C2" s="4"/>
    </row>
    <row r="3" spans="1:19" ht="15.6">
      <c r="B3" s="201" t="s">
        <v>65</v>
      </c>
      <c r="C3" s="95"/>
      <c r="D3" s="6"/>
      <c r="E3" s="6"/>
      <c r="F3" s="6"/>
      <c r="G3" s="194"/>
      <c r="H3" s="95" t="s">
        <v>66</v>
      </c>
      <c r="I3" s="95"/>
      <c r="J3" s="6"/>
      <c r="K3" s="6"/>
      <c r="L3" s="6"/>
      <c r="M3" s="194"/>
      <c r="N3" s="95" t="s">
        <v>35</v>
      </c>
      <c r="O3" s="6"/>
      <c r="P3" s="6"/>
      <c r="Q3" s="6"/>
      <c r="R3" s="6"/>
      <c r="S3" s="6"/>
    </row>
    <row r="4" spans="1:19">
      <c r="B4" s="202" t="s">
        <v>337</v>
      </c>
      <c r="C4" s="197"/>
      <c r="D4" s="193" t="s">
        <v>338</v>
      </c>
      <c r="E4" s="193" t="s">
        <v>338</v>
      </c>
      <c r="F4" s="6" t="s">
        <v>339</v>
      </c>
      <c r="G4" s="194"/>
      <c r="H4" s="6" t="s">
        <v>337</v>
      </c>
      <c r="I4" s="6"/>
      <c r="J4" s="193" t="s">
        <v>338</v>
      </c>
      <c r="K4" s="193" t="s">
        <v>338</v>
      </c>
      <c r="L4" s="6" t="s">
        <v>339</v>
      </c>
      <c r="M4" s="194"/>
      <c r="N4" s="6" t="s">
        <v>337</v>
      </c>
      <c r="O4" s="6"/>
      <c r="P4" s="193" t="s">
        <v>338</v>
      </c>
      <c r="Q4" s="193" t="s">
        <v>338</v>
      </c>
      <c r="R4" s="6" t="s">
        <v>339</v>
      </c>
      <c r="S4" s="6"/>
    </row>
    <row r="5" spans="1:19">
      <c r="A5" s="103"/>
      <c r="B5" s="203" t="s">
        <v>340</v>
      </c>
      <c r="C5" s="198" t="s">
        <v>341</v>
      </c>
      <c r="D5" s="195" t="s">
        <v>342</v>
      </c>
      <c r="E5" s="195" t="s">
        <v>343</v>
      </c>
      <c r="F5" s="195" t="s">
        <v>340</v>
      </c>
      <c r="G5" s="196" t="s">
        <v>341</v>
      </c>
      <c r="H5" s="195" t="s">
        <v>340</v>
      </c>
      <c r="I5" s="195" t="s">
        <v>341</v>
      </c>
      <c r="J5" s="195" t="s">
        <v>342</v>
      </c>
      <c r="K5" s="195" t="s">
        <v>343</v>
      </c>
      <c r="L5" s="195" t="s">
        <v>340</v>
      </c>
      <c r="M5" s="196" t="s">
        <v>341</v>
      </c>
      <c r="N5" s="195" t="s">
        <v>340</v>
      </c>
      <c r="O5" s="195" t="s">
        <v>341</v>
      </c>
      <c r="P5" s="195" t="s">
        <v>342</v>
      </c>
      <c r="Q5" s="195" t="s">
        <v>343</v>
      </c>
      <c r="R5" s="195" t="s">
        <v>340</v>
      </c>
      <c r="S5" s="195" t="s">
        <v>341</v>
      </c>
    </row>
    <row r="6" spans="1:19">
      <c r="A6" s="4">
        <f>B1-1</f>
        <v>37146</v>
      </c>
      <c r="B6" s="98" t="e">
        <v>#REF!</v>
      </c>
      <c r="C6" s="199" t="e">
        <v>#REF!</v>
      </c>
      <c r="D6" s="199" t="e">
        <v>#REF!</v>
      </c>
      <c r="E6" s="199" t="e">
        <v>#REF!</v>
      </c>
      <c r="F6" s="199" t="e">
        <v>#REF!</v>
      </c>
      <c r="G6" s="199" t="e">
        <v>#REF!</v>
      </c>
      <c r="H6" s="199" t="e">
        <v>#REF!</v>
      </c>
      <c r="I6" s="199" t="e">
        <v>#REF!</v>
      </c>
      <c r="J6" s="199" t="e">
        <v>#REF!</v>
      </c>
      <c r="K6" s="199" t="e">
        <v>#REF!</v>
      </c>
      <c r="L6" s="199" t="e">
        <v>#REF!</v>
      </c>
      <c r="M6" s="199" t="e">
        <v>#REF!</v>
      </c>
      <c r="N6" s="199">
        <v>65179</v>
      </c>
      <c r="O6" s="199">
        <v>0</v>
      </c>
      <c r="P6" s="199">
        <v>56793615</v>
      </c>
      <c r="Q6" s="199">
        <v>15045098</v>
      </c>
      <c r="R6" s="199">
        <v>41748517</v>
      </c>
      <c r="S6" s="199">
        <v>0</v>
      </c>
    </row>
    <row r="7" spans="1:19">
      <c r="A7" s="4">
        <f>B1</f>
        <v>37147</v>
      </c>
      <c r="B7" s="98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(PGL_Supplies!$Y$7+PGL_Supplies!$T$7+PGL_Supplies!$P$7+NSG_Requirements!$S$7+PGL_Supplies!#REF!+NSG_Requirements!$T$7+NSG_Requirements!$V$7+NSG_Requirements!$W$7+PGL_Requirements!#REF!+PGL_Requirements!$T$7+PGL_Requirements!$V$7+PGL_Requirements!$W$7-PGL_Deliveries!$X$5),0)</f>
        <v>#REF!</v>
      </c>
      <c r="C7" s="200" t="e">
        <f>IF((PGL_Deliveries!$X$5-(PGL_Supplies!$Y$7+PGL_Supplies!$T$7+PGL_Supplies!$P$7+PGL_Supplies!$Q$7+NSG_Requirements!$S$7+NSG_Requirements!$T$7+NSG_Requirements!$V$7+NSG_Requirements!$W$7)+PGL_Requirements!#REF!+PGL_Requirements!$T$7+PGL_Requirements!$V$7+PGL_Requirements!$W$7)&lt;0,0,(PGL_Deliveries!$X$5-(PGL_Supplies!$Y$7+PGL_Supplies!$T$7+PGL_Supplies!$P$7+PGL_Supplies!$Q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IF((PGL_Deliveries!$Y$5-(PGL_Supplies!$U$7+PGL_Supplies!#REF!+PGL_Supplies!$O$7))&lt;0,(PGL_Supplies!$U$7+PGL_Supplies!#REF!+PGL_Supplies!$O$7-PGL_Deliveries!$Y$5),0)</f>
        <v>#REF!</v>
      </c>
      <c r="I7" t="e">
        <f>IF((PGL_Deliveries!$Y$5-(PGL_Supplies!$U$7+PGL_Supplies!#REF!+PGL_Supplies!$O$7))&lt;0,0,(PGL_Deliveries!$Y$5-(PGL_Supplies!$U$7+PGL_Supplies!#REF!+PGL_Supplies!$O$7)))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D5+PGL_Deliveries!AE5+PGL_Deliveries!AF5)-(PGL_Supplies!N7+PGL_Supplies!X7+PGL_Supplies!AC7+PGL_Supplies!AD7)+(PGL_Requirements!M7+PGL_Requirements!S7)&lt;0,(PGL_Supplies!$N$7+PGL_Supplies!$X$7+PGL_Supplies!$AC$7+PGL_Supplies!$AD$7)-(PGL_Requirements!M7+PGL_Requirements!S7)-(PGL_Deliveries!$AD$5+PGL_Deliveries!$AE$5+PGL_Deliveries!$AF$5),0)</f>
        <v>74163</v>
      </c>
      <c r="O7">
        <f>IF((PGL_Deliveries!$AD$5+PGL_Deliveries!$AE$5+PGL_Deliveries!$AF$5)-(PGL_Supplies!$N$7+PGL_Supplies!$X$7+PGL_Supplies!$AC$7+PGL_Supplies!$AD$7)+PGL_Requirements!M7+PGL_Requirements!S7&lt;0,0,(PGL_Deliveries!$AD$5+PGL_Deliveries!$AE$5+PGL_Deliveries!$AF$5)-(PGL_Supplies!$N$7+PGL_Supplies!$X$7+PGL_Supplies!$AC$7+PGL_Supplies!$AD$7)+(PGL_Requirements!M7+PGL_Requirements!S7))</f>
        <v>0</v>
      </c>
      <c r="P7">
        <f>IF(N7&gt;0,P6+N7,N6)</f>
        <v>56867778</v>
      </c>
      <c r="Q7">
        <f>IF(O7&gt;0,Q6+O7,Q6)</f>
        <v>15045098</v>
      </c>
      <c r="R7">
        <f>IF(P7&gt;Q7,P7-Q7,0)</f>
        <v>41822680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344</v>
      </c>
      <c r="C1" s="3" t="s">
        <v>345</v>
      </c>
      <c r="D1" s="9" t="s">
        <v>346</v>
      </c>
    </row>
    <row r="2" spans="1:4">
      <c r="B2" s="3" t="s">
        <v>347</v>
      </c>
      <c r="C2" s="3" t="s">
        <v>25</v>
      </c>
      <c r="D2" s="7" t="s">
        <v>25</v>
      </c>
    </row>
    <row r="3" spans="1:4">
      <c r="A3" s="4">
        <v>37104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37105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37106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37107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37108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37109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37110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37111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37112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37113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37114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37115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37116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37117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37118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37119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37120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37121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37122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37123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37124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37125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37126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37127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37128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37129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37130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37131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37132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37133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37134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37135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37136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37137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37138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37139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37140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37141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37142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37143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37144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37145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37146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37147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37148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37149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37150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37151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37152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37153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37154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37155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37156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37157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37158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37159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37160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37161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37162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37163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37164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37165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37166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37167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37168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37169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37170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37171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37172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37173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37174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37175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37176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37177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37178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37179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37180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37181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37182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37183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37184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37185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37186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37187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37188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37189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37190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37191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37192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37193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37194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37195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37196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37197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37198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37199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37200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37201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37202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37203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37204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37205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37206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37207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37208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37209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37210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37211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37212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37213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37214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37215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37216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37217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37218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37219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37220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37221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37222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37223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37224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37225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37226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37227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37228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37229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37230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37231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37232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37233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37234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37235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37236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37237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37238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37239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37240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37241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37242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37243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37244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37245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37246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37247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37248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37249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37250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37251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37252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37253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37254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37255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37256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37257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37258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37259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37260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37261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37262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37263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37264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37265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37266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37267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37268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37269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37270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37271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37272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37273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37274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37275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37276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37277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37278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37279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37280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37281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37282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37283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37284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37285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37286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37287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37288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37289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37290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37291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37292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37293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37294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37295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37296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37297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37298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37299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37300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37301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37302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37303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37304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37305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37306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37307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37308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37309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37310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37311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37312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37313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37314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37315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37316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37317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37318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37319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37320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37321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37322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37323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37324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37325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37326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37327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37328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37329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37330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37331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37332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37333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37334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37335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37336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37337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37338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37339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37340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37341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37342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37343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37344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37345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37346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37347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37348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37349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37350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37351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37352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37353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37354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37355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37356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37357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37358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37359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37360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37361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37362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37363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37364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37365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37366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37367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37368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37369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37370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37371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37372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37373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37374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37375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37376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37377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37378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37379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37380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37381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37382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37383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37384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37385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37386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37387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37388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37389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37390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37391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37392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37393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37394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37395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37396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37397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37398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37399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37400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37401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37402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37403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37404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37405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37406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37407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37408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37409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37410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37411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37412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37413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37414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37415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37416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37417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37418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37419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37420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37421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37422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37423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37424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37425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37426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37427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37428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37429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37430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37431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37432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37433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37434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37435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37436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37437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37438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37439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37440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37441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37442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37443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37444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37445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37446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37447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37448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37449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37450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37451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37452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37453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37454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37455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37456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37457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37458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37459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37460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37461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37462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37463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37464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37465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37466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37467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37468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37469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37470</v>
      </c>
      <c r="B369">
        <v>0</v>
      </c>
      <c r="C369">
        <v>0</v>
      </c>
      <c r="D369">
        <v>0</v>
      </c>
    </row>
    <row r="370" spans="1:4">
      <c r="A370" s="4">
        <f t="shared" si="15"/>
        <v>37471</v>
      </c>
      <c r="B370">
        <v>0</v>
      </c>
      <c r="C370">
        <v>0</v>
      </c>
      <c r="D370">
        <v>0</v>
      </c>
    </row>
    <row r="371" spans="1:4">
      <c r="A371" s="4">
        <f t="shared" si="15"/>
        <v>37472</v>
      </c>
      <c r="B371">
        <v>0</v>
      </c>
      <c r="C371">
        <v>0</v>
      </c>
      <c r="D371">
        <v>0</v>
      </c>
    </row>
    <row r="372" spans="1:4">
      <c r="A372" s="4">
        <f t="shared" si="15"/>
        <v>37473</v>
      </c>
      <c r="B372">
        <v>0</v>
      </c>
      <c r="C372">
        <v>0</v>
      </c>
      <c r="D372">
        <v>0</v>
      </c>
    </row>
    <row r="373" spans="1:4">
      <c r="A373" s="4">
        <f t="shared" si="15"/>
        <v>37474</v>
      </c>
      <c r="B373">
        <v>0</v>
      </c>
      <c r="C373">
        <v>0</v>
      </c>
      <c r="D373">
        <v>0</v>
      </c>
    </row>
    <row r="374" spans="1:4">
      <c r="A374" s="4">
        <f t="shared" si="15"/>
        <v>37475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P30"/>
  <sheetViews>
    <sheetView topLeftCell="AX1" zoomScale="75" workbookViewId="0">
      <selection activeCell="BK5" sqref="BK5"/>
    </sheetView>
  </sheetViews>
  <sheetFormatPr defaultRowHeight="15"/>
  <cols>
    <col min="2" max="2" width="4.36328125" customWidth="1"/>
    <col min="3" max="3" width="8" customWidth="1"/>
    <col min="4" max="4" width="6.81640625" customWidth="1"/>
    <col min="5" max="19" width="7.90625" customWidth="1"/>
    <col min="20" max="21" width="9.54296875" customWidth="1"/>
    <col min="22" max="36" width="7.90625" customWidth="1"/>
    <col min="42" max="42" width="4.81640625" customWidth="1"/>
    <col min="43" max="52" width="7.90625" customWidth="1"/>
    <col min="53" max="53" width="4.81640625" customWidth="1"/>
    <col min="58" max="58" width="4.81640625" customWidth="1"/>
    <col min="61" max="61" width="4.81640625" customWidth="1"/>
  </cols>
  <sheetData>
    <row r="1" spans="1:94">
      <c r="A1" s="225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BB1" s="860" t="s">
        <v>644</v>
      </c>
      <c r="BG1" t="s">
        <v>645</v>
      </c>
    </row>
    <row r="2" spans="1:94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07" t="s">
        <v>35</v>
      </c>
      <c r="AE2" s="108" t="s">
        <v>9</v>
      </c>
      <c r="AF2" s="108" t="s">
        <v>9</v>
      </c>
      <c r="AG2" s="154" t="s">
        <v>36</v>
      </c>
      <c r="AH2" s="154"/>
      <c r="AI2" s="154" t="s">
        <v>36</v>
      </c>
      <c r="AJ2" s="107" t="s">
        <v>9</v>
      </c>
      <c r="AQ2" s="424"/>
      <c r="AR2" s="424"/>
      <c r="AS2" s="424"/>
      <c r="AT2" s="424"/>
      <c r="AU2" s="424"/>
      <c r="AV2" s="424"/>
      <c r="AW2" s="424" t="s">
        <v>9</v>
      </c>
      <c r="AX2" s="424"/>
      <c r="AY2" s="424"/>
      <c r="AZ2" s="424"/>
      <c r="BB2" s="193" t="s">
        <v>36</v>
      </c>
      <c r="BC2" t="s">
        <v>641</v>
      </c>
      <c r="BE2" t="s">
        <v>642</v>
      </c>
      <c r="BG2" s="994">
        <v>1</v>
      </c>
      <c r="BH2" s="193" t="s">
        <v>642</v>
      </c>
      <c r="BJ2" t="s">
        <v>748</v>
      </c>
    </row>
    <row r="3" spans="1:94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371</v>
      </c>
      <c r="L3" s="3" t="s">
        <v>42</v>
      </c>
      <c r="M3" s="3" t="s">
        <v>42</v>
      </c>
      <c r="N3" s="3" t="s">
        <v>813</v>
      </c>
      <c r="O3" s="153" t="s">
        <v>43</v>
      </c>
      <c r="P3" s="3" t="s">
        <v>44</v>
      </c>
      <c r="Q3" s="3" t="s">
        <v>45</v>
      </c>
      <c r="S3" s="3"/>
      <c r="T3" s="3"/>
      <c r="U3" s="3" t="s">
        <v>371</v>
      </c>
      <c r="V3" s="3" t="s">
        <v>13</v>
      </c>
      <c r="W3" s="3"/>
      <c r="X3" s="109"/>
      <c r="Y3" s="1"/>
      <c r="Z3" s="1" t="s">
        <v>489</v>
      </c>
      <c r="AA3" s="1"/>
      <c r="AB3" s="1"/>
      <c r="AC3" s="1"/>
      <c r="AD3" s="3" t="s">
        <v>46</v>
      </c>
      <c r="AE3" s="153" t="s">
        <v>35</v>
      </c>
      <c r="AF3" s="3" t="s">
        <v>35</v>
      </c>
      <c r="AG3" s="3" t="s">
        <v>47</v>
      </c>
      <c r="AH3" s="153" t="s">
        <v>47</v>
      </c>
      <c r="AI3" s="3" t="s">
        <v>48</v>
      </c>
      <c r="AJ3" s="3" t="s">
        <v>48</v>
      </c>
      <c r="AK3" s="153" t="s">
        <v>49</v>
      </c>
      <c r="AL3" s="153" t="s">
        <v>50</v>
      </c>
      <c r="AM3" s="153" t="s">
        <v>51</v>
      </c>
      <c r="AN3" s="153" t="s">
        <v>52</v>
      </c>
      <c r="AO3" s="152" t="s">
        <v>53</v>
      </c>
      <c r="AQ3" s="767" t="s">
        <v>629</v>
      </c>
      <c r="AR3" s="981"/>
      <c r="AS3" s="767" t="s">
        <v>630</v>
      </c>
      <c r="AT3" s="981"/>
      <c r="AU3" s="767" t="s">
        <v>631</v>
      </c>
      <c r="AV3" s="981"/>
      <c r="AW3" s="424" t="s">
        <v>169</v>
      </c>
      <c r="AX3" s="424" t="s">
        <v>169</v>
      </c>
      <c r="AY3" s="424"/>
      <c r="AZ3" s="424" t="s">
        <v>169</v>
      </c>
      <c r="BB3" s="119" t="s">
        <v>639</v>
      </c>
      <c r="BC3" s="119"/>
      <c r="BD3" s="159"/>
      <c r="BE3" s="119" t="s">
        <v>41</v>
      </c>
      <c r="BG3" s="994" t="s">
        <v>490</v>
      </c>
      <c r="BJ3" t="s">
        <v>747</v>
      </c>
    </row>
    <row r="4" spans="1:94">
      <c r="A4" s="1" t="s">
        <v>9</v>
      </c>
      <c r="B4" s="3" t="s">
        <v>24</v>
      </c>
      <c r="C4" s="3" t="s">
        <v>54</v>
      </c>
      <c r="D4" s="56" t="s">
        <v>9</v>
      </c>
      <c r="E4" s="3">
        <v>2</v>
      </c>
      <c r="F4" s="3">
        <v>3</v>
      </c>
      <c r="G4" s="3" t="s">
        <v>55</v>
      </c>
      <c r="H4" s="3" t="s">
        <v>56</v>
      </c>
      <c r="I4" s="3" t="s">
        <v>57</v>
      </c>
      <c r="J4" s="3" t="s">
        <v>58</v>
      </c>
      <c r="K4" s="3" t="s">
        <v>372</v>
      </c>
      <c r="L4" s="3">
        <v>1</v>
      </c>
      <c r="M4" s="3">
        <v>2</v>
      </c>
      <c r="N4" s="3" t="s">
        <v>814</v>
      </c>
      <c r="O4" s="3" t="s">
        <v>59</v>
      </c>
      <c r="P4" s="3" t="s">
        <v>60</v>
      </c>
      <c r="Q4" s="3" t="s">
        <v>61</v>
      </c>
      <c r="R4" s="3" t="s">
        <v>62</v>
      </c>
      <c r="S4" s="3" t="s">
        <v>63</v>
      </c>
      <c r="T4" s="3" t="s">
        <v>64</v>
      </c>
      <c r="U4" s="3" t="s">
        <v>368</v>
      </c>
      <c r="V4" s="3" t="s">
        <v>54</v>
      </c>
      <c r="W4" s="3" t="s">
        <v>656</v>
      </c>
      <c r="X4" s="3" t="s">
        <v>65</v>
      </c>
      <c r="Y4" s="3" t="s">
        <v>66</v>
      </c>
      <c r="Z4" s="3" t="s">
        <v>516</v>
      </c>
      <c r="AA4" s="3" t="s">
        <v>517</v>
      </c>
      <c r="AB4" s="3" t="s">
        <v>681</v>
      </c>
      <c r="AC4" s="3" t="s">
        <v>762</v>
      </c>
      <c r="AD4" s="3" t="s">
        <v>57</v>
      </c>
      <c r="AE4" s="3" t="s">
        <v>67</v>
      </c>
      <c r="AF4" s="3" t="s">
        <v>68</v>
      </c>
      <c r="AG4" s="3" t="s">
        <v>69</v>
      </c>
      <c r="AH4" s="3" t="s">
        <v>68</v>
      </c>
      <c r="AI4" s="3" t="s">
        <v>69</v>
      </c>
      <c r="AJ4" s="3" t="s">
        <v>68</v>
      </c>
      <c r="AK4" s="153" t="s">
        <v>70</v>
      </c>
      <c r="AL4" s="153" t="s">
        <v>71</v>
      </c>
      <c r="AM4" s="153" t="s">
        <v>71</v>
      </c>
      <c r="AN4" s="153" t="s">
        <v>72</v>
      </c>
      <c r="AO4" s="153" t="s">
        <v>73</v>
      </c>
      <c r="AP4" s="1"/>
      <c r="AQ4" s="980" t="s">
        <v>627</v>
      </c>
      <c r="AR4" s="3" t="s">
        <v>628</v>
      </c>
      <c r="AS4" s="3" t="s">
        <v>627</v>
      </c>
      <c r="AT4" s="3" t="s">
        <v>628</v>
      </c>
      <c r="AU4" s="3" t="s">
        <v>627</v>
      </c>
      <c r="AV4" s="3" t="s">
        <v>628</v>
      </c>
      <c r="AW4" s="424" t="s">
        <v>188</v>
      </c>
      <c r="AX4" s="424" t="s">
        <v>654</v>
      </c>
      <c r="AY4" s="424" t="s">
        <v>197</v>
      </c>
      <c r="AZ4" s="424" t="s">
        <v>626</v>
      </c>
      <c r="BA4" s="1"/>
      <c r="BB4" s="995" t="s">
        <v>40</v>
      </c>
      <c r="BC4" s="996" t="s">
        <v>41</v>
      </c>
      <c r="BD4" s="997" t="s">
        <v>638</v>
      </c>
      <c r="BE4" s="997" t="s">
        <v>643</v>
      </c>
      <c r="BG4" s="193" t="s">
        <v>368</v>
      </c>
      <c r="BH4" s="193" t="s">
        <v>640</v>
      </c>
      <c r="BI4" s="1"/>
      <c r="BJ4" s="1" t="s">
        <v>749</v>
      </c>
      <c r="BK4" s="1" t="s">
        <v>750</v>
      </c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</row>
    <row r="5" spans="1:94">
      <c r="A5" s="86">
        <f>SUM(First_date)</f>
        <v>37147</v>
      </c>
      <c r="B5" s="1">
        <f>(Weather_Input!B5+Weather_Input!C5)/2</f>
        <v>61</v>
      </c>
      <c r="C5" s="868">
        <v>205000</v>
      </c>
      <c r="D5" s="869">
        <v>177172</v>
      </c>
      <c r="E5" s="869">
        <v>0</v>
      </c>
      <c r="F5" s="869">
        <v>15332</v>
      </c>
      <c r="G5" s="869">
        <v>0</v>
      </c>
      <c r="H5" s="869">
        <v>1321</v>
      </c>
      <c r="I5" s="869">
        <v>0</v>
      </c>
      <c r="J5" s="869">
        <v>0</v>
      </c>
      <c r="K5" s="869">
        <v>0</v>
      </c>
      <c r="L5" s="869">
        <v>1196</v>
      </c>
      <c r="M5" s="869">
        <v>513</v>
      </c>
      <c r="N5" s="869">
        <v>0</v>
      </c>
      <c r="O5" s="869">
        <v>1006</v>
      </c>
      <c r="P5" s="869">
        <v>0</v>
      </c>
      <c r="Q5" s="869">
        <v>797</v>
      </c>
      <c r="R5" s="869">
        <v>274</v>
      </c>
      <c r="S5" s="869">
        <v>1975</v>
      </c>
      <c r="T5" s="874">
        <v>4314</v>
      </c>
      <c r="U5" s="1047">
        <v>0</v>
      </c>
      <c r="V5" s="868">
        <f>SUM(D5:T5)-U5</f>
        <v>203900</v>
      </c>
      <c r="W5" s="868">
        <v>66137</v>
      </c>
      <c r="X5" s="11">
        <v>0</v>
      </c>
      <c r="Y5" s="11">
        <v>0</v>
      </c>
      <c r="Z5" s="11">
        <v>0</v>
      </c>
      <c r="AA5" s="11">
        <v>206971</v>
      </c>
      <c r="AB5" s="11">
        <v>0</v>
      </c>
      <c r="AC5" s="11">
        <v>0</v>
      </c>
      <c r="AD5" s="11">
        <v>0</v>
      </c>
      <c r="AE5" s="11">
        <v>0</v>
      </c>
      <c r="AF5" s="11">
        <v>149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3000</v>
      </c>
      <c r="AN5" s="11">
        <v>0</v>
      </c>
      <c r="AO5" s="1">
        <v>1020</v>
      </c>
      <c r="AP5" s="1"/>
      <c r="AQ5" s="1">
        <v>0</v>
      </c>
      <c r="AR5" s="1">
        <v>16646</v>
      </c>
      <c r="AS5" s="1">
        <v>4512</v>
      </c>
      <c r="AT5" s="1">
        <v>0</v>
      </c>
      <c r="AU5" s="1">
        <v>0</v>
      </c>
      <c r="AV5" s="1">
        <v>209</v>
      </c>
      <c r="AW5" s="1">
        <v>115300</v>
      </c>
      <c r="AX5" s="1">
        <v>640</v>
      </c>
      <c r="AY5" s="610">
        <f>AW5*0.015</f>
        <v>1729.5</v>
      </c>
      <c r="AZ5" s="1">
        <v>0</v>
      </c>
      <c r="BA5" s="1"/>
      <c r="BB5" s="1">
        <v>0</v>
      </c>
      <c r="BC5" s="1">
        <v>970</v>
      </c>
      <c r="BD5" s="1">
        <v>0</v>
      </c>
      <c r="BE5" s="1">
        <v>0</v>
      </c>
      <c r="BF5" s="1"/>
      <c r="BG5" s="1">
        <v>0</v>
      </c>
      <c r="BH5" s="1">
        <v>0</v>
      </c>
      <c r="BI5" s="1"/>
      <c r="BJ5" s="1">
        <v>0</v>
      </c>
      <c r="BK5" s="1">
        <v>0</v>
      </c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</row>
    <row r="6" spans="1:94">
      <c r="A6" s="86">
        <f>A5+1</f>
        <v>37148</v>
      </c>
      <c r="B6" s="886">
        <f>(Weather_Input!B6+Weather_Input!C6)/2</f>
        <v>56</v>
      </c>
      <c r="C6" s="868">
        <v>220000</v>
      </c>
      <c r="D6" s="870" t="s">
        <v>9</v>
      </c>
      <c r="E6" s="871"/>
      <c r="F6" s="871"/>
      <c r="G6" s="871"/>
      <c r="H6" s="871"/>
      <c r="I6" s="871" t="s">
        <v>9</v>
      </c>
      <c r="J6" s="871"/>
      <c r="K6" s="871"/>
      <c r="L6" s="871" t="s">
        <v>9</v>
      </c>
      <c r="M6" s="871"/>
      <c r="N6" s="871"/>
      <c r="O6" s="871"/>
      <c r="P6" s="871"/>
      <c r="Q6" s="871"/>
      <c r="R6" s="871"/>
      <c r="S6" s="871"/>
      <c r="T6" s="871"/>
      <c r="U6" s="871"/>
      <c r="V6" s="871"/>
      <c r="W6" s="87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 t="s">
        <v>9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 t="s">
        <v>625</v>
      </c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</row>
    <row r="7" spans="1:94">
      <c r="A7" s="86">
        <f>A6+1</f>
        <v>37149</v>
      </c>
      <c r="B7" s="886">
        <f>(Weather_Input!B7+Weather_Input!C7)/2</f>
        <v>57</v>
      </c>
      <c r="C7" s="868">
        <v>200000</v>
      </c>
      <c r="D7" s="870" t="s">
        <v>9</v>
      </c>
      <c r="E7" s="871"/>
      <c r="F7" s="871"/>
      <c r="G7" s="871"/>
      <c r="H7" s="872" t="s">
        <v>74</v>
      </c>
      <c r="I7" s="871"/>
      <c r="J7" s="871"/>
      <c r="K7" s="871"/>
      <c r="L7" s="871"/>
      <c r="M7" s="871"/>
      <c r="N7" s="871"/>
      <c r="O7" s="871"/>
      <c r="P7" s="871"/>
      <c r="Q7" s="871"/>
      <c r="R7" s="871"/>
      <c r="S7" s="871" t="s">
        <v>499</v>
      </c>
      <c r="T7" s="875">
        <v>0</v>
      </c>
      <c r="U7" s="875"/>
      <c r="V7" s="871"/>
      <c r="W7" s="87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 t="s">
        <v>9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</row>
    <row r="8" spans="1:94">
      <c r="A8" s="86">
        <f>A7+1</f>
        <v>37150</v>
      </c>
      <c r="B8" s="886">
        <f>(Weather_Input!B8+Weather_Input!C8)/2</f>
        <v>60.5</v>
      </c>
      <c r="C8" s="868">
        <v>205000</v>
      </c>
      <c r="D8" s="870" t="s">
        <v>9</v>
      </c>
      <c r="E8" s="871" t="s">
        <v>9</v>
      </c>
      <c r="F8" s="871"/>
      <c r="G8" s="871"/>
      <c r="H8" s="873" t="s">
        <v>75</v>
      </c>
      <c r="I8" s="871"/>
      <c r="J8" s="871"/>
      <c r="K8" s="871"/>
      <c r="L8" s="871"/>
      <c r="M8" s="871"/>
      <c r="N8" s="871"/>
      <c r="O8" s="871"/>
      <c r="P8" s="871"/>
      <c r="Q8" s="871"/>
      <c r="R8" s="871"/>
      <c r="S8" s="871" t="s">
        <v>500</v>
      </c>
      <c r="T8" s="875">
        <v>0</v>
      </c>
      <c r="U8" s="875"/>
      <c r="V8" s="871"/>
      <c r="W8" s="87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</row>
    <row r="9" spans="1:94">
      <c r="A9" s="86">
        <f>A8+1</f>
        <v>37151</v>
      </c>
      <c r="B9" s="886">
        <f>(Weather_Input!B9+Weather_Input!C9)/2</f>
        <v>63.5</v>
      </c>
      <c r="C9" s="868">
        <v>195000</v>
      </c>
      <c r="D9" s="870" t="s">
        <v>9</v>
      </c>
      <c r="E9" s="871"/>
      <c r="F9" s="871"/>
      <c r="G9" s="871"/>
      <c r="H9" s="871" t="s">
        <v>76</v>
      </c>
      <c r="I9" s="871"/>
      <c r="J9" s="871"/>
      <c r="K9" s="871"/>
      <c r="L9" s="871"/>
      <c r="M9" s="871"/>
      <c r="N9" s="871"/>
      <c r="O9" s="871"/>
      <c r="P9" s="871"/>
      <c r="Q9" s="871"/>
      <c r="R9" s="871"/>
      <c r="S9" s="871" t="s">
        <v>501</v>
      </c>
      <c r="T9" s="875">
        <v>0</v>
      </c>
      <c r="U9" s="875"/>
      <c r="V9" s="871"/>
      <c r="W9" s="87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</row>
    <row r="10" spans="1:94">
      <c r="A10" s="86">
        <f>A9+1</f>
        <v>37152</v>
      </c>
      <c r="B10" s="886">
        <f>(Weather_Input!B10+Weather_Input!C10)/2</f>
        <v>67</v>
      </c>
      <c r="C10" s="868">
        <v>190000</v>
      </c>
      <c r="D10" s="870" t="s">
        <v>9</v>
      </c>
      <c r="E10" s="871" t="s">
        <v>9</v>
      </c>
      <c r="F10" s="871"/>
      <c r="G10" s="871"/>
      <c r="H10" s="871" t="s">
        <v>77</v>
      </c>
      <c r="I10" s="871"/>
      <c r="J10" s="871"/>
      <c r="K10" s="871"/>
      <c r="L10" s="871"/>
      <c r="M10" s="871"/>
      <c r="N10" s="871"/>
      <c r="O10" s="871"/>
      <c r="P10" s="871"/>
      <c r="Q10" s="871"/>
      <c r="R10" s="871"/>
      <c r="S10" s="871" t="s">
        <v>504</v>
      </c>
      <c r="T10" s="875">
        <v>0</v>
      </c>
      <c r="U10" s="875"/>
      <c r="V10" s="871"/>
      <c r="W10" s="87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</row>
    <row r="11" spans="1:94">
      <c r="A11" t="s">
        <v>157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 t="s">
        <v>502</v>
      </c>
      <c r="T11" s="75">
        <v>0</v>
      </c>
      <c r="U11" s="75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</row>
    <row r="12" spans="1:94">
      <c r="B12" s="408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408"/>
      <c r="N12" s="408"/>
      <c r="O12" s="1"/>
      <c r="P12" s="1"/>
      <c r="Q12" s="1"/>
      <c r="R12" s="1"/>
      <c r="S12" s="1" t="s">
        <v>503</v>
      </c>
      <c r="T12" s="75">
        <v>0</v>
      </c>
      <c r="U12" s="75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</row>
    <row r="13" spans="1:94">
      <c r="O13" s="1"/>
      <c r="P13" s="1"/>
      <c r="Q13" s="1"/>
      <c r="R13" s="1"/>
      <c r="S13" s="1" t="s">
        <v>505</v>
      </c>
      <c r="T13" s="75">
        <v>0</v>
      </c>
      <c r="U13" s="75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</row>
    <row r="14" spans="1:94">
      <c r="O14" s="1"/>
      <c r="P14" s="1"/>
      <c r="Q14" s="1"/>
      <c r="R14" s="1"/>
      <c r="S14" s="1" t="s">
        <v>506</v>
      </c>
      <c r="T14" s="75">
        <v>0</v>
      </c>
      <c r="U14" s="75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</row>
    <row r="15" spans="1:94">
      <c r="O15" s="1"/>
      <c r="P15" s="1"/>
      <c r="Q15" s="1"/>
      <c r="R15" s="1"/>
      <c r="S15" s="1" t="s">
        <v>507</v>
      </c>
      <c r="T15" s="75">
        <v>0</v>
      </c>
      <c r="U15" s="75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</row>
    <row r="16" spans="1:94">
      <c r="O16" s="1"/>
      <c r="P16" s="1"/>
      <c r="Q16" s="1"/>
      <c r="R16" s="1"/>
      <c r="S16" s="1"/>
      <c r="T16" s="797" t="s">
        <v>9</v>
      </c>
      <c r="U16" s="797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</row>
    <row r="17" spans="3:94" ht="15.75" customHeight="1"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</row>
    <row r="18" spans="3:94">
      <c r="C18" t="s">
        <v>157</v>
      </c>
      <c r="F18" s="47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</row>
    <row r="19" spans="3:94"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</row>
    <row r="29" spans="3:94">
      <c r="T29" s="769"/>
      <c r="U29" s="769"/>
    </row>
    <row r="30" spans="3:94">
      <c r="T30" s="769"/>
      <c r="U30" s="769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topLeftCell="E1" zoomScale="75" workbookViewId="0">
      <selection activeCell="P5" sqref="P5"/>
    </sheetView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9</v>
      </c>
      <c r="B1" s="10"/>
      <c r="C1" s="10"/>
      <c r="M1" s="1" t="s">
        <v>65</v>
      </c>
      <c r="N1" s="1" t="s">
        <v>65</v>
      </c>
    </row>
    <row r="2" spans="1:14" ht="15">
      <c r="K2" t="s">
        <v>623</v>
      </c>
      <c r="L2" t="s">
        <v>623</v>
      </c>
      <c r="M2" t="s">
        <v>623</v>
      </c>
      <c r="N2" t="s">
        <v>623</v>
      </c>
    </row>
    <row r="3" spans="1:14" ht="15">
      <c r="B3" s="11" t="s">
        <v>37</v>
      </c>
      <c r="D3" s="3" t="s">
        <v>78</v>
      </c>
      <c r="F3" s="3" t="s">
        <v>565</v>
      </c>
      <c r="G3" s="153" t="s">
        <v>79</v>
      </c>
      <c r="H3" s="3" t="s">
        <v>13</v>
      </c>
      <c r="I3" s="153" t="s">
        <v>80</v>
      </c>
      <c r="K3" t="s">
        <v>624</v>
      </c>
      <c r="L3" t="s">
        <v>624</v>
      </c>
      <c r="M3" t="s">
        <v>624</v>
      </c>
      <c r="N3" t="s">
        <v>624</v>
      </c>
    </row>
    <row r="4" spans="1:14">
      <c r="B4" s="11" t="s">
        <v>81</v>
      </c>
      <c r="C4" s="1" t="s">
        <v>54</v>
      </c>
      <c r="D4" s="3" t="s">
        <v>82</v>
      </c>
      <c r="E4" s="3" t="s">
        <v>83</v>
      </c>
      <c r="F4" s="3" t="s">
        <v>82</v>
      </c>
      <c r="G4" s="153" t="s">
        <v>82</v>
      </c>
      <c r="H4" s="3" t="s">
        <v>54</v>
      </c>
      <c r="I4" s="153" t="s">
        <v>84</v>
      </c>
      <c r="K4" s="1" t="s">
        <v>621</v>
      </c>
      <c r="L4" s="1" t="s">
        <v>622</v>
      </c>
      <c r="M4" s="1" t="s">
        <v>621</v>
      </c>
      <c r="N4" s="1" t="s">
        <v>622</v>
      </c>
    </row>
    <row r="5" spans="1:14">
      <c r="A5" s="12">
        <f>Weather_Input!A5</f>
        <v>37147</v>
      </c>
      <c r="B5" s="1">
        <f>(Weather_Input!B5+Weather_Input!C5)/2</f>
        <v>61</v>
      </c>
      <c r="C5" s="868">
        <v>39700</v>
      </c>
      <c r="D5" s="868">
        <v>0</v>
      </c>
      <c r="E5" s="868">
        <v>27996</v>
      </c>
      <c r="F5" s="868">
        <v>12095</v>
      </c>
      <c r="G5" s="868">
        <v>0</v>
      </c>
      <c r="H5" s="876">
        <f>SUM(D5:G5)</f>
        <v>40091</v>
      </c>
      <c r="I5" s="1">
        <v>1003</v>
      </c>
      <c r="J5" s="1" t="s">
        <v>9</v>
      </c>
      <c r="K5" s="1">
        <v>0</v>
      </c>
      <c r="L5" s="1">
        <v>1497</v>
      </c>
      <c r="M5" s="1">
        <v>7905</v>
      </c>
      <c r="N5" s="1">
        <v>0</v>
      </c>
    </row>
    <row r="6" spans="1:14">
      <c r="A6" s="12">
        <f>A5+1</f>
        <v>37148</v>
      </c>
      <c r="B6" s="886">
        <f>(Weather_Input!B6+Weather_Input!C6)/2</f>
        <v>56</v>
      </c>
      <c r="C6" s="868">
        <v>45000</v>
      </c>
      <c r="D6" s="871" t="s">
        <v>9</v>
      </c>
      <c r="E6" s="871"/>
      <c r="F6" s="871"/>
      <c r="G6" s="871"/>
      <c r="H6" s="15"/>
      <c r="I6" s="1" t="s">
        <v>9</v>
      </c>
    </row>
    <row r="7" spans="1:14">
      <c r="A7" s="12">
        <f>A6+1</f>
        <v>37149</v>
      </c>
      <c r="B7" s="886">
        <f>(Weather_Input!B7+Weather_Input!C7)/2</f>
        <v>57</v>
      </c>
      <c r="C7" s="868">
        <v>40000</v>
      </c>
      <c r="D7" s="871" t="s">
        <v>9</v>
      </c>
      <c r="E7" s="871" t="s">
        <v>9</v>
      </c>
      <c r="F7" s="871"/>
      <c r="G7" s="871"/>
      <c r="H7" s="15"/>
    </row>
    <row r="8" spans="1:14">
      <c r="A8" s="12">
        <f>A7+1</f>
        <v>37150</v>
      </c>
      <c r="B8" s="886">
        <f>(Weather_Input!B8+Weather_Input!C8)/2</f>
        <v>60.5</v>
      </c>
      <c r="C8" s="868">
        <v>37000</v>
      </c>
      <c r="D8" s="871" t="s">
        <v>9</v>
      </c>
      <c r="E8" s="871"/>
      <c r="F8" s="871"/>
      <c r="G8" s="871"/>
      <c r="H8" s="15"/>
    </row>
    <row r="9" spans="1:14">
      <c r="A9" s="12">
        <f>A8+1</f>
        <v>37151</v>
      </c>
      <c r="B9" s="886">
        <f>(Weather_Input!B9+Weather_Input!C9)/2</f>
        <v>63.5</v>
      </c>
      <c r="C9" s="868">
        <v>35000</v>
      </c>
      <c r="D9" s="871" t="s">
        <v>9</v>
      </c>
      <c r="E9" s="871"/>
      <c r="F9" s="871"/>
      <c r="G9" s="871"/>
      <c r="H9" s="15"/>
    </row>
    <row r="10" spans="1:14">
      <c r="A10" s="12">
        <f>A9+1</f>
        <v>37152</v>
      </c>
      <c r="B10" s="886">
        <f>(Weather_Input!B10+Weather_Input!C10)/2</f>
        <v>67</v>
      </c>
      <c r="C10" s="868">
        <v>34000</v>
      </c>
      <c r="D10" s="871" t="s">
        <v>9</v>
      </c>
      <c r="E10" s="871"/>
      <c r="F10" s="871"/>
      <c r="G10" s="871"/>
      <c r="H10" s="15"/>
    </row>
    <row r="11" spans="1:14">
      <c r="A11" s="1" t="s">
        <v>157</v>
      </c>
      <c r="C11" s="1068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I17"/>
  <sheetViews>
    <sheetView topLeftCell="K1" zoomScale="75" workbookViewId="0">
      <selection activeCell="V7" sqref="V7"/>
    </sheetView>
  </sheetViews>
  <sheetFormatPr defaultRowHeight="15"/>
  <cols>
    <col min="1" max="7" width="8.6328125" customWidth="1"/>
    <col min="8" max="8" width="9" bestFit="1" customWidth="1"/>
    <col min="9" max="9" width="10.36328125" customWidth="1"/>
    <col min="10" max="20" width="9" bestFit="1" customWidth="1"/>
    <col min="21" max="21" width="9" customWidth="1"/>
    <col min="22" max="33" width="9" bestFit="1" customWidth="1"/>
    <col min="34" max="34" width="10.08984375" bestFit="1" customWidth="1"/>
  </cols>
  <sheetData>
    <row r="1" spans="1:87" ht="15.6">
      <c r="A1" s="10"/>
      <c r="B1" s="5"/>
      <c r="C1" s="5"/>
      <c r="D1" s="5"/>
      <c r="E1" s="5"/>
      <c r="F1" s="5"/>
      <c r="G1" s="5"/>
    </row>
    <row r="2" spans="1:87" s="1" customFormat="1" ht="13.2">
      <c r="A2" s="10"/>
      <c r="B2" s="10"/>
      <c r="C2" s="10"/>
      <c r="D2" s="10"/>
      <c r="E2" s="10"/>
      <c r="F2" s="10"/>
      <c r="G2" s="10"/>
    </row>
    <row r="3" spans="1:87" s="50" customFormat="1" ht="13.2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69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7" s="1" customFormat="1" ht="13.2">
      <c r="B4" s="63"/>
      <c r="E4" s="63"/>
      <c r="F4" s="63"/>
      <c r="G4" s="1067">
        <v>1</v>
      </c>
      <c r="H4" s="3" t="s">
        <v>1</v>
      </c>
      <c r="I4" s="3" t="s">
        <v>664</v>
      </c>
      <c r="J4" s="3" t="s">
        <v>640</v>
      </c>
      <c r="L4" s="3" t="s">
        <v>738</v>
      </c>
      <c r="M4" s="3" t="s">
        <v>757</v>
      </c>
      <c r="N4" s="58"/>
      <c r="O4" s="65"/>
      <c r="P4" s="65"/>
      <c r="T4" s="1195" t="s">
        <v>751</v>
      </c>
      <c r="U4" s="1018"/>
      <c r="V4" s="1161" t="s">
        <v>715</v>
      </c>
      <c r="W4" s="1162"/>
      <c r="X4" s="1163"/>
      <c r="Y4" s="53"/>
      <c r="Z4" s="53"/>
      <c r="AA4" s="53"/>
      <c r="AB4" s="55" t="s">
        <v>88</v>
      </c>
      <c r="AC4" s="53"/>
      <c r="AD4" s="53"/>
      <c r="AE4" s="72"/>
      <c r="AF4" s="3" t="s">
        <v>384</v>
      </c>
    </row>
    <row r="5" spans="1:87" s="1" customFormat="1" ht="13.2">
      <c r="B5" s="66" t="s">
        <v>89</v>
      </c>
      <c r="E5" s="243"/>
      <c r="F5" s="66" t="s">
        <v>9</v>
      </c>
      <c r="G5" s="773" t="s">
        <v>736</v>
      </c>
      <c r="H5" s="107" t="s">
        <v>636</v>
      </c>
      <c r="I5" s="54" t="s">
        <v>656</v>
      </c>
      <c r="J5" s="3" t="s">
        <v>687</v>
      </c>
      <c r="L5" s="3" t="s">
        <v>739</v>
      </c>
      <c r="M5" s="56" t="s">
        <v>758</v>
      </c>
      <c r="N5" s="115" t="s">
        <v>36</v>
      </c>
      <c r="O5" s="3" t="s">
        <v>53</v>
      </c>
      <c r="P5" s="3" t="s">
        <v>57</v>
      </c>
      <c r="Q5" s="3" t="s">
        <v>57</v>
      </c>
      <c r="R5" s="3" t="s">
        <v>36</v>
      </c>
      <c r="S5" s="3" t="s">
        <v>169</v>
      </c>
      <c r="T5" s="3" t="s">
        <v>86</v>
      </c>
      <c r="U5" s="3" t="s">
        <v>86</v>
      </c>
      <c r="V5" s="56" t="s">
        <v>716</v>
      </c>
      <c r="W5" s="56" t="s">
        <v>719</v>
      </c>
      <c r="X5" s="3" t="s">
        <v>720</v>
      </c>
      <c r="Y5" s="3" t="s">
        <v>92</v>
      </c>
      <c r="Z5" s="3" t="s">
        <v>92</v>
      </c>
      <c r="AA5" s="3" t="s">
        <v>92</v>
      </c>
      <c r="AB5" s="56" t="s">
        <v>92</v>
      </c>
      <c r="AC5" s="3" t="s">
        <v>92</v>
      </c>
      <c r="AD5" s="3" t="s">
        <v>92</v>
      </c>
      <c r="AE5" s="56" t="s">
        <v>92</v>
      </c>
      <c r="AF5" s="3" t="s">
        <v>92</v>
      </c>
      <c r="AG5" s="3" t="s">
        <v>92</v>
      </c>
    </row>
    <row r="6" spans="1:87" s="1" customFormat="1" ht="13.2">
      <c r="A6" s="67"/>
      <c r="B6" s="68" t="s">
        <v>93</v>
      </c>
      <c r="C6" s="54" t="s">
        <v>88</v>
      </c>
      <c r="D6" s="54" t="s">
        <v>384</v>
      </c>
      <c r="E6" s="244" t="s">
        <v>91</v>
      </c>
      <c r="F6" s="54" t="s">
        <v>94</v>
      </c>
      <c r="G6" s="774" t="s">
        <v>737</v>
      </c>
      <c r="H6" s="982" t="s">
        <v>637</v>
      </c>
      <c r="I6" s="54" t="s">
        <v>663</v>
      </c>
      <c r="J6" s="54" t="s">
        <v>686</v>
      </c>
      <c r="K6" s="54" t="s">
        <v>731</v>
      </c>
      <c r="L6" s="54" t="s">
        <v>66</v>
      </c>
      <c r="M6" s="54" t="s">
        <v>756</v>
      </c>
      <c r="N6" s="81" t="s">
        <v>86</v>
      </c>
      <c r="O6" s="54" t="s">
        <v>57</v>
      </c>
      <c r="P6" s="54" t="s">
        <v>96</v>
      </c>
      <c r="Q6" s="54" t="s">
        <v>651</v>
      </c>
      <c r="R6" s="54" t="s">
        <v>98</v>
      </c>
      <c r="S6" s="54" t="s">
        <v>633</v>
      </c>
      <c r="T6" s="54" t="s">
        <v>733</v>
      </c>
      <c r="U6" s="68" t="s">
        <v>752</v>
      </c>
      <c r="V6" s="1164" t="s">
        <v>717</v>
      </c>
      <c r="W6" s="1164" t="s">
        <v>718</v>
      </c>
      <c r="X6" s="54">
        <v>9</v>
      </c>
      <c r="Y6" s="54" t="s">
        <v>65</v>
      </c>
      <c r="Z6" s="54" t="s">
        <v>88</v>
      </c>
      <c r="AA6" s="54" t="s">
        <v>384</v>
      </c>
      <c r="AB6" s="54" t="s">
        <v>65</v>
      </c>
      <c r="AC6" s="54" t="s">
        <v>36</v>
      </c>
      <c r="AD6" s="54" t="s">
        <v>88</v>
      </c>
      <c r="AE6" s="54" t="s">
        <v>65</v>
      </c>
      <c r="AF6" s="54" t="s">
        <v>36</v>
      </c>
      <c r="AG6" s="54" t="s">
        <v>88</v>
      </c>
    </row>
    <row r="7" spans="1:87" s="1" customFormat="1" ht="13.2">
      <c r="A7" s="798">
        <f>Weather_Input!A5</f>
        <v>37147</v>
      </c>
      <c r="B7" s="877">
        <v>0</v>
      </c>
      <c r="C7" s="608">
        <v>0</v>
      </c>
      <c r="D7" s="608">
        <v>0</v>
      </c>
      <c r="E7" s="877">
        <v>5028</v>
      </c>
      <c r="F7" s="877">
        <v>0</v>
      </c>
      <c r="G7" s="879">
        <v>0</v>
      </c>
      <c r="H7" s="607">
        <v>0</v>
      </c>
      <c r="I7" s="607">
        <v>0</v>
      </c>
      <c r="J7" s="608">
        <v>0</v>
      </c>
      <c r="K7" s="607">
        <v>0</v>
      </c>
      <c r="L7" s="608">
        <v>0</v>
      </c>
      <c r="M7" s="608">
        <v>0</v>
      </c>
      <c r="N7" s="609">
        <v>4512</v>
      </c>
      <c r="O7" s="608">
        <v>115300</v>
      </c>
      <c r="P7" s="610">
        <f t="shared" ref="P7:P12" si="0">O7*0.015</f>
        <v>1729.5</v>
      </c>
      <c r="Q7" s="608">
        <v>640</v>
      </c>
      <c r="R7" s="608">
        <v>0</v>
      </c>
      <c r="S7" s="608">
        <v>0</v>
      </c>
      <c r="T7" s="607">
        <v>10425</v>
      </c>
      <c r="U7" s="607">
        <v>0</v>
      </c>
      <c r="V7" s="608">
        <v>0</v>
      </c>
      <c r="W7" s="608">
        <v>0</v>
      </c>
      <c r="X7" s="608">
        <v>0</v>
      </c>
      <c r="Y7" s="608">
        <v>0</v>
      </c>
      <c r="Z7" s="607">
        <v>0</v>
      </c>
      <c r="AA7" s="607">
        <v>0</v>
      </c>
      <c r="AB7" s="607">
        <v>0</v>
      </c>
      <c r="AC7" s="607">
        <v>0</v>
      </c>
      <c r="AD7" s="607">
        <v>0</v>
      </c>
      <c r="AE7" s="607">
        <v>0</v>
      </c>
      <c r="AF7" s="607">
        <v>0</v>
      </c>
      <c r="AG7" s="607">
        <v>0</v>
      </c>
      <c r="AH7" s="798">
        <f t="shared" ref="AH7:AH12" si="1">AH6+1</f>
        <v>1</v>
      </c>
    </row>
    <row r="8" spans="1:87" s="1" customFormat="1" ht="13.2">
      <c r="A8" s="798">
        <f>A7+1</f>
        <v>37148</v>
      </c>
      <c r="B8" s="877">
        <v>0</v>
      </c>
      <c r="C8" s="608">
        <v>0</v>
      </c>
      <c r="D8" s="608">
        <v>0</v>
      </c>
      <c r="E8" s="877">
        <v>0</v>
      </c>
      <c r="F8" s="877">
        <v>0</v>
      </c>
      <c r="G8" s="879">
        <v>0</v>
      </c>
      <c r="H8" s="607">
        <v>0</v>
      </c>
      <c r="I8" s="607">
        <v>0</v>
      </c>
      <c r="J8" s="608">
        <v>0</v>
      </c>
      <c r="K8" s="607">
        <v>0</v>
      </c>
      <c r="L8" s="608">
        <v>0</v>
      </c>
      <c r="M8" s="608">
        <v>0</v>
      </c>
      <c r="N8" s="609">
        <v>8000</v>
      </c>
      <c r="O8" s="608">
        <v>120000</v>
      </c>
      <c r="P8" s="610">
        <f t="shared" si="0"/>
        <v>1800</v>
      </c>
      <c r="Q8" s="608">
        <v>600</v>
      </c>
      <c r="R8" s="608">
        <v>0</v>
      </c>
      <c r="S8" s="608">
        <v>0</v>
      </c>
      <c r="T8" s="607">
        <v>0</v>
      </c>
      <c r="U8" s="607">
        <v>0</v>
      </c>
      <c r="V8" s="608">
        <v>0</v>
      </c>
      <c r="W8" s="608">
        <v>0</v>
      </c>
      <c r="X8" s="608">
        <v>0</v>
      </c>
      <c r="Y8" s="608">
        <v>0</v>
      </c>
      <c r="Z8" s="607">
        <v>0</v>
      </c>
      <c r="AA8" s="607">
        <v>0</v>
      </c>
      <c r="AB8" s="607">
        <v>0</v>
      </c>
      <c r="AC8" s="607">
        <v>0</v>
      </c>
      <c r="AD8" s="607">
        <v>0</v>
      </c>
      <c r="AE8" s="607">
        <v>0</v>
      </c>
      <c r="AF8" s="607">
        <v>0</v>
      </c>
      <c r="AG8" s="607">
        <v>0</v>
      </c>
      <c r="AH8" s="798">
        <f t="shared" si="1"/>
        <v>2</v>
      </c>
      <c r="AJ8" s="607"/>
      <c r="AK8" s="607"/>
      <c r="AM8" s="607"/>
      <c r="AN8" s="607"/>
      <c r="AO8" s="607"/>
      <c r="AP8" s="607"/>
      <c r="AQ8" s="607"/>
      <c r="AR8" s="607"/>
      <c r="AS8" s="607"/>
      <c r="AT8" s="607"/>
      <c r="AU8" s="607"/>
      <c r="AV8" s="607"/>
      <c r="AW8" s="607"/>
      <c r="AX8" s="607"/>
      <c r="AY8" s="607"/>
      <c r="AZ8" s="607"/>
      <c r="BA8" s="607"/>
    </row>
    <row r="9" spans="1:87" s="1" customFormat="1" ht="13.2">
      <c r="A9" s="798">
        <f>A8+1</f>
        <v>37149</v>
      </c>
      <c r="B9" s="877">
        <v>0</v>
      </c>
      <c r="C9" s="608">
        <v>0</v>
      </c>
      <c r="D9" s="608">
        <v>0</v>
      </c>
      <c r="E9" s="877">
        <v>5028</v>
      </c>
      <c r="F9" s="877">
        <v>0</v>
      </c>
      <c r="G9" s="879">
        <v>0</v>
      </c>
      <c r="H9" s="607">
        <v>0</v>
      </c>
      <c r="I9" s="607">
        <v>0</v>
      </c>
      <c r="J9" s="608">
        <v>0</v>
      </c>
      <c r="K9" s="607">
        <v>0</v>
      </c>
      <c r="L9" s="608">
        <v>0</v>
      </c>
      <c r="M9" s="608">
        <v>0</v>
      </c>
      <c r="N9" s="609">
        <v>8000</v>
      </c>
      <c r="O9" s="608">
        <v>120000</v>
      </c>
      <c r="P9" s="610">
        <f t="shared" si="0"/>
        <v>1800</v>
      </c>
      <c r="Q9" s="608">
        <v>600</v>
      </c>
      <c r="R9" s="608">
        <v>0</v>
      </c>
      <c r="S9" s="608">
        <v>0</v>
      </c>
      <c r="T9" s="607">
        <v>10425</v>
      </c>
      <c r="U9" s="607">
        <v>0</v>
      </c>
      <c r="V9" s="608">
        <v>0</v>
      </c>
      <c r="W9" s="608">
        <v>0</v>
      </c>
      <c r="X9" s="608">
        <v>0</v>
      </c>
      <c r="Y9" s="608">
        <v>0</v>
      </c>
      <c r="Z9" s="607">
        <v>0</v>
      </c>
      <c r="AA9" s="607">
        <v>0</v>
      </c>
      <c r="AB9" s="607">
        <v>0</v>
      </c>
      <c r="AC9" s="607">
        <v>0</v>
      </c>
      <c r="AD9" s="607">
        <v>0</v>
      </c>
      <c r="AE9" s="607">
        <v>0</v>
      </c>
      <c r="AF9" s="607">
        <v>0</v>
      </c>
      <c r="AG9" s="607">
        <v>0</v>
      </c>
      <c r="AH9" s="798">
        <f t="shared" si="1"/>
        <v>3</v>
      </c>
      <c r="AL9" s="607"/>
    </row>
    <row r="10" spans="1:87" s="1" customFormat="1" ht="13.2">
      <c r="A10" s="798">
        <f>A9+1</f>
        <v>37150</v>
      </c>
      <c r="B10" s="877">
        <v>0</v>
      </c>
      <c r="C10" s="608">
        <v>0</v>
      </c>
      <c r="D10" s="608">
        <v>0</v>
      </c>
      <c r="E10" s="877">
        <v>5028</v>
      </c>
      <c r="F10" s="877">
        <v>0</v>
      </c>
      <c r="G10" s="879">
        <v>0</v>
      </c>
      <c r="H10" s="607">
        <v>0</v>
      </c>
      <c r="I10" s="607">
        <v>0</v>
      </c>
      <c r="J10" s="608">
        <v>0</v>
      </c>
      <c r="K10" s="607">
        <v>0</v>
      </c>
      <c r="L10" s="608">
        <v>0</v>
      </c>
      <c r="M10" s="608">
        <v>0</v>
      </c>
      <c r="N10" s="609">
        <v>8000</v>
      </c>
      <c r="O10" s="608">
        <v>120000</v>
      </c>
      <c r="P10" s="610">
        <f t="shared" si="0"/>
        <v>1800</v>
      </c>
      <c r="Q10" s="608">
        <v>600</v>
      </c>
      <c r="R10" s="608">
        <v>0</v>
      </c>
      <c r="S10" s="608">
        <v>0</v>
      </c>
      <c r="T10" s="607">
        <v>10425</v>
      </c>
      <c r="U10" s="607">
        <v>0</v>
      </c>
      <c r="V10" s="608">
        <v>0</v>
      </c>
      <c r="W10" s="608">
        <v>0</v>
      </c>
      <c r="X10" s="608">
        <v>0</v>
      </c>
      <c r="Y10" s="608">
        <v>0</v>
      </c>
      <c r="Z10" s="607">
        <v>0</v>
      </c>
      <c r="AA10" s="607">
        <v>0</v>
      </c>
      <c r="AB10" s="607">
        <v>0</v>
      </c>
      <c r="AC10" s="607">
        <v>0</v>
      </c>
      <c r="AD10" s="607">
        <v>0</v>
      </c>
      <c r="AE10" s="607">
        <v>0</v>
      </c>
      <c r="AF10" s="607">
        <v>0</v>
      </c>
      <c r="AG10" s="607">
        <v>0</v>
      </c>
      <c r="AH10" s="798">
        <f t="shared" si="1"/>
        <v>4</v>
      </c>
    </row>
    <row r="11" spans="1:87" s="1" customFormat="1" ht="13.2">
      <c r="A11" s="798">
        <f>A10+1</f>
        <v>37151</v>
      </c>
      <c r="B11" s="877">
        <v>0</v>
      </c>
      <c r="C11" s="608">
        <v>0</v>
      </c>
      <c r="D11" s="608">
        <v>0</v>
      </c>
      <c r="E11" s="877">
        <v>5028</v>
      </c>
      <c r="F11" s="877">
        <v>0</v>
      </c>
      <c r="G11" s="879">
        <v>0</v>
      </c>
      <c r="H11" s="607">
        <v>0</v>
      </c>
      <c r="I11" s="607">
        <v>0</v>
      </c>
      <c r="J11" s="608">
        <v>0</v>
      </c>
      <c r="K11" s="607">
        <v>0</v>
      </c>
      <c r="L11" s="608">
        <v>0</v>
      </c>
      <c r="M11" s="608">
        <v>0</v>
      </c>
      <c r="N11" s="609">
        <v>8000</v>
      </c>
      <c r="O11" s="608">
        <v>120000</v>
      </c>
      <c r="P11" s="610">
        <f t="shared" si="0"/>
        <v>1800</v>
      </c>
      <c r="Q11" s="608">
        <v>600</v>
      </c>
      <c r="R11" s="608">
        <v>0</v>
      </c>
      <c r="S11" s="608">
        <v>0</v>
      </c>
      <c r="T11" s="607">
        <v>10425</v>
      </c>
      <c r="U11" s="607">
        <v>0</v>
      </c>
      <c r="V11" s="608">
        <v>0</v>
      </c>
      <c r="W11" s="608">
        <v>0</v>
      </c>
      <c r="X11" s="608">
        <v>0</v>
      </c>
      <c r="Y11" s="608">
        <v>0</v>
      </c>
      <c r="Z11" s="607">
        <v>0</v>
      </c>
      <c r="AA11" s="607">
        <v>0</v>
      </c>
      <c r="AB11" s="607">
        <v>0</v>
      </c>
      <c r="AC11" s="607">
        <v>0</v>
      </c>
      <c r="AD11" s="607">
        <v>0</v>
      </c>
      <c r="AE11" s="607">
        <v>0</v>
      </c>
      <c r="AF11" s="607">
        <v>0</v>
      </c>
      <c r="AG11" s="607">
        <v>0</v>
      </c>
      <c r="AH11" s="798">
        <f t="shared" si="1"/>
        <v>5</v>
      </c>
    </row>
    <row r="12" spans="1:87" s="1" customFormat="1" ht="13.2">
      <c r="A12" s="798">
        <f>A11+1</f>
        <v>37152</v>
      </c>
      <c r="B12" s="877">
        <v>0</v>
      </c>
      <c r="C12" s="608">
        <v>0</v>
      </c>
      <c r="D12" s="608">
        <v>0</v>
      </c>
      <c r="E12" s="877">
        <v>5028</v>
      </c>
      <c r="F12" s="877">
        <v>0</v>
      </c>
      <c r="G12" s="879">
        <v>0</v>
      </c>
      <c r="H12" s="607">
        <v>0</v>
      </c>
      <c r="I12" s="607">
        <v>0</v>
      </c>
      <c r="J12" s="608">
        <v>0</v>
      </c>
      <c r="K12" s="607">
        <v>0</v>
      </c>
      <c r="L12" s="608">
        <v>0</v>
      </c>
      <c r="M12" s="608">
        <v>0</v>
      </c>
      <c r="N12" s="609">
        <v>8000</v>
      </c>
      <c r="O12" s="608">
        <v>120000</v>
      </c>
      <c r="P12" s="610">
        <f t="shared" si="0"/>
        <v>1800</v>
      </c>
      <c r="Q12" s="608">
        <v>600</v>
      </c>
      <c r="R12" s="608">
        <v>0</v>
      </c>
      <c r="S12" s="608">
        <v>0</v>
      </c>
      <c r="T12" s="607">
        <v>10425</v>
      </c>
      <c r="U12" s="607">
        <v>0</v>
      </c>
      <c r="V12" s="608">
        <v>0</v>
      </c>
      <c r="W12" s="608">
        <v>0</v>
      </c>
      <c r="X12" s="608">
        <v>0</v>
      </c>
      <c r="Y12" s="608">
        <v>0</v>
      </c>
      <c r="Z12" s="607">
        <v>0</v>
      </c>
      <c r="AA12" s="607">
        <v>0</v>
      </c>
      <c r="AB12" s="607">
        <v>0</v>
      </c>
      <c r="AC12" s="607">
        <v>0</v>
      </c>
      <c r="AD12" s="607">
        <v>0</v>
      </c>
      <c r="AE12" s="607">
        <v>0</v>
      </c>
      <c r="AF12" s="607">
        <v>0</v>
      </c>
      <c r="AG12" s="607">
        <v>0</v>
      </c>
      <c r="AH12" s="798">
        <f t="shared" si="1"/>
        <v>6</v>
      </c>
    </row>
    <row r="13" spans="1:87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07"/>
      <c r="L13" s="1"/>
      <c r="M13" s="608" t="s">
        <v>9</v>
      </c>
      <c r="N13" s="1"/>
      <c r="O13" s="1"/>
      <c r="P13" s="1"/>
      <c r="Q13" s="1"/>
      <c r="R13" s="1"/>
      <c r="S13" s="1"/>
      <c r="T13" s="607" t="s">
        <v>9</v>
      </c>
      <c r="U13" s="607"/>
      <c r="V13" s="1"/>
      <c r="W13" s="1"/>
      <c r="X13" s="1"/>
      <c r="Y13" s="1" t="s">
        <v>9</v>
      </c>
      <c r="Z13" s="1"/>
      <c r="AA13" s="607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</row>
    <row r="14" spans="1:87">
      <c r="A14" s="1"/>
      <c r="B14" s="1"/>
      <c r="C14" s="1" t="s">
        <v>616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08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</row>
    <row r="15" spans="1:87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08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</row>
    <row r="16" spans="1:87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08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</row>
    <row r="17" spans="19:19">
      <c r="S17" s="608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topLeftCell="E1" zoomScale="75" workbookViewId="0">
      <selection activeCell="P7" sqref="P7"/>
    </sheetView>
  </sheetViews>
  <sheetFormatPr defaultColWidth="8.81640625" defaultRowHeight="13.2"/>
  <cols>
    <col min="1" max="14" width="8.81640625" style="1" customWidth="1"/>
    <col min="15" max="15" width="9.54296875" style="1" customWidth="1"/>
    <col min="16" max="17" width="8.81640625" style="1" customWidth="1"/>
    <col min="18" max="19" width="8.81640625" style="3" customWidth="1"/>
    <col min="20" max="22" width="8.81640625" style="1" customWidth="1"/>
    <col min="23" max="23" width="10.54296875" style="1" customWidth="1"/>
    <col min="24" max="16384" width="8.81640625" style="1"/>
  </cols>
  <sheetData>
    <row r="1" spans="1:36">
      <c r="A1" s="409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100</v>
      </c>
      <c r="H3" s="53"/>
      <c r="I3" s="58"/>
      <c r="J3" s="58"/>
      <c r="K3" s="55"/>
      <c r="L3" s="52" t="s">
        <v>102</v>
      </c>
      <c r="M3" s="53"/>
      <c r="N3" s="53"/>
      <c r="O3" s="53"/>
      <c r="P3" s="53"/>
      <c r="Q3" s="58"/>
      <c r="R3" s="59"/>
      <c r="S3" s="59"/>
      <c r="T3" s="762"/>
      <c r="U3" s="434"/>
      <c r="V3" s="434"/>
      <c r="W3" s="53"/>
      <c r="X3" s="58"/>
      <c r="Y3" s="76" t="s">
        <v>103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757</v>
      </c>
      <c r="P4" s="1195" t="s">
        <v>735</v>
      </c>
      <c r="Q4" s="1018"/>
      <c r="R4" s="56" t="s">
        <v>809</v>
      </c>
      <c r="S4" s="66" t="s">
        <v>53</v>
      </c>
      <c r="U4" s="3" t="s">
        <v>672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755</v>
      </c>
      <c r="N5" s="3" t="s">
        <v>9</v>
      </c>
      <c r="O5" s="3" t="s">
        <v>6</v>
      </c>
      <c r="P5" s="107" t="s">
        <v>733</v>
      </c>
      <c r="Q5" s="1196" t="s">
        <v>734</v>
      </c>
      <c r="R5" s="56" t="s">
        <v>736</v>
      </c>
      <c r="S5" s="66" t="s">
        <v>807</v>
      </c>
      <c r="T5" s="107" t="s">
        <v>636</v>
      </c>
      <c r="U5" s="3" t="s">
        <v>670</v>
      </c>
      <c r="V5" s="3"/>
      <c r="W5" s="59" t="s">
        <v>656</v>
      </c>
      <c r="X5" s="63"/>
      <c r="Y5" s="3"/>
      <c r="Z5" s="3"/>
      <c r="AA5" s="3"/>
      <c r="AD5" s="66" t="s">
        <v>460</v>
      </c>
    </row>
    <row r="6" spans="1:36">
      <c r="B6" s="54" t="s">
        <v>104</v>
      </c>
      <c r="C6" s="54" t="s">
        <v>88</v>
      </c>
      <c r="D6" s="54" t="s">
        <v>384</v>
      </c>
      <c r="E6" s="54" t="s">
        <v>368</v>
      </c>
      <c r="F6" s="68" t="s">
        <v>91</v>
      </c>
      <c r="G6" s="54" t="s">
        <v>89</v>
      </c>
      <c r="H6" s="54" t="s">
        <v>71</v>
      </c>
      <c r="I6" s="54" t="s">
        <v>58</v>
      </c>
      <c r="J6" s="68" t="s">
        <v>72</v>
      </c>
      <c r="K6" s="54" t="s">
        <v>617</v>
      </c>
      <c r="L6" s="57" t="s">
        <v>57</v>
      </c>
      <c r="M6" s="54" t="s">
        <v>756</v>
      </c>
      <c r="N6" s="54" t="s">
        <v>9</v>
      </c>
      <c r="O6" s="1025" t="s">
        <v>5</v>
      </c>
      <c r="P6" s="983" t="s">
        <v>86</v>
      </c>
      <c r="Q6" s="983" t="s">
        <v>86</v>
      </c>
      <c r="R6" s="57" t="s">
        <v>810</v>
      </c>
      <c r="S6" s="68" t="s">
        <v>808</v>
      </c>
      <c r="T6" s="983" t="s">
        <v>637</v>
      </c>
      <c r="U6" s="54" t="s">
        <v>671</v>
      </c>
      <c r="V6" s="54" t="s">
        <v>9</v>
      </c>
      <c r="W6" s="1017" t="s">
        <v>660</v>
      </c>
      <c r="X6" s="68" t="s">
        <v>656</v>
      </c>
      <c r="Y6" s="54" t="s">
        <v>65</v>
      </c>
      <c r="Z6" s="54" t="s">
        <v>88</v>
      </c>
      <c r="AA6" s="54" t="s">
        <v>384</v>
      </c>
      <c r="AB6" s="54" t="s">
        <v>36</v>
      </c>
      <c r="AC6" s="54" t="s">
        <v>91</v>
      </c>
      <c r="AD6" s="68" t="s">
        <v>459</v>
      </c>
    </row>
    <row r="7" spans="1:36">
      <c r="A7" s="798">
        <f>Weather_Input!A5</f>
        <v>37147</v>
      </c>
      <c r="B7" s="610">
        <v>16646</v>
      </c>
      <c r="C7" s="610">
        <v>0</v>
      </c>
      <c r="D7" s="610">
        <v>0</v>
      </c>
      <c r="E7" s="610">
        <v>0</v>
      </c>
      <c r="F7" s="877">
        <v>0</v>
      </c>
      <c r="G7" s="608">
        <v>209</v>
      </c>
      <c r="H7" s="608">
        <v>3000</v>
      </c>
      <c r="I7" s="608">
        <v>0</v>
      </c>
      <c r="J7" s="880">
        <v>0</v>
      </c>
      <c r="K7" s="609">
        <v>0</v>
      </c>
      <c r="L7" s="881">
        <v>0</v>
      </c>
      <c r="M7" s="608">
        <v>0</v>
      </c>
      <c r="N7" s="608">
        <v>0</v>
      </c>
      <c r="O7" s="608">
        <v>0</v>
      </c>
      <c r="P7" s="608">
        <v>0</v>
      </c>
      <c r="Q7" s="880">
        <v>0</v>
      </c>
      <c r="R7" s="1265">
        <v>20000</v>
      </c>
      <c r="S7" s="1266">
        <v>10000</v>
      </c>
      <c r="T7" s="608">
        <v>0</v>
      </c>
      <c r="U7" s="609">
        <v>126391</v>
      </c>
      <c r="V7" s="609">
        <v>0</v>
      </c>
      <c r="W7" s="607">
        <v>0</v>
      </c>
      <c r="X7" s="880">
        <v>69284</v>
      </c>
      <c r="Y7" s="609">
        <v>10425</v>
      </c>
      <c r="Z7" s="1">
        <v>0</v>
      </c>
      <c r="AA7" s="607">
        <v>198204</v>
      </c>
      <c r="AB7" s="607">
        <v>32970</v>
      </c>
      <c r="AC7" s="607">
        <v>5028</v>
      </c>
      <c r="AD7" s="880">
        <v>0</v>
      </c>
      <c r="AE7" s="798">
        <f t="shared" ref="AE7:AE12" si="0">AE6+1</f>
        <v>1</v>
      </c>
      <c r="AH7" s="607"/>
      <c r="AI7" s="607"/>
      <c r="AJ7" s="607"/>
    </row>
    <row r="8" spans="1:36">
      <c r="A8" s="798">
        <f>A7+1</f>
        <v>37148</v>
      </c>
      <c r="B8" s="610">
        <v>0</v>
      </c>
      <c r="C8" s="610">
        <v>0</v>
      </c>
      <c r="D8" s="610">
        <v>0</v>
      </c>
      <c r="E8" s="610">
        <v>0</v>
      </c>
      <c r="F8" s="877">
        <v>25000</v>
      </c>
      <c r="G8" s="608">
        <v>1000</v>
      </c>
      <c r="H8" s="608">
        <v>3000</v>
      </c>
      <c r="I8" s="608">
        <v>0</v>
      </c>
      <c r="J8" s="880">
        <v>0</v>
      </c>
      <c r="K8" s="609">
        <v>2320</v>
      </c>
      <c r="L8" s="881">
        <v>0</v>
      </c>
      <c r="M8" s="608">
        <v>0</v>
      </c>
      <c r="N8" s="608">
        <v>0</v>
      </c>
      <c r="O8" s="608">
        <v>0</v>
      </c>
      <c r="P8" s="608">
        <v>0</v>
      </c>
      <c r="Q8" s="880">
        <v>0</v>
      </c>
      <c r="R8" s="1265">
        <v>20000</v>
      </c>
      <c r="S8" s="1266">
        <v>10000</v>
      </c>
      <c r="T8" s="608">
        <v>0</v>
      </c>
      <c r="U8" s="609">
        <v>125459</v>
      </c>
      <c r="V8" s="609">
        <v>0</v>
      </c>
      <c r="W8" s="607">
        <v>0</v>
      </c>
      <c r="X8" s="880">
        <v>104023</v>
      </c>
      <c r="Y8" s="609">
        <v>10425</v>
      </c>
      <c r="Z8" s="1">
        <v>0</v>
      </c>
      <c r="AA8" s="607">
        <v>184463</v>
      </c>
      <c r="AB8" s="607">
        <v>5144</v>
      </c>
      <c r="AC8" s="607">
        <v>5028</v>
      </c>
      <c r="AD8" s="880">
        <v>0</v>
      </c>
      <c r="AE8" s="798">
        <f t="shared" si="0"/>
        <v>2</v>
      </c>
      <c r="AH8" s="607"/>
      <c r="AI8" s="607"/>
      <c r="AJ8" s="607"/>
    </row>
    <row r="9" spans="1:36" s="607" customFormat="1">
      <c r="A9" s="798">
        <f>A8+1</f>
        <v>37149</v>
      </c>
      <c r="B9" s="610">
        <v>0</v>
      </c>
      <c r="C9" s="610">
        <v>0</v>
      </c>
      <c r="D9" s="610">
        <v>0</v>
      </c>
      <c r="E9" s="610">
        <v>0</v>
      </c>
      <c r="F9" s="877">
        <v>0</v>
      </c>
      <c r="G9" s="608">
        <v>1000</v>
      </c>
      <c r="H9" s="608">
        <v>3000</v>
      </c>
      <c r="I9" s="608">
        <v>0</v>
      </c>
      <c r="J9" s="880">
        <v>0</v>
      </c>
      <c r="K9" s="609">
        <v>0</v>
      </c>
      <c r="L9" s="881">
        <v>0</v>
      </c>
      <c r="M9" s="608">
        <v>0</v>
      </c>
      <c r="N9" s="608">
        <v>0</v>
      </c>
      <c r="O9" s="608">
        <v>0</v>
      </c>
      <c r="P9" s="608">
        <v>0</v>
      </c>
      <c r="Q9" s="880">
        <v>0</v>
      </c>
      <c r="R9" s="1265">
        <v>30000</v>
      </c>
      <c r="S9" s="1266">
        <v>15000</v>
      </c>
      <c r="T9" s="608">
        <v>0</v>
      </c>
      <c r="U9" s="609">
        <v>125459</v>
      </c>
      <c r="V9" s="609">
        <v>0</v>
      </c>
      <c r="W9" s="607">
        <v>0</v>
      </c>
      <c r="X9" s="880">
        <v>104023</v>
      </c>
      <c r="Y9" s="609">
        <v>10425</v>
      </c>
      <c r="Z9" s="1">
        <v>0</v>
      </c>
      <c r="AA9" s="607">
        <v>184463</v>
      </c>
      <c r="AB9" s="607">
        <v>5144</v>
      </c>
      <c r="AC9" s="607">
        <v>5028</v>
      </c>
      <c r="AD9" s="880">
        <v>0</v>
      </c>
      <c r="AE9" s="798">
        <f t="shared" si="0"/>
        <v>3</v>
      </c>
    </row>
    <row r="10" spans="1:36">
      <c r="A10" s="798">
        <f>A9+1</f>
        <v>37150</v>
      </c>
      <c r="B10" s="610">
        <v>0</v>
      </c>
      <c r="C10" s="610">
        <v>0</v>
      </c>
      <c r="D10" s="610">
        <v>0</v>
      </c>
      <c r="E10" s="610">
        <v>0</v>
      </c>
      <c r="F10" s="877">
        <v>0</v>
      </c>
      <c r="G10" s="608">
        <v>1000</v>
      </c>
      <c r="H10" s="608">
        <v>3000</v>
      </c>
      <c r="I10" s="608">
        <v>0</v>
      </c>
      <c r="J10" s="880">
        <v>0</v>
      </c>
      <c r="K10" s="609">
        <v>0</v>
      </c>
      <c r="L10" s="881">
        <v>0</v>
      </c>
      <c r="M10" s="608">
        <v>0</v>
      </c>
      <c r="N10" s="608">
        <v>0</v>
      </c>
      <c r="O10" s="608">
        <v>0</v>
      </c>
      <c r="P10" s="608">
        <v>0</v>
      </c>
      <c r="Q10" s="880">
        <v>0</v>
      </c>
      <c r="R10" s="1265">
        <v>30000</v>
      </c>
      <c r="S10" s="1266">
        <v>15000</v>
      </c>
      <c r="T10" s="608">
        <v>0</v>
      </c>
      <c r="U10" s="609">
        <v>125459</v>
      </c>
      <c r="V10" s="609">
        <v>0</v>
      </c>
      <c r="W10" s="607">
        <v>0</v>
      </c>
      <c r="X10" s="880">
        <v>104023</v>
      </c>
      <c r="Y10" s="609">
        <v>10425</v>
      </c>
      <c r="Z10" s="1">
        <v>0</v>
      </c>
      <c r="AA10" s="607">
        <v>184463</v>
      </c>
      <c r="AB10" s="607">
        <v>5144</v>
      </c>
      <c r="AC10" s="607">
        <v>5028</v>
      </c>
      <c r="AD10" s="880">
        <v>0</v>
      </c>
      <c r="AE10" s="798">
        <f t="shared" si="0"/>
        <v>4</v>
      </c>
      <c r="AH10" s="607"/>
      <c r="AI10" s="607"/>
      <c r="AJ10" s="607"/>
    </row>
    <row r="11" spans="1:36">
      <c r="A11" s="798">
        <f>A10+1</f>
        <v>37151</v>
      </c>
      <c r="B11" s="610">
        <v>0</v>
      </c>
      <c r="C11" s="610">
        <v>0</v>
      </c>
      <c r="D11" s="610">
        <v>0</v>
      </c>
      <c r="E11" s="610">
        <v>0</v>
      </c>
      <c r="F11" s="877">
        <v>0</v>
      </c>
      <c r="G11" s="608">
        <v>1000</v>
      </c>
      <c r="H11" s="608">
        <v>3000</v>
      </c>
      <c r="I11" s="608">
        <v>0</v>
      </c>
      <c r="J11" s="880">
        <v>0</v>
      </c>
      <c r="K11" s="609">
        <v>0</v>
      </c>
      <c r="L11" s="881">
        <v>0</v>
      </c>
      <c r="M11" s="608">
        <v>0</v>
      </c>
      <c r="N11" s="608">
        <v>0</v>
      </c>
      <c r="O11" s="608">
        <v>0</v>
      </c>
      <c r="P11" s="608">
        <v>0</v>
      </c>
      <c r="Q11" s="880">
        <v>0</v>
      </c>
      <c r="R11" s="1265">
        <v>30000</v>
      </c>
      <c r="S11" s="1266">
        <v>15000</v>
      </c>
      <c r="T11" s="608">
        <v>0</v>
      </c>
      <c r="U11" s="609">
        <v>125459</v>
      </c>
      <c r="V11" s="609">
        <v>0</v>
      </c>
      <c r="W11" s="607">
        <v>0</v>
      </c>
      <c r="X11" s="880">
        <v>104023</v>
      </c>
      <c r="Y11" s="609">
        <v>10425</v>
      </c>
      <c r="Z11" s="1">
        <v>0</v>
      </c>
      <c r="AA11" s="607">
        <v>184463</v>
      </c>
      <c r="AB11" s="607">
        <v>5144</v>
      </c>
      <c r="AC11" s="607">
        <v>5028</v>
      </c>
      <c r="AD11" s="880">
        <v>0</v>
      </c>
      <c r="AE11" s="798">
        <f t="shared" si="0"/>
        <v>5</v>
      </c>
    </row>
    <row r="12" spans="1:36">
      <c r="A12" s="798">
        <f>A11+1</f>
        <v>37152</v>
      </c>
      <c r="B12" s="610">
        <v>0</v>
      </c>
      <c r="C12" s="610">
        <v>0</v>
      </c>
      <c r="D12" s="610">
        <v>0</v>
      </c>
      <c r="E12" s="610">
        <v>0</v>
      </c>
      <c r="F12" s="877">
        <v>0</v>
      </c>
      <c r="G12" s="608">
        <v>1000</v>
      </c>
      <c r="H12" s="608">
        <v>3000</v>
      </c>
      <c r="I12" s="608">
        <v>0</v>
      </c>
      <c r="J12" s="880">
        <v>0</v>
      </c>
      <c r="K12" s="609">
        <v>0</v>
      </c>
      <c r="L12" s="881">
        <v>0</v>
      </c>
      <c r="M12" s="608">
        <v>0</v>
      </c>
      <c r="N12" s="608">
        <v>0</v>
      </c>
      <c r="O12" s="608">
        <v>0</v>
      </c>
      <c r="P12" s="608">
        <v>0</v>
      </c>
      <c r="Q12" s="880">
        <v>0</v>
      </c>
      <c r="R12" s="1265">
        <v>0</v>
      </c>
      <c r="S12" s="1266">
        <v>0</v>
      </c>
      <c r="T12" s="608">
        <v>0</v>
      </c>
      <c r="U12" s="609">
        <v>125459</v>
      </c>
      <c r="V12" s="609">
        <v>0</v>
      </c>
      <c r="W12" s="607">
        <v>0</v>
      </c>
      <c r="X12" s="880">
        <v>104023</v>
      </c>
      <c r="Y12" s="609">
        <v>10425</v>
      </c>
      <c r="Z12" s="1">
        <v>0</v>
      </c>
      <c r="AA12" s="607">
        <v>184463</v>
      </c>
      <c r="AB12" s="607">
        <v>5144</v>
      </c>
      <c r="AC12" s="607">
        <v>5028</v>
      </c>
      <c r="AD12" s="880">
        <v>0</v>
      </c>
      <c r="AE12" s="798">
        <f t="shared" si="0"/>
        <v>6</v>
      </c>
    </row>
    <row r="13" spans="1:36">
      <c r="F13" s="1" t="s">
        <v>9</v>
      </c>
      <c r="H13" s="11"/>
      <c r="N13" s="1" t="s">
        <v>9</v>
      </c>
      <c r="R13" s="1197"/>
      <c r="S13" s="1264"/>
      <c r="T13" s="1" t="s">
        <v>9</v>
      </c>
      <c r="U13" s="11" t="s">
        <v>9</v>
      </c>
      <c r="V13" s="609" t="s">
        <v>9</v>
      </c>
      <c r="W13" s="607"/>
      <c r="Y13" s="60"/>
      <c r="AA13" s="607"/>
      <c r="AC13" s="607"/>
    </row>
    <row r="14" spans="1:36">
      <c r="A14" s="1" t="s">
        <v>9</v>
      </c>
      <c r="H14" s="11"/>
      <c r="W14" s="11"/>
      <c r="Y14" s="1" t="s">
        <v>9</v>
      </c>
      <c r="AA14" s="607"/>
    </row>
    <row r="15" spans="1:36">
      <c r="H15" s="11"/>
      <c r="W15" s="11"/>
    </row>
    <row r="17" spans="14:32">
      <c r="N17" s="1" t="s">
        <v>9</v>
      </c>
    </row>
    <row r="18" spans="14:32">
      <c r="AB18" s="1" t="s">
        <v>9</v>
      </c>
    </row>
    <row r="19" spans="14:32">
      <c r="Z19" s="1" t="s">
        <v>9</v>
      </c>
      <c r="AF19" s="607"/>
    </row>
    <row r="20" spans="14:32">
      <c r="Y20" s="69" t="s">
        <v>9</v>
      </c>
      <c r="AF20" s="607"/>
    </row>
    <row r="21" spans="14:32">
      <c r="AF21" s="607"/>
    </row>
    <row r="22" spans="14:32">
      <c r="AF22" s="607"/>
    </row>
    <row r="23" spans="14:32">
      <c r="AF23" s="607"/>
    </row>
    <row r="25" spans="14:32">
      <c r="AA25" s="607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topLeftCell="B1" zoomScale="75" workbookViewId="0">
      <selection activeCell="M7" sqref="M7"/>
    </sheetView>
  </sheetViews>
  <sheetFormatPr defaultRowHeight="15"/>
  <cols>
    <col min="1" max="11" width="8.6328125" customWidth="1"/>
    <col min="37" max="37" width="7.6328125" customWidth="1"/>
  </cols>
  <sheetData>
    <row r="1" spans="1:128" ht="15.6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3.2">
      <c r="B3" s="80" t="s">
        <v>109</v>
      </c>
      <c r="C3" s="52" t="s">
        <v>110</v>
      </c>
      <c r="D3" s="53"/>
      <c r="E3" s="53"/>
      <c r="F3" s="53"/>
      <c r="G3" s="62" t="s">
        <v>111</v>
      </c>
      <c r="H3" s="53"/>
      <c r="I3" s="53"/>
      <c r="J3" s="53"/>
      <c r="K3" s="55"/>
      <c r="L3" s="76" t="s">
        <v>69</v>
      </c>
      <c r="M3" s="76"/>
      <c r="N3" s="76"/>
      <c r="O3" s="53"/>
      <c r="P3" s="53"/>
      <c r="Q3" s="53"/>
      <c r="R3" s="53"/>
      <c r="S3" s="62" t="s">
        <v>112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0" t="s">
        <v>113</v>
      </c>
      <c r="G4" s="55" t="s">
        <v>114</v>
      </c>
      <c r="H4" s="53"/>
      <c r="I4" s="3" t="s">
        <v>87</v>
      </c>
      <c r="J4" s="3"/>
      <c r="K4" s="115" t="s">
        <v>115</v>
      </c>
      <c r="L4" s="115" t="s">
        <v>115</v>
      </c>
      <c r="M4" s="226" t="s">
        <v>115</v>
      </c>
      <c r="N4" s="59" t="s">
        <v>80</v>
      </c>
      <c r="R4" s="3"/>
      <c r="S4" s="77"/>
      <c r="Z4" s="53"/>
    </row>
    <row r="5" spans="1:128" s="1" customFormat="1" ht="13.2">
      <c r="B5" s="63"/>
      <c r="G5" s="56" t="s">
        <v>105</v>
      </c>
      <c r="H5" s="153" t="s">
        <v>36</v>
      </c>
      <c r="I5" s="78">
        <v>0.05</v>
      </c>
      <c r="J5" s="78" t="s">
        <v>65</v>
      </c>
      <c r="K5" s="59" t="s">
        <v>57</v>
      </c>
      <c r="L5" s="59" t="s">
        <v>57</v>
      </c>
      <c r="M5" s="59" t="s">
        <v>57</v>
      </c>
      <c r="N5" s="59" t="s">
        <v>57</v>
      </c>
      <c r="O5" s="3" t="s">
        <v>65</v>
      </c>
      <c r="P5" s="3" t="s">
        <v>36</v>
      </c>
      <c r="Q5" s="3" t="s">
        <v>36</v>
      </c>
      <c r="R5" s="78" t="s">
        <v>36</v>
      </c>
      <c r="S5" s="55" t="s">
        <v>65</v>
      </c>
      <c r="T5" s="53"/>
      <c r="U5" s="53"/>
      <c r="V5" s="53" t="s">
        <v>9</v>
      </c>
      <c r="W5" s="53" t="s">
        <v>88</v>
      </c>
      <c r="X5" s="53" t="s">
        <v>9</v>
      </c>
      <c r="Z5" s="3" t="s">
        <v>36</v>
      </c>
      <c r="AA5" s="53"/>
      <c r="AB5" s="53" t="s">
        <v>9</v>
      </c>
      <c r="AC5" s="109" t="s">
        <v>486</v>
      </c>
      <c r="AE5" s="53" t="s">
        <v>9</v>
      </c>
    </row>
    <row r="6" spans="1:128" s="1" customFormat="1" ht="13.2">
      <c r="A6" s="67"/>
      <c r="B6" s="68" t="s">
        <v>368</v>
      </c>
      <c r="C6" s="54" t="s">
        <v>36</v>
      </c>
      <c r="D6" s="54" t="s">
        <v>65</v>
      </c>
      <c r="E6" s="54" t="s">
        <v>88</v>
      </c>
      <c r="F6" s="54" t="s">
        <v>384</v>
      </c>
      <c r="G6" s="57" t="s">
        <v>116</v>
      </c>
      <c r="H6" s="54" t="s">
        <v>617</v>
      </c>
      <c r="I6" s="54" t="s">
        <v>95</v>
      </c>
      <c r="J6" s="54" t="s">
        <v>86</v>
      </c>
      <c r="K6" s="54" t="s">
        <v>508</v>
      </c>
      <c r="L6" s="54" t="s">
        <v>117</v>
      </c>
      <c r="M6" s="54" t="s">
        <v>118</v>
      </c>
      <c r="N6" s="54" t="s">
        <v>119</v>
      </c>
      <c r="O6" s="54">
        <v>50</v>
      </c>
      <c r="P6" s="54" t="s">
        <v>97</v>
      </c>
      <c r="Q6" s="54" t="s">
        <v>98</v>
      </c>
      <c r="R6" s="54" t="s">
        <v>99</v>
      </c>
      <c r="S6" s="57" t="s">
        <v>120</v>
      </c>
      <c r="T6" s="54" t="s">
        <v>121</v>
      </c>
      <c r="U6" s="54" t="s">
        <v>122</v>
      </c>
      <c r="V6" s="57" t="s">
        <v>120</v>
      </c>
      <c r="W6" s="54" t="s">
        <v>121</v>
      </c>
      <c r="X6" s="54" t="s">
        <v>122</v>
      </c>
      <c r="Y6" s="57" t="s">
        <v>120</v>
      </c>
      <c r="Z6" s="54" t="s">
        <v>121</v>
      </c>
      <c r="AA6" s="54" t="s">
        <v>122</v>
      </c>
      <c r="AB6" s="57" t="s">
        <v>120</v>
      </c>
      <c r="AC6" s="54" t="s">
        <v>121</v>
      </c>
      <c r="AD6" s="54" t="s">
        <v>122</v>
      </c>
      <c r="AE6" s="81" t="s">
        <v>485</v>
      </c>
    </row>
    <row r="7" spans="1:128" s="1" customFormat="1" ht="13.2">
      <c r="A7" s="799">
        <f>Weather_Input!A5</f>
        <v>37147</v>
      </c>
      <c r="B7" s="877">
        <v>0</v>
      </c>
      <c r="C7" s="608">
        <v>0</v>
      </c>
      <c r="D7" s="608">
        <v>0</v>
      </c>
      <c r="E7" s="608">
        <v>0</v>
      </c>
      <c r="F7" s="608">
        <v>0</v>
      </c>
      <c r="G7" s="881">
        <v>0</v>
      </c>
      <c r="H7" s="608">
        <v>0</v>
      </c>
      <c r="I7" s="878">
        <v>7197</v>
      </c>
      <c r="J7" s="878">
        <v>7905</v>
      </c>
      <c r="K7" s="611">
        <v>0</v>
      </c>
      <c r="L7" s="882">
        <v>0</v>
      </c>
      <c r="M7" s="882">
        <v>0</v>
      </c>
      <c r="N7" s="882">
        <v>0</v>
      </c>
      <c r="O7" s="882">
        <v>0</v>
      </c>
      <c r="P7" s="608">
        <v>0</v>
      </c>
      <c r="Q7" s="882">
        <v>0</v>
      </c>
      <c r="R7" s="608">
        <v>0</v>
      </c>
      <c r="S7" s="800">
        <v>0</v>
      </c>
      <c r="T7" s="608">
        <v>0</v>
      </c>
      <c r="U7" s="608">
        <v>0</v>
      </c>
      <c r="V7" s="800">
        <v>0</v>
      </c>
      <c r="W7" s="608">
        <v>0</v>
      </c>
      <c r="X7" s="608">
        <v>0</v>
      </c>
      <c r="Y7" s="800">
        <v>0</v>
      </c>
      <c r="Z7" s="608">
        <v>0</v>
      </c>
      <c r="AA7" s="608">
        <v>0</v>
      </c>
      <c r="AB7" s="881">
        <v>0</v>
      </c>
      <c r="AC7" s="608">
        <v>0</v>
      </c>
      <c r="AD7" s="608">
        <v>0</v>
      </c>
      <c r="AE7" s="608">
        <v>0</v>
      </c>
      <c r="AF7" s="798">
        <f>Weather_Input!A5</f>
        <v>37147</v>
      </c>
      <c r="AG7" s="607"/>
      <c r="AH7" s="607"/>
      <c r="AI7" s="607"/>
      <c r="AJ7" s="607"/>
      <c r="AK7" s="607"/>
    </row>
    <row r="8" spans="1:128" s="1" customFormat="1" ht="13.2">
      <c r="A8" s="799">
        <f>Weather_Input!A6</f>
        <v>37148</v>
      </c>
      <c r="B8" s="877">
        <v>0</v>
      </c>
      <c r="C8" s="608">
        <v>0</v>
      </c>
      <c r="D8" s="608">
        <v>0</v>
      </c>
      <c r="E8" s="608">
        <v>0</v>
      </c>
      <c r="F8" s="608">
        <v>0</v>
      </c>
      <c r="G8" s="881">
        <v>0</v>
      </c>
      <c r="H8" s="608">
        <v>0</v>
      </c>
      <c r="I8" s="878">
        <v>7197</v>
      </c>
      <c r="J8" s="878">
        <v>1500</v>
      </c>
      <c r="K8" s="611">
        <v>0</v>
      </c>
      <c r="L8" s="882">
        <v>0</v>
      </c>
      <c r="M8" s="882">
        <v>0</v>
      </c>
      <c r="N8" s="882">
        <v>0</v>
      </c>
      <c r="O8" s="882">
        <v>0</v>
      </c>
      <c r="P8" s="608">
        <v>0</v>
      </c>
      <c r="Q8" s="882">
        <v>0</v>
      </c>
      <c r="R8" s="608">
        <v>0</v>
      </c>
      <c r="S8" s="800">
        <v>0</v>
      </c>
      <c r="T8" s="608">
        <v>0</v>
      </c>
      <c r="U8" s="608">
        <v>0</v>
      </c>
      <c r="V8" s="800">
        <v>0</v>
      </c>
      <c r="W8" s="608">
        <v>0</v>
      </c>
      <c r="X8" s="608">
        <v>0</v>
      </c>
      <c r="Y8" s="800">
        <v>0</v>
      </c>
      <c r="Z8" s="608">
        <v>0</v>
      </c>
      <c r="AA8" s="608">
        <v>0</v>
      </c>
      <c r="AB8" s="881">
        <v>0</v>
      </c>
      <c r="AC8" s="608">
        <v>0</v>
      </c>
      <c r="AD8" s="608">
        <v>0</v>
      </c>
      <c r="AE8" s="608">
        <v>0</v>
      </c>
      <c r="AF8" s="799">
        <f>AF7+1</f>
        <v>37148</v>
      </c>
      <c r="AG8" s="607"/>
      <c r="AH8" s="607"/>
      <c r="AI8" s="607"/>
      <c r="AJ8" s="607"/>
      <c r="AK8" s="607"/>
    </row>
    <row r="9" spans="1:128" s="1" customFormat="1" ht="13.2">
      <c r="A9" s="798">
        <f>A8+1</f>
        <v>37149</v>
      </c>
      <c r="B9" s="877">
        <v>0</v>
      </c>
      <c r="C9" s="608">
        <v>0</v>
      </c>
      <c r="D9" s="608">
        <v>0</v>
      </c>
      <c r="E9" s="608">
        <v>0</v>
      </c>
      <c r="F9" s="608">
        <v>0</v>
      </c>
      <c r="G9" s="881">
        <v>0</v>
      </c>
      <c r="H9" s="608">
        <v>0</v>
      </c>
      <c r="I9" s="878">
        <v>7197</v>
      </c>
      <c r="J9" s="878">
        <v>0</v>
      </c>
      <c r="K9" s="611">
        <v>0</v>
      </c>
      <c r="L9" s="882">
        <v>0</v>
      </c>
      <c r="M9" s="882">
        <v>0</v>
      </c>
      <c r="N9" s="882">
        <v>0</v>
      </c>
      <c r="O9" s="882">
        <v>0</v>
      </c>
      <c r="P9" s="608">
        <v>0</v>
      </c>
      <c r="Q9" s="882">
        <v>0</v>
      </c>
      <c r="R9" s="608">
        <v>0</v>
      </c>
      <c r="S9" s="800">
        <v>0</v>
      </c>
      <c r="T9" s="608">
        <v>0</v>
      </c>
      <c r="U9" s="608">
        <v>0</v>
      </c>
      <c r="V9" s="800">
        <v>0</v>
      </c>
      <c r="W9" s="608">
        <v>0</v>
      </c>
      <c r="X9" s="608">
        <v>0</v>
      </c>
      <c r="Y9" s="800">
        <v>0</v>
      </c>
      <c r="Z9" s="608">
        <v>0</v>
      </c>
      <c r="AA9" s="608">
        <v>0</v>
      </c>
      <c r="AB9" s="881">
        <v>0</v>
      </c>
      <c r="AC9" s="608">
        <v>0</v>
      </c>
      <c r="AD9" s="608">
        <v>0</v>
      </c>
      <c r="AE9" s="608">
        <v>0</v>
      </c>
      <c r="AF9" s="798">
        <f>AF8+1</f>
        <v>37149</v>
      </c>
      <c r="AG9" s="607"/>
      <c r="AH9" s="607"/>
      <c r="AI9" s="607"/>
      <c r="AJ9" s="607"/>
      <c r="AK9" s="607"/>
    </row>
    <row r="10" spans="1:128" s="1" customFormat="1" ht="13.2">
      <c r="A10" s="798">
        <f>A9+1</f>
        <v>37150</v>
      </c>
      <c r="B10" s="877">
        <v>0</v>
      </c>
      <c r="C10" s="608">
        <v>0</v>
      </c>
      <c r="D10" s="608">
        <v>0</v>
      </c>
      <c r="E10" s="608">
        <v>0</v>
      </c>
      <c r="F10" s="608">
        <v>0</v>
      </c>
      <c r="G10" s="881">
        <v>0</v>
      </c>
      <c r="H10" s="608">
        <v>0</v>
      </c>
      <c r="I10" s="878">
        <v>7197</v>
      </c>
      <c r="J10" s="878">
        <v>0</v>
      </c>
      <c r="K10" s="611">
        <v>0</v>
      </c>
      <c r="L10" s="882">
        <v>0</v>
      </c>
      <c r="M10" s="882">
        <v>0</v>
      </c>
      <c r="N10" s="882">
        <v>0</v>
      </c>
      <c r="O10" s="882">
        <v>0</v>
      </c>
      <c r="P10" s="608">
        <v>0</v>
      </c>
      <c r="Q10" s="882">
        <v>0</v>
      </c>
      <c r="R10" s="608">
        <v>0</v>
      </c>
      <c r="S10" s="800">
        <v>0</v>
      </c>
      <c r="T10" s="608">
        <v>0</v>
      </c>
      <c r="U10" s="608">
        <v>0</v>
      </c>
      <c r="V10" s="800">
        <v>0</v>
      </c>
      <c r="W10" s="608">
        <v>0</v>
      </c>
      <c r="X10" s="608">
        <v>0</v>
      </c>
      <c r="Y10" s="800">
        <v>0</v>
      </c>
      <c r="Z10" s="608">
        <v>0</v>
      </c>
      <c r="AA10" s="608">
        <v>0</v>
      </c>
      <c r="AB10" s="881">
        <v>0</v>
      </c>
      <c r="AC10" s="608">
        <v>0</v>
      </c>
      <c r="AD10" s="608">
        <v>0</v>
      </c>
      <c r="AE10" s="608">
        <v>0</v>
      </c>
      <c r="AF10" s="798">
        <f>AF9+1</f>
        <v>37150</v>
      </c>
      <c r="AG10" s="607"/>
      <c r="AH10" s="607"/>
      <c r="AI10" s="607"/>
      <c r="AJ10" s="607"/>
      <c r="AK10" s="607"/>
    </row>
    <row r="11" spans="1:128" s="1" customFormat="1" ht="13.2">
      <c r="A11" s="798">
        <f>A10+1</f>
        <v>37151</v>
      </c>
      <c r="B11" s="877">
        <v>0</v>
      </c>
      <c r="C11" s="608">
        <v>0</v>
      </c>
      <c r="D11" s="608">
        <v>0</v>
      </c>
      <c r="E11" s="608">
        <v>0</v>
      </c>
      <c r="F11" s="608">
        <v>0</v>
      </c>
      <c r="G11" s="881">
        <v>0</v>
      </c>
      <c r="H11" s="608">
        <v>0</v>
      </c>
      <c r="I11" s="878">
        <v>7197</v>
      </c>
      <c r="J11" s="878">
        <v>0</v>
      </c>
      <c r="K11" s="611">
        <v>0</v>
      </c>
      <c r="L11" s="882">
        <v>0</v>
      </c>
      <c r="M11" s="882">
        <v>0</v>
      </c>
      <c r="N11" s="882">
        <v>0</v>
      </c>
      <c r="O11" s="882">
        <v>0</v>
      </c>
      <c r="P11" s="608">
        <v>0</v>
      </c>
      <c r="Q11" s="882">
        <v>0</v>
      </c>
      <c r="R11" s="608">
        <v>0</v>
      </c>
      <c r="S11" s="800">
        <v>0</v>
      </c>
      <c r="T11" s="608">
        <v>0</v>
      </c>
      <c r="U11" s="608">
        <v>0</v>
      </c>
      <c r="V11" s="800">
        <v>0</v>
      </c>
      <c r="W11" s="608">
        <v>0</v>
      </c>
      <c r="X11" s="608">
        <v>0</v>
      </c>
      <c r="Y11" s="800">
        <v>0</v>
      </c>
      <c r="Z11" s="608">
        <v>0</v>
      </c>
      <c r="AA11" s="608">
        <v>0</v>
      </c>
      <c r="AB11" s="881">
        <v>0</v>
      </c>
      <c r="AC11" s="608">
        <v>0</v>
      </c>
      <c r="AD11" s="608">
        <v>0</v>
      </c>
      <c r="AE11" s="608">
        <v>0</v>
      </c>
      <c r="AF11" s="798">
        <f>AF10+1</f>
        <v>37151</v>
      </c>
      <c r="AG11" s="607"/>
      <c r="AH11" s="607"/>
      <c r="AI11" s="607"/>
      <c r="AJ11" s="607"/>
      <c r="AK11" s="607"/>
    </row>
    <row r="12" spans="1:128" s="1" customFormat="1" ht="13.2">
      <c r="A12" s="798">
        <f>A11+1</f>
        <v>37152</v>
      </c>
      <c r="B12" s="877">
        <v>0</v>
      </c>
      <c r="C12" s="608">
        <v>0</v>
      </c>
      <c r="D12" s="608">
        <v>0</v>
      </c>
      <c r="E12" s="608">
        <v>0</v>
      </c>
      <c r="F12" s="608">
        <v>0</v>
      </c>
      <c r="G12" s="881">
        <v>0</v>
      </c>
      <c r="H12" s="608">
        <v>0</v>
      </c>
      <c r="I12" s="878">
        <v>7197</v>
      </c>
      <c r="J12" s="878">
        <v>0</v>
      </c>
      <c r="K12" s="611">
        <v>0</v>
      </c>
      <c r="L12" s="882">
        <v>0</v>
      </c>
      <c r="M12" s="882">
        <v>0</v>
      </c>
      <c r="N12" s="882">
        <v>0</v>
      </c>
      <c r="O12" s="882">
        <v>0</v>
      </c>
      <c r="P12" s="608">
        <v>0</v>
      </c>
      <c r="Q12" s="882">
        <v>0</v>
      </c>
      <c r="R12" s="608">
        <v>0</v>
      </c>
      <c r="S12" s="800">
        <v>0</v>
      </c>
      <c r="T12" s="608">
        <v>0</v>
      </c>
      <c r="U12" s="608">
        <v>0</v>
      </c>
      <c r="V12" s="800">
        <v>0</v>
      </c>
      <c r="W12" s="608">
        <v>0</v>
      </c>
      <c r="X12" s="608">
        <v>0</v>
      </c>
      <c r="Y12" s="800">
        <v>0</v>
      </c>
      <c r="Z12" s="608">
        <v>0</v>
      </c>
      <c r="AA12" s="608">
        <v>0</v>
      </c>
      <c r="AB12" s="881">
        <v>0</v>
      </c>
      <c r="AC12" s="608">
        <v>0</v>
      </c>
      <c r="AD12" s="608">
        <v>0</v>
      </c>
      <c r="AE12" s="608">
        <v>0</v>
      </c>
      <c r="AF12" s="798">
        <f>AF11+1</f>
        <v>37152</v>
      </c>
      <c r="AG12" s="607"/>
      <c r="AH12" s="607"/>
      <c r="AI12" s="607"/>
      <c r="AJ12" s="607"/>
      <c r="AK12" s="607"/>
    </row>
    <row r="13" spans="1:128" s="1" customFormat="1" ht="13.2">
      <c r="A13" s="607"/>
      <c r="B13" s="607"/>
      <c r="C13" s="608"/>
      <c r="D13" s="607"/>
      <c r="E13" s="608"/>
      <c r="F13" s="608"/>
      <c r="G13" s="607"/>
      <c r="H13" s="608"/>
      <c r="I13" s="607"/>
      <c r="J13" s="607"/>
      <c r="K13" s="607"/>
      <c r="L13" s="607" t="s">
        <v>9</v>
      </c>
      <c r="M13" s="607"/>
      <c r="N13" s="607"/>
      <c r="P13" s="607"/>
      <c r="Q13" s="607"/>
      <c r="R13" s="607"/>
      <c r="S13" s="800"/>
      <c r="T13" s="607"/>
      <c r="U13" s="607"/>
      <c r="V13" s="612"/>
      <c r="W13" s="607"/>
      <c r="X13" s="607"/>
      <c r="Y13" s="607"/>
      <c r="Z13" s="607"/>
      <c r="AA13" s="607"/>
      <c r="AB13" s="607"/>
      <c r="AC13" s="607"/>
      <c r="AD13" s="607"/>
      <c r="AE13" s="607"/>
      <c r="AF13" s="607"/>
      <c r="AG13" s="607"/>
      <c r="AH13" s="607"/>
      <c r="AI13" s="607"/>
      <c r="AJ13" s="607"/>
      <c r="AK13" s="609"/>
    </row>
    <row r="14" spans="1:128" s="1" customFormat="1" ht="13.2">
      <c r="A14" s="607"/>
      <c r="B14" s="607"/>
      <c r="C14" s="607"/>
      <c r="D14" s="607"/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P14" s="607"/>
      <c r="Q14" s="607"/>
      <c r="R14" s="607"/>
      <c r="S14" s="607"/>
      <c r="T14" s="607"/>
      <c r="U14" s="607"/>
      <c r="V14" s="607"/>
      <c r="W14" s="607"/>
      <c r="X14" s="607"/>
      <c r="Y14" s="607"/>
      <c r="Z14" s="607"/>
      <c r="AA14" s="607"/>
      <c r="AB14" s="607"/>
      <c r="AC14" s="607"/>
      <c r="AD14" s="607"/>
      <c r="AE14" s="607"/>
      <c r="AF14" s="607"/>
      <c r="AG14" s="607"/>
      <c r="AH14" s="607"/>
      <c r="AI14" s="607"/>
      <c r="AJ14" s="607"/>
      <c r="AK14" s="610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>
      <selection activeCell="K7" sqref="K7"/>
    </sheetView>
  </sheetViews>
  <sheetFormatPr defaultColWidth="8.81640625" defaultRowHeight="13.2"/>
  <cols>
    <col min="1" max="16384" width="8.81640625" style="1"/>
  </cols>
  <sheetData>
    <row r="1" spans="1:23">
      <c r="A1" s="409" t="s">
        <v>157</v>
      </c>
      <c r="B1" s="10"/>
      <c r="C1" s="1" t="s">
        <v>9</v>
      </c>
      <c r="O1" s="1" t="s">
        <v>9</v>
      </c>
    </row>
    <row r="3" spans="1:23">
      <c r="B3" s="79" t="s">
        <v>109</v>
      </c>
      <c r="C3" s="62" t="s">
        <v>101</v>
      </c>
      <c r="D3" s="53"/>
      <c r="E3" s="53"/>
      <c r="F3" s="55"/>
      <c r="G3" s="52" t="s">
        <v>102</v>
      </c>
      <c r="H3" s="53"/>
      <c r="I3" s="53"/>
      <c r="J3" s="53"/>
      <c r="K3" s="53"/>
      <c r="L3" s="64"/>
      <c r="M3" s="58"/>
      <c r="N3" s="52" t="s">
        <v>123</v>
      </c>
      <c r="O3" s="53"/>
      <c r="P3" s="53"/>
      <c r="Q3" s="53"/>
      <c r="R3" s="53"/>
      <c r="S3" s="53"/>
      <c r="T3" s="64"/>
    </row>
    <row r="4" spans="1:23">
      <c r="B4" s="79" t="s">
        <v>124</v>
      </c>
      <c r="C4" s="55"/>
      <c r="D4" s="53"/>
      <c r="E4" s="53"/>
      <c r="F4" s="58"/>
      <c r="G4" s="55"/>
      <c r="L4" s="63"/>
      <c r="M4" s="60"/>
      <c r="O4" s="3" t="s">
        <v>564</v>
      </c>
      <c r="P4" s="3"/>
      <c r="T4" s="63"/>
    </row>
    <row r="5" spans="1:23">
      <c r="C5" s="56" t="s">
        <v>36</v>
      </c>
      <c r="D5" s="3" t="s">
        <v>90</v>
      </c>
      <c r="E5" s="3" t="s">
        <v>65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65</v>
      </c>
      <c r="L5" s="66" t="s">
        <v>65</v>
      </c>
      <c r="M5" s="3" t="s">
        <v>384</v>
      </c>
      <c r="N5" s="3"/>
      <c r="O5" s="3" t="s">
        <v>125</v>
      </c>
      <c r="P5" s="3" t="s">
        <v>125</v>
      </c>
      <c r="Q5" s="3" t="s">
        <v>36</v>
      </c>
      <c r="R5" s="1" t="s">
        <v>487</v>
      </c>
      <c r="T5" s="66"/>
    </row>
    <row r="6" spans="1:23">
      <c r="B6" s="54" t="s">
        <v>368</v>
      </c>
      <c r="C6" s="57" t="s">
        <v>105</v>
      </c>
      <c r="D6" s="54" t="s">
        <v>106</v>
      </c>
      <c r="E6" s="81" t="s">
        <v>86</v>
      </c>
      <c r="F6" s="54" t="s">
        <v>617</v>
      </c>
      <c r="G6" s="57" t="s">
        <v>57</v>
      </c>
      <c r="H6" s="54" t="s">
        <v>97</v>
      </c>
      <c r="I6" s="54" t="s">
        <v>98</v>
      </c>
      <c r="J6" s="54" t="s">
        <v>99</v>
      </c>
      <c r="K6" s="54" t="s">
        <v>108</v>
      </c>
      <c r="L6" s="68" t="s">
        <v>107</v>
      </c>
      <c r="M6" s="81" t="s">
        <v>493</v>
      </c>
      <c r="N6" s="54" t="s">
        <v>88</v>
      </c>
      <c r="O6" s="81" t="s">
        <v>127</v>
      </c>
      <c r="P6" s="81" t="s">
        <v>566</v>
      </c>
      <c r="Q6" s="54" t="s">
        <v>125</v>
      </c>
      <c r="R6" s="983" t="s">
        <v>36</v>
      </c>
      <c r="S6" s="54" t="s">
        <v>384</v>
      </c>
      <c r="T6" s="68" t="s">
        <v>58</v>
      </c>
    </row>
    <row r="7" spans="1:23">
      <c r="A7" s="798">
        <f>Weather_Input!A5</f>
        <v>37147</v>
      </c>
      <c r="B7" s="610">
        <v>0</v>
      </c>
      <c r="C7" s="611">
        <v>0</v>
      </c>
      <c r="D7" s="610">
        <v>0</v>
      </c>
      <c r="E7" s="610">
        <v>0</v>
      </c>
      <c r="F7" s="610">
        <v>1497</v>
      </c>
      <c r="G7" s="611">
        <v>0</v>
      </c>
      <c r="H7" s="610">
        <v>0</v>
      </c>
      <c r="I7" s="610">
        <v>0</v>
      </c>
      <c r="J7" s="610">
        <v>0</v>
      </c>
      <c r="K7" s="610">
        <v>0</v>
      </c>
      <c r="L7" s="610">
        <v>0</v>
      </c>
      <c r="M7" s="611">
        <v>0</v>
      </c>
      <c r="N7" s="878">
        <v>0</v>
      </c>
      <c r="O7" s="610">
        <v>0</v>
      </c>
      <c r="P7" s="610">
        <v>20000</v>
      </c>
      <c r="Q7" s="610">
        <v>26499</v>
      </c>
      <c r="R7" s="610">
        <v>16642</v>
      </c>
      <c r="S7" s="610">
        <v>0</v>
      </c>
      <c r="T7" s="610">
        <v>0</v>
      </c>
      <c r="U7" s="798">
        <f t="shared" ref="U7:U12" si="0">U6+1</f>
        <v>1</v>
      </c>
      <c r="V7" s="607"/>
      <c r="W7" s="607"/>
    </row>
    <row r="8" spans="1:23">
      <c r="A8" s="798">
        <f>A7+1</f>
        <v>37148</v>
      </c>
      <c r="B8" s="610">
        <v>0</v>
      </c>
      <c r="C8" s="611">
        <v>0</v>
      </c>
      <c r="D8" s="610">
        <v>0</v>
      </c>
      <c r="E8" s="610">
        <v>0</v>
      </c>
      <c r="F8" s="610">
        <v>0</v>
      </c>
      <c r="G8" s="611">
        <v>0</v>
      </c>
      <c r="H8" s="610">
        <v>0</v>
      </c>
      <c r="I8" s="610">
        <v>0</v>
      </c>
      <c r="J8" s="610">
        <v>0</v>
      </c>
      <c r="K8" s="610">
        <v>0</v>
      </c>
      <c r="L8" s="610">
        <v>0</v>
      </c>
      <c r="M8" s="611">
        <v>0</v>
      </c>
      <c r="N8" s="878">
        <v>0</v>
      </c>
      <c r="O8" s="610">
        <v>0</v>
      </c>
      <c r="P8" s="610">
        <v>20000</v>
      </c>
      <c r="Q8" s="610">
        <v>26499</v>
      </c>
      <c r="R8" s="610">
        <v>16642</v>
      </c>
      <c r="S8" s="610">
        <v>0</v>
      </c>
      <c r="T8" s="610">
        <v>0</v>
      </c>
      <c r="U8" s="798">
        <f t="shared" si="0"/>
        <v>2</v>
      </c>
      <c r="V8" s="607"/>
      <c r="W8" s="607"/>
    </row>
    <row r="9" spans="1:23">
      <c r="A9" s="798">
        <f>A8+1</f>
        <v>37149</v>
      </c>
      <c r="B9" s="610">
        <v>0</v>
      </c>
      <c r="C9" s="611">
        <v>0</v>
      </c>
      <c r="D9" s="610">
        <v>0</v>
      </c>
      <c r="E9" s="610">
        <v>0</v>
      </c>
      <c r="F9" s="610">
        <v>0</v>
      </c>
      <c r="G9" s="611">
        <v>0</v>
      </c>
      <c r="H9" s="610">
        <v>0</v>
      </c>
      <c r="I9" s="610">
        <v>0</v>
      </c>
      <c r="J9" s="610">
        <v>0</v>
      </c>
      <c r="K9" s="610">
        <v>0</v>
      </c>
      <c r="L9" s="610">
        <v>0</v>
      </c>
      <c r="M9" s="611">
        <v>0</v>
      </c>
      <c r="N9" s="878">
        <v>0</v>
      </c>
      <c r="O9" s="610">
        <v>0</v>
      </c>
      <c r="P9" s="610">
        <v>20000</v>
      </c>
      <c r="Q9" s="610">
        <v>26499</v>
      </c>
      <c r="R9" s="610">
        <v>16642</v>
      </c>
      <c r="S9" s="610">
        <v>0</v>
      </c>
      <c r="T9" s="610">
        <v>0</v>
      </c>
      <c r="U9" s="798">
        <f t="shared" si="0"/>
        <v>3</v>
      </c>
      <c r="V9" s="607"/>
      <c r="W9" s="607"/>
    </row>
    <row r="10" spans="1:23">
      <c r="A10" s="798">
        <f>A9+1</f>
        <v>37150</v>
      </c>
      <c r="B10" s="610">
        <v>0</v>
      </c>
      <c r="C10" s="611">
        <v>0</v>
      </c>
      <c r="D10" s="610">
        <v>0</v>
      </c>
      <c r="E10" s="610">
        <v>0</v>
      </c>
      <c r="F10" s="610">
        <v>0</v>
      </c>
      <c r="G10" s="611">
        <v>0</v>
      </c>
      <c r="H10" s="610">
        <v>0</v>
      </c>
      <c r="I10" s="610">
        <v>0</v>
      </c>
      <c r="J10" s="610">
        <v>0</v>
      </c>
      <c r="K10" s="610">
        <v>0</v>
      </c>
      <c r="L10" s="610">
        <v>0</v>
      </c>
      <c r="M10" s="611">
        <v>0</v>
      </c>
      <c r="N10" s="878">
        <v>0</v>
      </c>
      <c r="O10" s="610">
        <v>0</v>
      </c>
      <c r="P10" s="610">
        <v>20000</v>
      </c>
      <c r="Q10" s="610">
        <v>26499</v>
      </c>
      <c r="R10" s="610">
        <v>16642</v>
      </c>
      <c r="S10" s="610">
        <v>0</v>
      </c>
      <c r="T10" s="610">
        <v>0</v>
      </c>
      <c r="U10" s="798">
        <f t="shared" si="0"/>
        <v>4</v>
      </c>
      <c r="V10" s="607"/>
      <c r="W10" s="607"/>
    </row>
    <row r="11" spans="1:23">
      <c r="A11" s="798">
        <f>A10+1</f>
        <v>37151</v>
      </c>
      <c r="B11" s="610">
        <v>0</v>
      </c>
      <c r="C11" s="611">
        <v>0</v>
      </c>
      <c r="D11" s="610">
        <v>0</v>
      </c>
      <c r="E11" s="610">
        <v>0</v>
      </c>
      <c r="F11" s="610">
        <v>0</v>
      </c>
      <c r="G11" s="611">
        <v>0</v>
      </c>
      <c r="H11" s="610">
        <v>0</v>
      </c>
      <c r="I11" s="610">
        <v>0</v>
      </c>
      <c r="J11" s="610">
        <v>0</v>
      </c>
      <c r="K11" s="610">
        <v>0</v>
      </c>
      <c r="L11" s="610">
        <v>0</v>
      </c>
      <c r="M11" s="611">
        <v>0</v>
      </c>
      <c r="N11" s="878">
        <v>0</v>
      </c>
      <c r="O11" s="610">
        <v>0</v>
      </c>
      <c r="P11" s="610">
        <v>20000</v>
      </c>
      <c r="Q11" s="610">
        <v>26499</v>
      </c>
      <c r="R11" s="610">
        <v>16642</v>
      </c>
      <c r="S11" s="610">
        <v>0</v>
      </c>
      <c r="T11" s="610">
        <v>0</v>
      </c>
      <c r="U11" s="798">
        <f t="shared" si="0"/>
        <v>5</v>
      </c>
      <c r="V11" s="607"/>
      <c r="W11" s="607"/>
    </row>
    <row r="12" spans="1:23">
      <c r="A12" s="798">
        <f>A11+1</f>
        <v>37152</v>
      </c>
      <c r="B12" s="610">
        <v>0</v>
      </c>
      <c r="C12" s="611">
        <v>0</v>
      </c>
      <c r="D12" s="610">
        <v>0</v>
      </c>
      <c r="E12" s="610">
        <v>0</v>
      </c>
      <c r="F12" s="610">
        <v>0</v>
      </c>
      <c r="G12" s="611">
        <v>0</v>
      </c>
      <c r="H12" s="610">
        <v>0</v>
      </c>
      <c r="I12" s="610">
        <v>0</v>
      </c>
      <c r="J12" s="610">
        <v>0</v>
      </c>
      <c r="K12" s="610">
        <v>0</v>
      </c>
      <c r="L12" s="610">
        <v>0</v>
      </c>
      <c r="M12" s="611">
        <v>0</v>
      </c>
      <c r="N12" s="878">
        <v>0</v>
      </c>
      <c r="O12" s="610">
        <v>0</v>
      </c>
      <c r="P12" s="610">
        <v>20000</v>
      </c>
      <c r="Q12" s="610">
        <v>26499</v>
      </c>
      <c r="R12" s="610">
        <v>16642</v>
      </c>
      <c r="S12" s="610">
        <v>0</v>
      </c>
      <c r="T12" s="610">
        <v>0</v>
      </c>
      <c r="U12" s="798">
        <f t="shared" si="0"/>
        <v>6</v>
      </c>
      <c r="V12" s="607"/>
      <c r="W12" s="607"/>
    </row>
    <row r="13" spans="1:23">
      <c r="A13" s="607"/>
      <c r="B13" s="607"/>
      <c r="C13" s="607"/>
      <c r="D13" s="607"/>
      <c r="E13" s="607"/>
      <c r="F13" s="607"/>
      <c r="G13" s="607"/>
      <c r="H13" s="607"/>
      <c r="I13" s="607"/>
      <c r="J13" s="607"/>
      <c r="K13" s="607"/>
      <c r="L13" s="610"/>
      <c r="M13" s="611"/>
      <c r="N13" s="607"/>
      <c r="O13" s="607"/>
      <c r="P13" s="607"/>
      <c r="Q13" s="610"/>
      <c r="R13" s="610"/>
      <c r="S13" s="610"/>
      <c r="T13" s="607"/>
      <c r="U13" s="607"/>
      <c r="V13" s="607"/>
      <c r="W13" s="607"/>
    </row>
    <row r="14" spans="1:23">
      <c r="A14" s="607"/>
      <c r="B14" s="607"/>
      <c r="C14" s="607"/>
      <c r="D14" s="607" t="s">
        <v>9</v>
      </c>
      <c r="E14" s="607"/>
      <c r="F14" s="607"/>
      <c r="G14" s="607"/>
      <c r="H14" s="607"/>
      <c r="I14" s="607"/>
      <c r="J14" s="607"/>
      <c r="K14" s="607"/>
      <c r="L14" s="607"/>
      <c r="M14" s="607"/>
      <c r="N14" s="607"/>
      <c r="O14" s="607"/>
      <c r="P14" s="607"/>
      <c r="Q14" s="610" t="s">
        <v>9</v>
      </c>
      <c r="R14" s="607"/>
      <c r="S14" s="607"/>
      <c r="T14" s="607"/>
      <c r="U14" s="607"/>
      <c r="V14" s="607"/>
      <c r="W14" s="607"/>
    </row>
    <row r="15" spans="1:23">
      <c r="A15" s="607"/>
      <c r="B15" s="607"/>
      <c r="C15" s="607"/>
      <c r="D15" s="607"/>
      <c r="E15" s="607"/>
      <c r="F15" s="607"/>
      <c r="G15" s="607"/>
      <c r="H15" s="607"/>
      <c r="I15" s="607"/>
      <c r="J15" s="607"/>
      <c r="K15" s="607"/>
      <c r="L15" s="607"/>
      <c r="M15" s="607"/>
      <c r="N15" s="607"/>
      <c r="O15" s="607"/>
      <c r="P15" s="607"/>
      <c r="Q15" s="610" t="s">
        <v>9</v>
      </c>
      <c r="R15" s="607"/>
      <c r="S15" s="607" t="s">
        <v>9</v>
      </c>
      <c r="T15" s="607"/>
      <c r="U15" s="607"/>
      <c r="V15" s="607"/>
      <c r="W15" s="607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128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07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zoomScale="75" workbookViewId="0">
      <selection activeCell="A11" sqref="A11"/>
    </sheetView>
  </sheetViews>
  <sheetFormatPr defaultColWidth="9.81640625" defaultRowHeight="15"/>
  <cols>
    <col min="1" max="1" width="29" style="111" customWidth="1"/>
    <col min="2" max="2" width="12" style="111" customWidth="1"/>
    <col min="3" max="3" width="15.1796875" style="111" customWidth="1"/>
    <col min="4" max="8" width="8.6328125" style="111" customWidth="1"/>
    <col min="9" max="9" width="8.54296875" style="111" customWidth="1"/>
    <col min="10" max="10" width="20.36328125" style="111" customWidth="1"/>
    <col min="11" max="11" width="16.54296875" style="111" customWidth="1"/>
    <col min="12" max="12" width="9.81640625" style="111"/>
    <col min="13" max="13" width="13.81640625" style="111" customWidth="1"/>
    <col min="14" max="16384" width="9.81640625" style="111"/>
  </cols>
  <sheetData>
    <row r="1" spans="1:256" ht="18.899999999999999" customHeight="1" thickTop="1">
      <c r="A1" s="842" t="s">
        <v>0</v>
      </c>
      <c r="B1" s="801"/>
      <c r="C1" s="865"/>
      <c r="D1" s="801"/>
      <c r="E1" s="801"/>
      <c r="F1" s="801" t="s">
        <v>9</v>
      </c>
      <c r="G1" s="801" t="s">
        <v>129</v>
      </c>
      <c r="H1" s="802" t="str">
        <f>D3</f>
        <v>THU</v>
      </c>
      <c r="I1" s="803">
        <f>D4</f>
        <v>37147</v>
      </c>
    </row>
    <row r="2" spans="1:256" ht="18.899999999999999" customHeight="1">
      <c r="A2" s="804" t="s">
        <v>130</v>
      </c>
      <c r="B2" s="805"/>
      <c r="C2" s="805"/>
      <c r="D2" s="805"/>
      <c r="E2" s="805"/>
      <c r="F2" s="805"/>
      <c r="G2" s="805"/>
      <c r="H2" s="805"/>
      <c r="I2" s="806"/>
    </row>
    <row r="3" spans="1:256" ht="18.899999999999999" customHeight="1" thickBot="1">
      <c r="A3" s="807"/>
      <c r="B3" s="805"/>
      <c r="C3" s="805"/>
      <c r="D3" s="808" t="str">
        <f t="shared" ref="D3:I3" si="0">CHOOSE(WEEKDAY(D4),"SUN","MON","TUE","WED","THU","FRI","SAT")</f>
        <v>THU</v>
      </c>
      <c r="E3" s="808" t="str">
        <f t="shared" si="0"/>
        <v>FRI</v>
      </c>
      <c r="F3" s="808" t="str">
        <f t="shared" si="0"/>
        <v>SAT</v>
      </c>
      <c r="G3" s="808" t="str">
        <f t="shared" si="0"/>
        <v>SUN</v>
      </c>
      <c r="H3" s="808" t="str">
        <f t="shared" si="0"/>
        <v>MON</v>
      </c>
      <c r="I3" s="809" t="str">
        <f t="shared" si="0"/>
        <v>TUE</v>
      </c>
    </row>
    <row r="4" spans="1:256" ht="18.899999999999999" customHeight="1" thickBot="1">
      <c r="A4" s="810"/>
      <c r="B4" s="811"/>
      <c r="C4" s="811"/>
      <c r="D4" s="449">
        <f>Weather_Input!A5</f>
        <v>37147</v>
      </c>
      <c r="E4" s="449">
        <f>Weather_Input!A6</f>
        <v>37148</v>
      </c>
      <c r="F4" s="449">
        <f>Weather_Input!A7</f>
        <v>37149</v>
      </c>
      <c r="G4" s="449">
        <f>Weather_Input!A8</f>
        <v>37150</v>
      </c>
      <c r="H4" s="449">
        <f>Weather_Input!A9</f>
        <v>37151</v>
      </c>
      <c r="I4" s="450">
        <f>Weather_Input!A10</f>
        <v>37152</v>
      </c>
    </row>
    <row r="5" spans="1:256" ht="18.899999999999999" customHeight="1" thickTop="1">
      <c r="A5" s="814" t="s">
        <v>131</v>
      </c>
      <c r="B5" s="805"/>
      <c r="C5" s="805" t="s">
        <v>132</v>
      </c>
      <c r="D5" s="451" t="str">
        <f>TEXT(Weather_Input!B5,"0")&amp;"/"&amp;TEXT(Weather_Input!C5,"0") &amp; "/" &amp; TEXT((Weather_Input!B5+Weather_Input!C5)/2,"0")</f>
        <v>67/55/61</v>
      </c>
      <c r="E5" s="451" t="str">
        <f>TEXT(Weather_Input!B6,"0")&amp;"/"&amp;TEXT(Weather_Input!C6,"0") &amp; "/" &amp; TEXT((Weather_Input!B6+Weather_Input!C6)/2,"0")</f>
        <v>67/45/56</v>
      </c>
      <c r="F5" s="451" t="str">
        <f>TEXT(Weather_Input!B7,"0")&amp;"/"&amp;TEXT(Weather_Input!C7,"0") &amp; "/" &amp; TEXT((Weather_Input!B7+Weather_Input!C7)/2,"0")</f>
        <v>67/47/57</v>
      </c>
      <c r="G5" s="451" t="str">
        <f>TEXT(Weather_Input!B8,"0")&amp;"/"&amp;TEXT(Weather_Input!C8,"0") &amp; "/" &amp; TEXT((Weather_Input!B8+Weather_Input!C8)/2,"0")</f>
        <v>70/51/61</v>
      </c>
      <c r="H5" s="451" t="str">
        <f>TEXT(Weather_Input!B9,"0")&amp;"/"&amp;TEXT(Weather_Input!C9,"0") &amp; "/" &amp; TEXT((Weather_Input!B9+Weather_Input!C9)/2,"0")</f>
        <v>74/53/64</v>
      </c>
      <c r="I5" s="452" t="str">
        <f>TEXT(Weather_Input!B10,"0")&amp;"/"&amp;TEXT(Weather_Input!C10,"0") &amp; "/" &amp; TEXT((Weather_Input!B10+Weather_Input!C10)/2,"0")</f>
        <v>74/60/67</v>
      </c>
    </row>
    <row r="6" spans="1:256" ht="18.899999999999999" customHeight="1">
      <c r="A6" s="817" t="s">
        <v>133</v>
      </c>
      <c r="B6" s="805"/>
      <c r="C6" s="805"/>
      <c r="D6" s="451">
        <f>PGL_Deliveries!C5/1000</f>
        <v>205</v>
      </c>
      <c r="E6" s="451">
        <f>PGL_Deliveries!C6/1000</f>
        <v>220</v>
      </c>
      <c r="F6" s="451">
        <f>PGL_Deliveries!C7/1000</f>
        <v>200</v>
      </c>
      <c r="G6" s="451">
        <f>PGL_Deliveries!C8/1000</f>
        <v>205</v>
      </c>
      <c r="H6" s="451">
        <f>PGL_Deliveries!C9/1000</f>
        <v>195</v>
      </c>
      <c r="I6" s="452">
        <f>PGL_Deliveries!C10/1000</f>
        <v>190</v>
      </c>
    </row>
    <row r="7" spans="1:256" ht="18.899999999999999" customHeight="1">
      <c r="A7" s="817" t="s">
        <v>515</v>
      </c>
      <c r="B7" s="805" t="s">
        <v>9</v>
      </c>
      <c r="C7" s="805"/>
      <c r="D7" s="451">
        <f>PGL_Requirements!G7/1000*0.5</f>
        <v>0</v>
      </c>
      <c r="E7" s="451">
        <f>PGL_Requirements!G8/1000*0.5</f>
        <v>0</v>
      </c>
      <c r="F7" s="451">
        <f>PGL_Requirements!G9/1000*0.5</f>
        <v>0</v>
      </c>
      <c r="G7" s="451">
        <f>PGL_Requirements!G10/1000*0.5</f>
        <v>0</v>
      </c>
      <c r="H7" s="451">
        <f>PGL_Requirements!G11/1000*0.5</f>
        <v>0</v>
      </c>
      <c r="I7" s="452">
        <f>PGL_Requirements!G12/1000*0.5</f>
        <v>0</v>
      </c>
    </row>
    <row r="8" spans="1:256" ht="18.899999999999999" customHeight="1">
      <c r="A8" s="817" t="s">
        <v>727</v>
      </c>
      <c r="B8" s="805"/>
      <c r="C8" s="805"/>
      <c r="D8" s="451">
        <f>PGL_Requirements!J7/1000</f>
        <v>0</v>
      </c>
      <c r="E8" s="451">
        <f>PGL_Requirements!J8/1000</f>
        <v>0</v>
      </c>
      <c r="F8" s="451">
        <f>PGL_Requirements!J9/1000</f>
        <v>0</v>
      </c>
      <c r="G8" s="451">
        <f>PGL_Requirements!J10/1000</f>
        <v>0</v>
      </c>
      <c r="H8" s="451">
        <f>PGL_Requirements!J11/1000</f>
        <v>0</v>
      </c>
      <c r="I8" s="452">
        <f>PGL_Requirements!J12/1000</f>
        <v>0</v>
      </c>
    </row>
    <row r="9" spans="1:256" ht="18.899999999999999" customHeight="1">
      <c r="A9" s="814" t="s">
        <v>728</v>
      </c>
      <c r="B9" s="805" t="s">
        <v>9</v>
      </c>
      <c r="C9" s="818"/>
      <c r="D9" s="451">
        <f>PGL_Requirements!K7/1000</f>
        <v>0</v>
      </c>
      <c r="E9" s="451">
        <f>PGL_Requirements!K8/1000</f>
        <v>0</v>
      </c>
      <c r="F9" s="451">
        <f>PGL_Requirements!K9/1000</f>
        <v>0</v>
      </c>
      <c r="G9" s="451">
        <f>PGL_Requirements!K10/1000</f>
        <v>0</v>
      </c>
      <c r="H9" s="451">
        <f>PGL_Requirements!K11/1000</f>
        <v>0</v>
      </c>
      <c r="I9" s="452">
        <f>PGL_Requirements!K12/1000</f>
        <v>0</v>
      </c>
    </row>
    <row r="10" spans="1:256" ht="18.899999999999999" customHeight="1">
      <c r="A10" s="814" t="s">
        <v>743</v>
      </c>
      <c r="B10" s="805"/>
      <c r="C10" s="818"/>
      <c r="D10" s="451">
        <f>PGL_Requirements!H7/1000</f>
        <v>0</v>
      </c>
      <c r="E10" s="451">
        <f>PGL_Requirements!H8/1000</f>
        <v>0</v>
      </c>
      <c r="F10" s="451">
        <f>PGL_Requirements!H9/1000</f>
        <v>0</v>
      </c>
      <c r="G10" s="451">
        <f>PGL_Requirements!H10/1000</f>
        <v>0</v>
      </c>
      <c r="H10" s="451">
        <f>PGL_Requirements!H11/1000</f>
        <v>0</v>
      </c>
      <c r="I10" s="452">
        <f>PGL_Requirements!H12/1000</f>
        <v>0</v>
      </c>
    </row>
    <row r="11" spans="1:256" ht="18.899999999999999" customHeight="1">
      <c r="A11" s="814" t="s">
        <v>137</v>
      </c>
      <c r="B11" s="805" t="s">
        <v>138</v>
      </c>
      <c r="C11" s="805" t="s">
        <v>57</v>
      </c>
      <c r="D11" s="451">
        <f>PGL_Requirements!O7/1000</f>
        <v>115.3</v>
      </c>
      <c r="E11" s="451">
        <f>PGL_Requirements!O8/1000</f>
        <v>120</v>
      </c>
      <c r="F11" s="451">
        <f>PGL_Requirements!O9/1000</f>
        <v>120</v>
      </c>
      <c r="G11" s="451">
        <f>PGL_Requirements!O10/1000</f>
        <v>120</v>
      </c>
      <c r="H11" s="451">
        <f>PGL_Requirements!O11/1000</f>
        <v>120</v>
      </c>
      <c r="I11" s="452">
        <f>PGL_Requirements!O12/1000</f>
        <v>120</v>
      </c>
    </row>
    <row r="12" spans="1:256" ht="18.899999999999999" customHeight="1">
      <c r="A12" s="814"/>
      <c r="B12" s="805"/>
      <c r="C12" s="805" t="s">
        <v>96</v>
      </c>
      <c r="D12" s="451">
        <f>PGL_Requirements!P7/1000</f>
        <v>1.7295</v>
      </c>
      <c r="E12" s="451">
        <f>PGL_Requirements!P8/1000</f>
        <v>1.8</v>
      </c>
      <c r="F12" s="451">
        <f>PGL_Requirements!P9/1000</f>
        <v>1.8</v>
      </c>
      <c r="G12" s="451">
        <f>PGL_Requirements!P10/1000</f>
        <v>1.8</v>
      </c>
      <c r="H12" s="451">
        <f>PGL_Requirements!P11/1000</f>
        <v>1.8</v>
      </c>
      <c r="I12" s="452">
        <f>PGL_Requirements!P12/1000</f>
        <v>1.8</v>
      </c>
    </row>
    <row r="13" spans="1:256" ht="18.899999999999999" customHeight="1">
      <c r="A13" s="814"/>
      <c r="C13" s="805" t="s">
        <v>651</v>
      </c>
      <c r="D13" s="451">
        <f>PGL_Requirements!Q7/1000</f>
        <v>0.64</v>
      </c>
      <c r="E13" s="451">
        <f>PGL_Requirements!Q8/1000</f>
        <v>0.6</v>
      </c>
      <c r="F13" s="451">
        <f>PGL_Requirements!Q9/1000</f>
        <v>0.6</v>
      </c>
      <c r="G13" s="451">
        <f>PGL_Requirements!Q10/1000</f>
        <v>0.6</v>
      </c>
      <c r="H13" s="451">
        <f>PGL_Requirements!Q11/1000</f>
        <v>0.6</v>
      </c>
      <c r="I13" s="452">
        <f>PGL_Requirements!Q12/1000</f>
        <v>0.6</v>
      </c>
    </row>
    <row r="14" spans="1:256" ht="18.899999999999999" customHeight="1">
      <c r="A14" s="814"/>
      <c r="C14" s="805" t="s">
        <v>676</v>
      </c>
      <c r="D14" s="451">
        <f>PGL_Requirements!B7/1000</f>
        <v>0</v>
      </c>
      <c r="E14" s="451">
        <f>PGL_Requirements!B8/1000</f>
        <v>0</v>
      </c>
      <c r="F14" s="451">
        <f>PGL_Requirements!B9/1000</f>
        <v>0</v>
      </c>
      <c r="G14" s="451">
        <f>PGL_Requirements!B10/1000</f>
        <v>0</v>
      </c>
      <c r="H14" s="451">
        <f>PGL_Requirements!B11/1000</f>
        <v>0</v>
      </c>
      <c r="I14" s="452">
        <f>PGL_Requirements!B12/1000</f>
        <v>0</v>
      </c>
      <c r="IV14" s="451" t="s">
        <v>9</v>
      </c>
    </row>
    <row r="15" spans="1:256" ht="18.899999999999999" customHeight="1">
      <c r="A15" s="814"/>
      <c r="B15" s="805" t="s">
        <v>136</v>
      </c>
      <c r="C15" s="805" t="s">
        <v>730</v>
      </c>
      <c r="D15" s="451">
        <f>PGL_Requirements!T7/1000</f>
        <v>10.425000000000001</v>
      </c>
      <c r="E15" s="451">
        <f>PGL_Requirements!T8/1000</f>
        <v>0</v>
      </c>
      <c r="F15" s="451">
        <f>PGL_Requirements!T9/1000</f>
        <v>10.425000000000001</v>
      </c>
      <c r="G15" s="451">
        <f>PGL_Requirements!T10/1000</f>
        <v>10.425000000000001</v>
      </c>
      <c r="H15" s="451">
        <f>PGL_Requirements!T11/1000</f>
        <v>10.425000000000001</v>
      </c>
      <c r="I15" s="452">
        <f>PGL_Requirements!T12/1000</f>
        <v>10.425000000000001</v>
      </c>
    </row>
    <row r="16" spans="1:256" ht="18.899999999999999" customHeight="1">
      <c r="A16" s="814"/>
      <c r="B16" s="805"/>
      <c r="C16" s="805" t="s">
        <v>732</v>
      </c>
      <c r="D16" s="451">
        <f>PGL_Requirements!U7/1000</f>
        <v>0</v>
      </c>
      <c r="E16" s="451">
        <f>PGL_Requirements!U8/1000</f>
        <v>0</v>
      </c>
      <c r="F16" s="451">
        <f>PGL_Requirements!U9/1000</f>
        <v>0</v>
      </c>
      <c r="G16" s="451">
        <f>PGL_Requirements!U10/1000</f>
        <v>0</v>
      </c>
      <c r="H16" s="451">
        <f>PGL_Requirements!U11/1000</f>
        <v>0</v>
      </c>
      <c r="I16" s="452">
        <f>PGL_Requirements!U11/1000</f>
        <v>0</v>
      </c>
    </row>
    <row r="17" spans="1:10" ht="18.899999999999999" customHeight="1">
      <c r="A17" s="814"/>
      <c r="B17" s="805" t="s">
        <v>134</v>
      </c>
      <c r="C17" s="805" t="s">
        <v>86</v>
      </c>
      <c r="D17" s="451">
        <f>PGL_Requirements!N7/1000</f>
        <v>4.5119999999999996</v>
      </c>
      <c r="E17" s="451">
        <f>PGL_Requirements!N8/1000</f>
        <v>8</v>
      </c>
      <c r="F17" s="451">
        <f>PGL_Requirements!N9/1000</f>
        <v>8</v>
      </c>
      <c r="G17" s="451">
        <f>PGL_Requirements!N10/1000</f>
        <v>8</v>
      </c>
      <c r="H17" s="451">
        <f>PGL_Requirements!N11/1000</f>
        <v>8</v>
      </c>
      <c r="I17" s="452">
        <f>PGL_Requirements!N12/1000</f>
        <v>8</v>
      </c>
    </row>
    <row r="18" spans="1:10" ht="18.899999999999999" customHeight="1">
      <c r="A18" s="814" t="s">
        <v>753</v>
      </c>
      <c r="B18" s="821" t="s">
        <v>9</v>
      </c>
      <c r="C18" s="821" t="s">
        <v>9</v>
      </c>
      <c r="D18" s="451">
        <f>PGL_Requirements!M7/1000</f>
        <v>0</v>
      </c>
      <c r="E18" s="451">
        <f>PGL_Requirements!M8/1000</f>
        <v>0</v>
      </c>
      <c r="F18" s="451">
        <f>PGL_Requirements!M9/1000</f>
        <v>0</v>
      </c>
      <c r="G18" s="451">
        <f>PGL_Requirements!M10/1000</f>
        <v>0</v>
      </c>
      <c r="H18" s="451">
        <f>PGL_Requirements!M11/1000</f>
        <v>0</v>
      </c>
      <c r="I18" s="452">
        <f>PGL_Requirements!M12/1000</f>
        <v>0</v>
      </c>
      <c r="J18" s="758"/>
    </row>
    <row r="19" spans="1:10" ht="18.899999999999999" customHeight="1">
      <c r="A19" s="814" t="s">
        <v>740</v>
      </c>
      <c r="B19" s="819"/>
      <c r="C19" s="821"/>
      <c r="D19" s="451">
        <f>PGL_Requirements!L7/1000</f>
        <v>0</v>
      </c>
      <c r="E19" s="451">
        <f>PGL_Requirements!L8/1000</f>
        <v>0</v>
      </c>
      <c r="F19" s="451">
        <f>PGL_Requirements!L9/1000</f>
        <v>0</v>
      </c>
      <c r="G19" s="451">
        <f>PGL_Requirements!L10/1000</f>
        <v>0</v>
      </c>
      <c r="H19" s="451">
        <f>PGL_Requirements!L11/1000</f>
        <v>0</v>
      </c>
      <c r="I19" s="452">
        <f>PGL_Requirements!L12/1000</f>
        <v>0</v>
      </c>
      <c r="J19" s="758"/>
    </row>
    <row r="20" spans="1:10" ht="18.899999999999999" customHeight="1">
      <c r="A20" s="817" t="s">
        <v>140</v>
      </c>
      <c r="B20" s="805"/>
      <c r="C20" s="805"/>
      <c r="D20" s="451">
        <f>PGL_Requirements!F7/1000</f>
        <v>0</v>
      </c>
      <c r="E20" s="451">
        <f>PGL_Requirements!F8/1000</f>
        <v>0</v>
      </c>
      <c r="F20" s="451">
        <f>PGL_Requirements!F9/1000</f>
        <v>0</v>
      </c>
      <c r="G20" s="451">
        <f>PGL_Requirements!F10/1000</f>
        <v>0</v>
      </c>
      <c r="H20" s="451">
        <f>PGL_Requirements!F11/1000</f>
        <v>0</v>
      </c>
      <c r="I20" s="452">
        <f>PGL_Requirements!F12/1000</f>
        <v>0</v>
      </c>
    </row>
    <row r="21" spans="1:10" ht="18.899999999999999" customHeight="1">
      <c r="A21" s="814" t="s">
        <v>141</v>
      </c>
      <c r="B21" s="805" t="s">
        <v>666</v>
      </c>
      <c r="C21" s="805"/>
      <c r="D21" s="451">
        <f>PGL_Requirements!I7/1000</f>
        <v>0</v>
      </c>
      <c r="E21" s="451">
        <f>PGL_Requirements!I8/1000</f>
        <v>0</v>
      </c>
      <c r="F21" s="451">
        <f>PGL_Requirements!I9/1000</f>
        <v>0</v>
      </c>
      <c r="G21" s="451">
        <f>PGL_Requirements!I10/1000</f>
        <v>0</v>
      </c>
      <c r="H21" s="451">
        <f>PGL_Requirements!I11/1000</f>
        <v>0</v>
      </c>
      <c r="I21" s="452">
        <f>PGL_Requirements!I12/1000</f>
        <v>0</v>
      </c>
    </row>
    <row r="22" spans="1:10" ht="18.899999999999999" customHeight="1">
      <c r="A22" s="814"/>
      <c r="B22" s="805" t="s">
        <v>88</v>
      </c>
      <c r="C22" s="805"/>
      <c r="D22" s="451">
        <f>PGL_Requirements!C7/1000</f>
        <v>0</v>
      </c>
      <c r="E22" s="451">
        <f>PGL_Requirements!C8/1000</f>
        <v>0</v>
      </c>
      <c r="F22" s="451">
        <f>PGL_Requirements!C9/1000</f>
        <v>0</v>
      </c>
      <c r="G22" s="451">
        <f>PGL_Requirements!C10/1000</f>
        <v>0</v>
      </c>
      <c r="H22" s="451">
        <f>PGL_Requirements!C11/1000</f>
        <v>0</v>
      </c>
      <c r="I22" s="452">
        <f>PGL_Requirements!C12/1000</f>
        <v>0</v>
      </c>
    </row>
    <row r="23" spans="1:10" ht="18.899999999999999" customHeight="1">
      <c r="A23" s="814"/>
      <c r="B23" s="805" t="s">
        <v>384</v>
      </c>
      <c r="C23" s="805"/>
      <c r="D23" s="451">
        <f>PGL_Requirements!D7/1000</f>
        <v>0</v>
      </c>
      <c r="E23" s="451">
        <f>PGL_Requirements!D8/1000</f>
        <v>0</v>
      </c>
      <c r="F23" s="451">
        <f>PGL_Requirements!D9/1000</f>
        <v>0</v>
      </c>
      <c r="G23" s="451">
        <f>PGL_Requirements!D10/1000</f>
        <v>0</v>
      </c>
      <c r="H23" s="451">
        <f>PGL_Requirements!D11/1000</f>
        <v>0</v>
      </c>
      <c r="I23" s="452">
        <f>PGL_Requirements!D12/1000</f>
        <v>0</v>
      </c>
    </row>
    <row r="24" spans="1:10" ht="18.899999999999999" customHeight="1">
      <c r="A24" s="814"/>
      <c r="B24" s="805" t="s">
        <v>91</v>
      </c>
      <c r="C24" s="805"/>
      <c r="D24" s="453">
        <f>PGL_Requirements!E7/1000</f>
        <v>5.0279999999999996</v>
      </c>
      <c r="E24" s="453">
        <f>PGL_Requirements!E8/1000</f>
        <v>0</v>
      </c>
      <c r="F24" s="453">
        <f>PGL_Requirements!E9/1000</f>
        <v>5.0279999999999996</v>
      </c>
      <c r="G24" s="453">
        <f>PGL_Requirements!E10/1000</f>
        <v>5.0279999999999996</v>
      </c>
      <c r="H24" s="453">
        <f>PGL_Requirements!E11/1000</f>
        <v>5.0279999999999996</v>
      </c>
      <c r="I24" s="454">
        <f>PGL_Requirements!E12/1000</f>
        <v>5.0279999999999996</v>
      </c>
    </row>
    <row r="25" spans="1:10" ht="18.899999999999999" customHeight="1" thickBot="1">
      <c r="A25" s="822" t="s">
        <v>142</v>
      </c>
      <c r="B25" s="823"/>
      <c r="C25" s="823"/>
      <c r="D25" s="455">
        <f t="shared" ref="D25:I25" si="1">SUM(D6:D24)</f>
        <v>342.6345</v>
      </c>
      <c r="E25" s="455">
        <f t="shared" si="1"/>
        <v>350.40000000000003</v>
      </c>
      <c r="F25" s="455">
        <f t="shared" si="1"/>
        <v>345.85300000000007</v>
      </c>
      <c r="G25" s="455">
        <f t="shared" si="1"/>
        <v>350.85300000000007</v>
      </c>
      <c r="H25" s="455">
        <f t="shared" si="1"/>
        <v>340.85300000000007</v>
      </c>
      <c r="I25" s="1060">
        <f t="shared" si="1"/>
        <v>335.85300000000007</v>
      </c>
    </row>
    <row r="26" spans="1:10" ht="18.899999999999999" customHeight="1" thickTop="1" thickBot="1">
      <c r="A26" s="826"/>
      <c r="B26" s="805"/>
      <c r="C26" s="805"/>
      <c r="D26" s="456"/>
      <c r="E26" s="457"/>
      <c r="F26" s="457"/>
      <c r="G26" s="457"/>
      <c r="H26" s="457"/>
      <c r="I26" s="458"/>
    </row>
    <row r="27" spans="1:10" ht="18.899999999999999" customHeight="1" thickTop="1" thickBot="1">
      <c r="A27" s="827" t="s">
        <v>143</v>
      </c>
      <c r="B27" s="828"/>
      <c r="C27" s="828"/>
      <c r="D27" s="459"/>
      <c r="E27" s="460"/>
      <c r="F27" s="460"/>
      <c r="G27" s="460"/>
      <c r="H27" s="460"/>
      <c r="I27" s="1061"/>
    </row>
    <row r="28" spans="1:10" ht="18.899999999999999" customHeight="1" thickTop="1">
      <c r="A28" s="814" t="s">
        <v>144</v>
      </c>
      <c r="B28" s="805" t="s">
        <v>138</v>
      </c>
      <c r="C28" s="805" t="s">
        <v>57</v>
      </c>
      <c r="D28" s="451">
        <f>PGL_Supplies!L7/1000</f>
        <v>0</v>
      </c>
      <c r="E28" s="451">
        <f>PGL_Supplies!L8/1000</f>
        <v>0</v>
      </c>
      <c r="F28" s="451">
        <f>PGL_Supplies!L9/1000</f>
        <v>0</v>
      </c>
      <c r="G28" s="451">
        <f>PGL_Supplies!L10/1000</f>
        <v>0</v>
      </c>
      <c r="H28" s="451">
        <f>PGL_Supplies!L11/1000</f>
        <v>0</v>
      </c>
      <c r="I28" s="452">
        <f>PGL_Supplies!L12/1000</f>
        <v>0</v>
      </c>
    </row>
    <row r="29" spans="1:10" ht="18.899999999999999" customHeight="1">
      <c r="A29" s="814"/>
      <c r="B29" s="805"/>
      <c r="C29" s="805" t="s">
        <v>89</v>
      </c>
      <c r="D29" s="451">
        <f>PGL_Supplies!G7/1000</f>
        <v>0.20899999999999999</v>
      </c>
      <c r="E29" s="451">
        <f>PGL_Supplies!G8/1000</f>
        <v>1</v>
      </c>
      <c r="F29" s="451">
        <f>PGL_Supplies!G9/1000</f>
        <v>1</v>
      </c>
      <c r="G29" s="451">
        <f>PGL_Supplies!G10/1000</f>
        <v>1</v>
      </c>
      <c r="H29" s="451">
        <f>PGL_Supplies!G11/1000</f>
        <v>1</v>
      </c>
      <c r="I29" s="452">
        <f>PGL_Supplies!G12/1000</f>
        <v>1</v>
      </c>
    </row>
    <row r="30" spans="1:10" ht="18.899999999999999" customHeight="1">
      <c r="A30" s="814"/>
      <c r="B30" s="805"/>
      <c r="C30" s="805" t="s">
        <v>58</v>
      </c>
      <c r="D30" s="451">
        <f>PGL_Supplies!I7/1000</f>
        <v>0</v>
      </c>
      <c r="E30" s="451">
        <f>PGL_Supplies!I8/1000</f>
        <v>0</v>
      </c>
      <c r="F30" s="451">
        <f>PGL_Supplies!I9/1000</f>
        <v>0</v>
      </c>
      <c r="G30" s="451">
        <f>PGL_Supplies!I10/1000</f>
        <v>0</v>
      </c>
      <c r="H30" s="451">
        <f>PGL_Supplies!I11/1000</f>
        <v>0</v>
      </c>
      <c r="I30" s="452">
        <f>PGL_Supplies!I12/1000</f>
        <v>0</v>
      </c>
    </row>
    <row r="31" spans="1:10" ht="18.899999999999999" customHeight="1">
      <c r="A31" s="814"/>
      <c r="B31" s="805" t="s">
        <v>136</v>
      </c>
      <c r="C31" s="805" t="s">
        <v>730</v>
      </c>
      <c r="D31" s="451">
        <f>PGL_Supplies!P7/1000</f>
        <v>0</v>
      </c>
      <c r="E31" s="451">
        <f>PGL_Supplies!P8/1000</f>
        <v>0</v>
      </c>
      <c r="F31" s="451">
        <f>PGL_Supplies!P9/1000</f>
        <v>0</v>
      </c>
      <c r="G31" s="451">
        <f>PGL_Supplies!P10/1000</f>
        <v>0</v>
      </c>
      <c r="H31" s="451">
        <f>PGL_Supplies!P11/1000</f>
        <v>0</v>
      </c>
      <c r="I31" s="452">
        <f>PGL_Supplies!P12/1000</f>
        <v>0</v>
      </c>
    </row>
    <row r="32" spans="1:10" ht="18.899999999999999" customHeight="1">
      <c r="A32" s="814"/>
      <c r="B32" s="805"/>
      <c r="C32" s="805" t="s">
        <v>732</v>
      </c>
      <c r="D32" s="451">
        <f>PGL_Supplies!Q7/1000</f>
        <v>0</v>
      </c>
      <c r="E32" s="451">
        <f>PGL_Supplies!Q8/1000</f>
        <v>0</v>
      </c>
      <c r="F32" s="451">
        <f>PGL_Supplies!Q9/1000</f>
        <v>0</v>
      </c>
      <c r="G32" s="451">
        <f>PGL_Supplies!Q10/1000</f>
        <v>0</v>
      </c>
      <c r="H32" s="451">
        <f>PGL_Supplies!Q11/1000</f>
        <v>0</v>
      </c>
      <c r="I32" s="452">
        <f>PGL_Supplies!Q12/1000</f>
        <v>0</v>
      </c>
    </row>
    <row r="33" spans="1:10" ht="18.899999999999999" customHeight="1">
      <c r="A33" s="814"/>
      <c r="B33" s="805" t="s">
        <v>134</v>
      </c>
      <c r="C33" s="805" t="s">
        <v>86</v>
      </c>
      <c r="D33" s="451">
        <f>PGL_Supplies!K7/1000</f>
        <v>0</v>
      </c>
      <c r="E33" s="451">
        <f>PGL_Supplies!K8/1000</f>
        <v>2.3199999999999998</v>
      </c>
      <c r="F33" s="451">
        <f>PGL_Supplies!K9/1000</f>
        <v>0</v>
      </c>
      <c r="G33" s="451">
        <f>PGL_Supplies!K10/1000</f>
        <v>0</v>
      </c>
      <c r="H33" s="451">
        <f>PGL_Supplies!K11/1000</f>
        <v>0</v>
      </c>
      <c r="I33" s="452">
        <f>PGL_Supplies!K12/1000</f>
        <v>0</v>
      </c>
    </row>
    <row r="34" spans="1:10" ht="18.899999999999999" customHeight="1">
      <c r="A34" s="814" t="s">
        <v>754</v>
      </c>
      <c r="B34" s="805"/>
      <c r="C34" s="805"/>
      <c r="D34" s="451">
        <f>PGL_Supplies!M7/1000</f>
        <v>0</v>
      </c>
      <c r="E34" s="451">
        <f>PGL_Supplies!M8/1000</f>
        <v>0</v>
      </c>
      <c r="F34" s="451">
        <f>PGL_Supplies!M9/1000</f>
        <v>0</v>
      </c>
      <c r="G34" s="451">
        <f>PGL_Supplies!M10/1000</f>
        <v>0</v>
      </c>
      <c r="H34" s="451">
        <f>PGL_Supplies!M11/1000</f>
        <v>0</v>
      </c>
      <c r="I34" s="452">
        <f>PGL_Supplies!M12/1000</f>
        <v>0</v>
      </c>
    </row>
    <row r="35" spans="1:10" ht="18.899999999999999" customHeight="1">
      <c r="A35" s="817" t="s">
        <v>635</v>
      </c>
      <c r="B35" s="805"/>
      <c r="C35" s="805"/>
      <c r="D35" s="451">
        <f>PGL_Supplies!T7/1000</f>
        <v>0</v>
      </c>
      <c r="E35" s="451">
        <f>PGL_Supplies!T8/1000</f>
        <v>0</v>
      </c>
      <c r="F35" s="451">
        <f>PGL_Supplies!T9/1000</f>
        <v>0</v>
      </c>
      <c r="G35" s="451">
        <f>PGL_Supplies!T10/1000</f>
        <v>0</v>
      </c>
      <c r="H35" s="451">
        <f>PGL_Supplies!T11/1000</f>
        <v>0</v>
      </c>
      <c r="I35" s="452">
        <f>PGL_Supplies!T12/1000</f>
        <v>0</v>
      </c>
    </row>
    <row r="36" spans="1:10" ht="18.899999999999999" customHeight="1">
      <c r="A36" s="817" t="s">
        <v>729</v>
      </c>
      <c r="B36" s="805" t="s">
        <v>384</v>
      </c>
      <c r="C36" s="805"/>
      <c r="D36" s="451">
        <f>PGL_Supplies!S7/1000</f>
        <v>10</v>
      </c>
      <c r="E36" s="451">
        <f>PGL_Supplies!S8/1000</f>
        <v>10</v>
      </c>
      <c r="F36" s="451">
        <f>PGL_Supplies!S9/1000</f>
        <v>15</v>
      </c>
      <c r="G36" s="451">
        <f>PGL_Supplies!S10/1000</f>
        <v>15</v>
      </c>
      <c r="H36" s="451">
        <f>PGL_Supplies!S11/1000</f>
        <v>15</v>
      </c>
      <c r="I36" s="452">
        <f>PGL_Supplies!S12/1000</f>
        <v>0</v>
      </c>
    </row>
    <row r="37" spans="1:10" ht="18.899999999999999" customHeight="1">
      <c r="A37" s="831" t="s">
        <v>673</v>
      </c>
      <c r="B37" s="805" t="s">
        <v>657</v>
      </c>
      <c r="C37" s="805"/>
      <c r="D37" s="451">
        <f>PGL_Supplies!X7/1000</f>
        <v>69.284000000000006</v>
      </c>
      <c r="E37" s="451">
        <f>PGL_Supplies!X8/1000</f>
        <v>104.023</v>
      </c>
      <c r="F37" s="451">
        <f>PGL_Supplies!X9/1000</f>
        <v>104.023</v>
      </c>
      <c r="G37" s="451">
        <f>PGL_Supplies!X10/1000</f>
        <v>104.023</v>
      </c>
      <c r="H37" s="451">
        <f>PGL_Supplies!X11/1000</f>
        <v>104.023</v>
      </c>
      <c r="I37" s="452">
        <f>PGL_Supplies!X12/1000</f>
        <v>104.023</v>
      </c>
    </row>
    <row r="38" spans="1:10" ht="18.899999999999999" customHeight="1">
      <c r="A38" s="817"/>
      <c r="B38" s="805" t="s">
        <v>136</v>
      </c>
      <c r="C38" s="818"/>
      <c r="D38" s="451">
        <f>PGL_Supplies!Y7/1000</f>
        <v>10.425000000000001</v>
      </c>
      <c r="E38" s="451">
        <f>PGL_Supplies!Y8/1000</f>
        <v>10.425000000000001</v>
      </c>
      <c r="F38" s="451">
        <f>PGL_Supplies!Y9/1000</f>
        <v>10.425000000000001</v>
      </c>
      <c r="G38" s="451">
        <f>PGL_Supplies!Y10/1000</f>
        <v>10.425000000000001</v>
      </c>
      <c r="H38" s="451">
        <f>PGL_Supplies!Y11/1000</f>
        <v>10.425000000000001</v>
      </c>
      <c r="I38" s="452">
        <f>PGL_Supplies!Y12/1000</f>
        <v>10.425000000000001</v>
      </c>
    </row>
    <row r="39" spans="1:10" ht="18.899999999999999" customHeight="1">
      <c r="A39" s="817"/>
      <c r="B39" s="805" t="s">
        <v>139</v>
      </c>
      <c r="C39" s="818"/>
      <c r="D39" s="451">
        <f>PGL_Supplies!Z7/1000</f>
        <v>0</v>
      </c>
      <c r="E39" s="451">
        <f>PGL_Supplies!Z8/1000</f>
        <v>0</v>
      </c>
      <c r="F39" s="451">
        <f>PGL_Supplies!Z9/1000</f>
        <v>0</v>
      </c>
      <c r="G39" s="451">
        <f>PGL_Supplies!Z10/1000</f>
        <v>0</v>
      </c>
      <c r="H39" s="451">
        <f>PGL_Supplies!Z11/1000</f>
        <v>0</v>
      </c>
      <c r="I39" s="452">
        <f>PGL_Supplies!Z12/1000</f>
        <v>0</v>
      </c>
    </row>
    <row r="40" spans="1:10" ht="18.899999999999999" customHeight="1">
      <c r="A40" s="817"/>
      <c r="B40" s="805" t="s">
        <v>384</v>
      </c>
      <c r="C40" s="818"/>
      <c r="D40" s="451">
        <f>PGL_Supplies!AA7/1000</f>
        <v>198.20400000000001</v>
      </c>
      <c r="E40" s="451">
        <f>PGL_Supplies!AA8/1000</f>
        <v>184.46299999999999</v>
      </c>
      <c r="F40" s="451">
        <f>PGL_Supplies!AA9/1000</f>
        <v>184.46299999999999</v>
      </c>
      <c r="G40" s="451">
        <f>PGL_Supplies!AA10/1000</f>
        <v>184.46299999999999</v>
      </c>
      <c r="H40" s="451">
        <f>PGL_Supplies!AA11/1000</f>
        <v>184.46299999999999</v>
      </c>
      <c r="I40" s="452">
        <f>PGL_Supplies!AA12/1000</f>
        <v>184.46299999999999</v>
      </c>
    </row>
    <row r="41" spans="1:10" ht="18.899999999999999" customHeight="1">
      <c r="A41" s="817"/>
      <c r="B41" s="805" t="s">
        <v>134</v>
      </c>
      <c r="C41" s="805"/>
      <c r="D41" s="451">
        <f>PGL_Supplies!AB7/1000</f>
        <v>32.97</v>
      </c>
      <c r="E41" s="451">
        <f>PGL_Supplies!AB8/1000</f>
        <v>5.1440000000000001</v>
      </c>
      <c r="F41" s="451">
        <f>PGL_Supplies!AB9/1000</f>
        <v>5.1440000000000001</v>
      </c>
      <c r="G41" s="451">
        <f>PGL_Supplies!AB10/1000</f>
        <v>5.1440000000000001</v>
      </c>
      <c r="H41" s="451">
        <f>PGL_Supplies!AB11/1000</f>
        <v>5.1440000000000001</v>
      </c>
      <c r="I41" s="452">
        <f>PGL_Supplies!AB12/1000</f>
        <v>5.1440000000000001</v>
      </c>
    </row>
    <row r="42" spans="1:10" ht="18.899999999999999" customHeight="1">
      <c r="A42" s="817"/>
      <c r="B42" s="805" t="s">
        <v>135</v>
      </c>
      <c r="C42" s="805"/>
      <c r="D42" s="451">
        <f>PGL_Supplies!AC7/1000</f>
        <v>5.0279999999999996</v>
      </c>
      <c r="E42" s="451">
        <f>PGL_Supplies!AC8/1000</f>
        <v>5.0279999999999996</v>
      </c>
      <c r="F42" s="451">
        <f>PGL_Supplies!AC9/1000</f>
        <v>5.0279999999999996</v>
      </c>
      <c r="G42" s="451">
        <f>PGL_Supplies!AC10/1000</f>
        <v>5.0279999999999996</v>
      </c>
      <c r="H42" s="451">
        <f>PGL_Supplies!AC11/1000</f>
        <v>5.0279999999999996</v>
      </c>
      <c r="I42" s="452">
        <f>PGL_Supplies!AC12/1000</f>
        <v>5.0279999999999996</v>
      </c>
    </row>
    <row r="43" spans="1:10" ht="18.899999999999999" customHeight="1">
      <c r="A43" s="831"/>
      <c r="B43" s="805" t="s">
        <v>146</v>
      </c>
      <c r="C43" s="805"/>
      <c r="D43" s="451">
        <f>PGL_Supplies!H7/1000</f>
        <v>3</v>
      </c>
      <c r="E43" s="451">
        <f>PGL_Supplies!H8/1000</f>
        <v>3</v>
      </c>
      <c r="F43" s="451">
        <f>PGL_Supplies!H9/1000</f>
        <v>3</v>
      </c>
      <c r="G43" s="451">
        <f>PGL_Supplies!H10/1000</f>
        <v>3</v>
      </c>
      <c r="H43" s="451">
        <f>PGL_Supplies!H11/1000</f>
        <v>3</v>
      </c>
      <c r="I43" s="452">
        <f>PGL_Supplies!H12/1000</f>
        <v>3</v>
      </c>
      <c r="J43" s="111" t="s">
        <v>9</v>
      </c>
    </row>
    <row r="44" spans="1:10" ht="18.899999999999999" customHeight="1">
      <c r="A44" s="814"/>
      <c r="B44" s="805" t="s">
        <v>147</v>
      </c>
      <c r="C44" s="805"/>
      <c r="D44" s="451">
        <f>PGL_Supplies!J7/1000</f>
        <v>0</v>
      </c>
      <c r="E44" s="451">
        <f>PGL_Supplies!J8/1000</f>
        <v>0</v>
      </c>
      <c r="F44" s="451">
        <f>PGL_Supplies!J9/1000</f>
        <v>0</v>
      </c>
      <c r="G44" s="451">
        <f>PGL_Supplies!J10/1000</f>
        <v>0</v>
      </c>
      <c r="H44" s="451">
        <f>PGL_Supplies!J11/1000</f>
        <v>0</v>
      </c>
      <c r="I44" s="452">
        <f>PGL_Supplies!J12/1000</f>
        <v>0</v>
      </c>
    </row>
    <row r="45" spans="1:10" ht="18.899999999999999" customHeight="1">
      <c r="A45" s="817" t="s">
        <v>684</v>
      </c>
      <c r="B45" s="805"/>
      <c r="C45" s="805"/>
      <c r="D45" s="451">
        <f>PGL_Supplies!B7/1000</f>
        <v>16.646000000000001</v>
      </c>
      <c r="E45" s="451">
        <f>PGL_Supplies!B8/1000</f>
        <v>0</v>
      </c>
      <c r="F45" s="451">
        <f>PGL_Supplies!B9/1000</f>
        <v>0</v>
      </c>
      <c r="G45" s="451">
        <f>PGL_Supplies!B10/1000</f>
        <v>0</v>
      </c>
      <c r="H45" s="451">
        <f>PGL_Supplies!B11/1000</f>
        <v>0</v>
      </c>
      <c r="I45" s="452">
        <f>PGL_Supplies!B12/1000</f>
        <v>0</v>
      </c>
    </row>
    <row r="46" spans="1:10" ht="18.899999999999999" customHeight="1">
      <c r="A46" s="814" t="s">
        <v>665</v>
      </c>
      <c r="B46" s="805" t="s">
        <v>657</v>
      </c>
      <c r="C46" s="805"/>
      <c r="D46" s="451">
        <f>PGL_Supplies!W7/1000</f>
        <v>0</v>
      </c>
      <c r="E46" s="451">
        <f>PGL_Supplies!W8/1000</f>
        <v>0</v>
      </c>
      <c r="F46" s="451">
        <f>PGL_Supplies!W9/1000</f>
        <v>0</v>
      </c>
      <c r="G46" s="451">
        <f>PGL_Supplies!W10/1000</f>
        <v>0</v>
      </c>
      <c r="H46" s="451">
        <f>PGL_Supplies!W11/1000</f>
        <v>0</v>
      </c>
      <c r="I46" s="452">
        <f>PGL_Supplies!W12/1000</f>
        <v>0</v>
      </c>
    </row>
    <row r="47" spans="1:10" ht="18.899999999999999" customHeight="1">
      <c r="A47" s="814"/>
      <c r="B47" s="819" t="s">
        <v>139</v>
      </c>
      <c r="C47" s="805"/>
      <c r="D47" s="451">
        <f>PGL_Supplies!C7/1000</f>
        <v>0</v>
      </c>
      <c r="E47" s="451">
        <f>PGL_Supplies!C8/1000</f>
        <v>0</v>
      </c>
      <c r="F47" s="451">
        <f>PGL_Supplies!C9/1000</f>
        <v>0</v>
      </c>
      <c r="G47" s="451">
        <f>PGL_Supplies!C10/1000</f>
        <v>0</v>
      </c>
      <c r="H47" s="451">
        <f>PGL_Supplies!C11/1000</f>
        <v>0</v>
      </c>
      <c r="I47" s="452">
        <f>PGL_Supplies!C12/1000</f>
        <v>0</v>
      </c>
    </row>
    <row r="48" spans="1:10" ht="18.899999999999999" customHeight="1">
      <c r="A48" s="814"/>
      <c r="B48" s="805" t="s">
        <v>384</v>
      </c>
      <c r="C48" s="805"/>
      <c r="D48" s="451">
        <f>PGL_Supplies!D7/1000</f>
        <v>0</v>
      </c>
      <c r="E48" s="451">
        <f>PGL_Supplies!D8/1000</f>
        <v>0</v>
      </c>
      <c r="F48" s="451">
        <f>PGL_Supplies!D9/1000</f>
        <v>0</v>
      </c>
      <c r="G48" s="451">
        <f>PGL_Supplies!D10/1000</f>
        <v>0</v>
      </c>
      <c r="H48" s="451">
        <f>PGL_Supplies!D11/1000</f>
        <v>0</v>
      </c>
      <c r="I48" s="452">
        <f>PGL_Supplies!D12/1000</f>
        <v>0</v>
      </c>
    </row>
    <row r="49" spans="1:9" ht="18.899999999999999" customHeight="1">
      <c r="A49" s="832"/>
      <c r="B49" s="833" t="s">
        <v>135</v>
      </c>
      <c r="C49" s="833"/>
      <c r="D49" s="453">
        <f>PGL_Supplies!F7/1000</f>
        <v>0</v>
      </c>
      <c r="E49" s="453">
        <f>PGL_Supplies!F8/1000</f>
        <v>25</v>
      </c>
      <c r="F49" s="453">
        <f>PGL_Supplies!F9/1000</f>
        <v>0</v>
      </c>
      <c r="G49" s="453">
        <f>PGL_Supplies!F10/1000</f>
        <v>0</v>
      </c>
      <c r="H49" s="453">
        <f>PGL_Supplies!F11/1000</f>
        <v>0</v>
      </c>
      <c r="I49" s="454">
        <f>PGL_Supplies!F12/1000</f>
        <v>0</v>
      </c>
    </row>
    <row r="50" spans="1:9" ht="18.899999999999999" customHeight="1" thickBot="1">
      <c r="A50" s="834" t="s">
        <v>148</v>
      </c>
      <c r="B50" s="835"/>
      <c r="C50" s="835"/>
      <c r="D50" s="461">
        <f t="shared" ref="D50:I50" si="2">SUM(D28:D49)</f>
        <v>345.76600000000002</v>
      </c>
      <c r="E50" s="461">
        <f t="shared" si="2"/>
        <v>350.40300000000002</v>
      </c>
      <c r="F50" s="461">
        <f t="shared" si="2"/>
        <v>328.08300000000003</v>
      </c>
      <c r="G50" s="461">
        <f t="shared" si="2"/>
        <v>328.08300000000003</v>
      </c>
      <c r="H50" s="461">
        <f t="shared" si="2"/>
        <v>328.08300000000003</v>
      </c>
      <c r="I50" s="1062">
        <f t="shared" si="2"/>
        <v>313.08300000000003</v>
      </c>
    </row>
    <row r="51" spans="1:9" ht="18.899999999999999" customHeight="1">
      <c r="A51" s="836" t="s">
        <v>149</v>
      </c>
      <c r="B51" s="837"/>
      <c r="C51" s="837"/>
      <c r="D51" s="462">
        <f t="shared" ref="D51:I51" si="3">IF(D50-D25&lt;0,0,D50-D25)</f>
        <v>3.1315000000000168</v>
      </c>
      <c r="E51" s="462">
        <f t="shared" si="3"/>
        <v>2.9999999999859028E-3</v>
      </c>
      <c r="F51" s="462">
        <f t="shared" si="3"/>
        <v>0</v>
      </c>
      <c r="G51" s="462">
        <f t="shared" si="3"/>
        <v>0</v>
      </c>
      <c r="H51" s="462">
        <f t="shared" si="3"/>
        <v>0</v>
      </c>
      <c r="I51" s="1063">
        <f t="shared" si="3"/>
        <v>0</v>
      </c>
    </row>
    <row r="52" spans="1:9" ht="18.899999999999999" customHeight="1" thickBot="1">
      <c r="A52" s="838" t="s">
        <v>150</v>
      </c>
      <c r="B52" s="823"/>
      <c r="C52" s="839"/>
      <c r="D52" s="463">
        <f t="shared" ref="D52:I52" si="4">IF(D25-D50&lt;0,0,D25-D50)</f>
        <v>0</v>
      </c>
      <c r="E52" s="463">
        <f t="shared" si="4"/>
        <v>0</v>
      </c>
      <c r="F52" s="463">
        <f t="shared" si="4"/>
        <v>17.770000000000039</v>
      </c>
      <c r="G52" s="463">
        <f t="shared" si="4"/>
        <v>22.770000000000039</v>
      </c>
      <c r="H52" s="463">
        <f t="shared" si="4"/>
        <v>12.770000000000039</v>
      </c>
      <c r="I52" s="1064">
        <f t="shared" si="4"/>
        <v>22.770000000000039</v>
      </c>
    </row>
    <row r="53" spans="1:9" ht="18.899999999999999" customHeight="1" thickTop="1" thickBot="1">
      <c r="A53" s="1051" t="s">
        <v>675</v>
      </c>
      <c r="B53" s="1052"/>
      <c r="C53" s="1052"/>
      <c r="D53" s="1053">
        <f>PGL_Supplies!U7/1000</f>
        <v>126.39100000000001</v>
      </c>
      <c r="E53" s="1053">
        <f>PGL_Supplies!U8/1000</f>
        <v>125.459</v>
      </c>
      <c r="F53" s="1053">
        <f>PGL_Supplies!U9/1000</f>
        <v>125.459</v>
      </c>
      <c r="G53" s="1053">
        <f>PGL_Supplies!U10/1000</f>
        <v>125.459</v>
      </c>
      <c r="H53" s="1053">
        <f>PGL_Supplies!U11/1000</f>
        <v>125.459</v>
      </c>
      <c r="I53" s="1054">
        <f>PGL_Supplies!U12/1000</f>
        <v>125.459</v>
      </c>
    </row>
    <row r="54" spans="1:9" ht="18.899999999999999" customHeight="1" thickTop="1"/>
    <row r="56" spans="1:9">
      <c r="C56" s="111" t="s">
        <v>691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50</vt:i4>
      </vt:variant>
    </vt:vector>
  </HeadingPairs>
  <TitlesOfParts>
    <vt:vector size="76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high_fcst</vt:lpstr>
      <vt:lpstr>Imbalances</vt:lpstr>
      <vt:lpstr>low_fcst</vt:lpstr>
      <vt:lpstr>NSG_date</vt:lpstr>
      <vt:lpstr>NSG_First_date</vt:lpstr>
      <vt:lpstr>NSG_GC_Sendout_est</vt:lpstr>
      <vt:lpstr>NSG_sendout</vt:lpstr>
      <vt:lpstr>NSG_Sendout_Input</vt:lpstr>
      <vt:lpstr>NSG_Sendouts</vt:lpstr>
      <vt:lpstr>Old_Imbalance</vt:lpstr>
      <vt:lpstr>PGL_date</vt:lpstr>
      <vt:lpstr>PGL_First_date</vt:lpstr>
      <vt:lpstr>PGL_GC_Sendout_est</vt:lpstr>
      <vt:lpstr>PGL_high</vt:lpstr>
      <vt:lpstr>PGL_low</vt:lpstr>
      <vt:lpstr>PGL_Nom_Input</vt:lpstr>
      <vt:lpstr>PGL_Noms</vt:lpstr>
      <vt:lpstr>PGL_sendout</vt:lpstr>
      <vt:lpstr>PGL_Sendout_Input</vt:lpstr>
      <vt:lpstr>PGL_Sendouts</vt:lpstr>
      <vt:lpstr>PGL_temp</vt:lpstr>
      <vt:lpstr>PGL_wind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  <vt:lpstr>wind_fcst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2001-09-14T15:52:59Z</cp:lastPrinted>
  <dcterms:created xsi:type="dcterms:W3CDTF">1997-07-16T16:14:22Z</dcterms:created>
  <dcterms:modified xsi:type="dcterms:W3CDTF">2023-09-10T11:13:08Z</dcterms:modified>
</cp:coreProperties>
</file>