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<sst xmlns="http://schemas.openxmlformats.org/spreadsheetml/2006/main" count="2091" uniqueCount="828">
  <si>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</si>
  <si>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</si>
  <si>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</si>
  <si>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</si>
  <si>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</si>
  <si>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</si>
  <si>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</si>
  <si>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</si>
  <si>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</si>
  <si>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</si>
  <si>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</si>
  <si>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</si>
  <si>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</si>
  <si>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</si>
  <si>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</si>
  <si>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</si>
  <si>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</si>
  <si>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</si>
  <si>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</si>
  <si>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</si>
  <si>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</si>
  <si>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</si>
  <si>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</si>
  <si>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</si>
  <si>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</si>
  <si>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</si>
  <si>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</si>
  <si>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</si>
  <si>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</si>
  <si>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</si>
  <si>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</si>
  <si>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</si>
  <si>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</si>
  <si>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</si>
  <si>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</si>
  <si>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</si>
  <si>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</si>
  <si>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</si>
  <si>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</si>
  <si>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</si>
  <si>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</si>
  <si>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</si>
  <si>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</si>
  <si>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</si>
  <si>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</si>
  <si>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</si>
  <si>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</si>
  <si>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</si>
  <si>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</si>
  <si>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</si>
  <si>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</si>
  <si>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</si>
  <si>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</si>
  <si>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</si>
  <si>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</si>
  <si>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</si>
  <si>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</si>
  <si>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</si>
  <si>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</si>
  <si>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</si>
  <si>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</si>
  <si>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</si>
  <si>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</si>
  <si>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</si>
  <si>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</si>
  <si>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</si>
  <si>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</si>
  <si>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</si>
  <si>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</si>
  <si>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</si>
  <si>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</si>
  <si>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</si>
  <si>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</si>
  <si>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</si>
  <si>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</si>
  <si>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</si>
  <si>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</si>
  <si>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</si>
  <si>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</si>
  <si>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</si>
  <si>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</si>
  <si>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</si>
  <si>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</si>
  <si>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</si>
  <si>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</si>
  <si>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</si>
  <si>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</si>
  <si>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</si>
  <si>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</si>
  <si>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</si>
  <si>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</si>
  <si>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</si>
  <si>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</si>
  <si>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</si>
  <si>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</si>
  <si>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</si>
  <si>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</si>
  <si>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</si>
  <si>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</si>
  <si>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</si>
  <si>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</si>
  <si>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</si>
  <si>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</si>
  <si>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</si>
  <si>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</si>
  <si>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</si>
  <si>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</si>
  <si>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</si>
  <si>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</si>
  <si>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</si>
  <si>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</si>
  <si>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</si>
  <si>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</si>
  <si>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</si>
  <si>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</si>
  <si>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</si>
  <si>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</si>
  <si>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</si>
  <si>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</si>
  <si>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</si>
  <si>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</si>
  <si>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</si>
  <si>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</si>
  <si>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</si>
  <si>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</si>
  <si>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</si>
  <si>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</si>
  <si>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</si>
  <si>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</si>
  <si>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</si>
  <si>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</si>
  <si>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</si>
  <si>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</si>
  <si>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</si>
  <si>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</si>
  <si>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</si>
  <si>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</si>
  <si>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</si>
  <si>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</si>
  <si>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</si>
  <si>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</si>
  <si>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</si>
  <si>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</si>
  <si>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</si>
  <si>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</si>
  <si>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</si>
  <si>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</si>
  <si>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</si>
  <si>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</si>
  <si>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</si>
  <si>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</si>
  <si>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</si>
  <si>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</si>
  <si>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</si>
  <si>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</si>
  <si>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</si>
  <si>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</si>
  <si>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</si>
  <si>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</si>
  <si>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</si>
  <si>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</si>
  <si>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</si>
  <si>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</si>
  <si>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</si>
  <si>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</si>
  <si>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</si>
  <si>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</si>
  <si>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</si>
  <si>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</si>
  <si>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</si>
  <si>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</si>
  <si>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</si>
  <si>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</si>
  <si>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</si>
  <si>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</si>
  <si>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</si>
  <si>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</si>
  <si>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</si>
  <si>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</si>
  <si>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</si>
  <si>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</si>
  <si>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</si>
  <si>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</si>
  <si>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</si>
  <si>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</si>
  <si>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</si>
  <si>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</si>
  <si>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</si>
  <si>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</si>
  <si>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</si>
  <si>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</si>
  <si>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</si>
  <si>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</si>
  <si>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</si>
  <si>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</si>
  <si>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</si>
  <si>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</si>
  <si>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</si>
  <si>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</si>
  <si>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</si>
  <si>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</si>
  <si>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</si>
  <si>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</si>
  <si>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</si>
  <si>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</si>
  <si>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</si>
  <si>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</si>
  <si>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</si>
  <si>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</si>
  <si>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</si>
  <si>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</si>
  <si>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</si>
  <si>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</si>
  <si>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</si>
  <si>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</si>
  <si>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</si>
  <si>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</si>
  <si>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</si>
  <si>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</si>
  <si>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</si>
  <si>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</si>
  <si>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</si>
  <si>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</si>
  <si>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</si>
  <si>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</si>
  <si>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</si>
  <si>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</si>
  <si>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</si>
  <si>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</si>
  <si>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</si>
  <si>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</si>
  <si>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</si>
  <si>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</si>
  <si>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</si>
  <si>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</si>
  <si>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</si>
  <si>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</si>
  <si>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</si>
  <si>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</si>
  <si>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</si>
  <si>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</si>
  <si>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</si>
  <si>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</si>
  <si>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</si>
  <si>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</si>
  <si>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</si>
  <si>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</si>
  <si>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</si>
  <si>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</si>
  <si>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</si>
  <si>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</si>
  <si>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</si>
  <si>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</si>
  <si>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</si>
  <si>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</si>
  <si>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</si>
  <si>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</si>
  <si>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</si>
  <si>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</si>
  <si>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</si>
  <si>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</si>
  <si>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</si>
  <si>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</si>
  <si>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</si>
  <si>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</si>
  <si>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</si>
  <si>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</si>
  <si>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</si>
  <si>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</si>
  <si>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</si>
  <si>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</si>
  <si>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</si>
  <si>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</si>
  <si>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</si>
  <si>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</si>
  <si>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</si>
  <si>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</si>
  <si>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</si>
  <si>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</si>
  <si>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</si>
  <si>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</si>
  <si>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</si>
  <si>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</si>
  <si>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</si>
  <si>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</si>
  <si>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</si>
  <si>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</si>
  <si>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</si>
  <si>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</si>
  <si>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</si>
  <si>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</si>
  <si>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</si>
  <si>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</si>
  <si>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</si>
  <si>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</si>
  <si>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</si>
  <si>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</si>
  <si>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</si>
  <si>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</si>
  <si>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</si>
  <si>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</si>
  <si>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</si>
  <si>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</si>
  <si>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</si>
  <si>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</si>
  <si>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</si>
  <si>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</si>
  <si>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</si>
  <si>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</si>
  <si>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</si>
  <si>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</si>
  <si>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</si>
  <si>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</si>
  <si>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</si>
  <si>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</si>
  <si>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</si>
  <si>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</si>
  <si>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</si>
  <si>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</si>
  <si>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</si>
  <si>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</si>
  <si>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</si>
  <si>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</si>
  <si>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</si>
  <si>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</si>
  <si>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</si>
  <si>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</si>
  <si>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</si>
  <si>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</si>
  <si>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</si>
  <si>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</si>
  <si>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</si>
  <si>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</si>
  <si>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</si>
  <si>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</si>
  <si>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</si>
  <si>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</si>
  <si>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</si>
  <si>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</si>
  <si>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</si>
  <si>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</si>
  <si>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</si>
  <si>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</si>
  <si>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</si>
  <si>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</si>
  <si>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</si>
  <si>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</si>
  <si>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</si>
  <si>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</si>
  <si>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</si>
  <si>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</si>
  <si>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</si>
  <si>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</si>
  <si>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</si>
  <si>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</si>
  <si>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</si>
  <si>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</si>
  <si>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</si>
  <si>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</si>
  <si>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</si>
  <si>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</si>
  <si>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</si>
  <si>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</si>
  <si>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</si>
  <si>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</si>
  <si>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</si>
  <si>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</si>
  <si>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</si>
  <si>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</si>
  <si>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</si>
  <si>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</si>
  <si>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</si>
  <si>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</si>
  <si>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</si>
  <si>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</si>
  <si>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</si>
  <si>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</si>
  <si>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</si>
  <si>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</si>
  <si>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</si>
  <si>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</si>
  <si>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</si>
  <si>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</si>
  <si>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</si>
  <si>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</si>
  <si>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</si>
  <si>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</si>
  <si>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</si>
  <si>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</si>
  <si>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</si>
  <si>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</si>
  <si>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</si>
  <si>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</si>
  <si>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</si>
  <si>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</si>
  <si>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</si>
  <si>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</si>
  <si>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</si>
  <si>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</si>
  <si>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</si>
  <si>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</si>
  <si>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</si>
  <si>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</si>
  <si>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</si>
  <si>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</si>
  <si>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</si>
  <si>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</si>
  <si>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</si>
  <si>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</si>
  <si>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</si>
  <si>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</si>
  <si>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</si>
  <si>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</si>
  <si>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</si>
  <si>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</si>
  <si>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</si>
  <si>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</si>
  <si>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</si>
  <si>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</si>
  <si>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</si>
  <si>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</si>
  <si>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</si>
  <si>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</si>
  <si>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</si>
  <si>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</si>
  <si>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</si>
  <si>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</si>
  <si>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</si>
  <si>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</si>
  <si>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</si>
  <si>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</si>
  <si>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</si>
  <si>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</si>
  <si>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</si>
  <si>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</si>
  <si>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</si>
  <si>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</si>
  <si>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</si>
  <si>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</si>
  <si>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</si>
  <si>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</si>
  <si>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</si>
  <si>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</si>
  <si>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</si>
  <si>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</si>
  <si>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</si>
  <si>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</si>
  <si>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</si>
  <si>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</si>
  <si>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</si>
  <si>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</si>
  <si>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</si>
  <si>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</si>
  <si>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</si>
  <si>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</si>
  <si>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</si>
  <si>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</si>
  <si>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</si>
  <si>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</si>
  <si>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</si>
  <si>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</si>
  <si>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</si>
  <si>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</si>
  <si>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</si>
  <si>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</si>
  <si>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</si>
  <si>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</si>
  <si>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</si>
  <si>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</si>
  <si>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</si>
  <si>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</si>
  <si>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</si>
  <si>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</si>
  <si>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</si>
  <si>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</si>
  <si>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</si>
  <si>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</si>
  <si>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</si>
  <si>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</si>
  <si>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</si>
  <si>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</si>
  <si>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</si>
  <si>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</si>
  <si>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</si>
  <si>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</si>
  <si>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</si>
  <si>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</si>
  <si>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</si>
  <si>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</si>
  <si>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</si>
  <si>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</si>
  <si>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</si>
  <si>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</si>
  <si>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</si>
  <si>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</si>
  <si>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</si>
  <si>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</si>
  <si>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</si>
  <si>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</si>
  <si>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</si>
  <si>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</si>
  <si>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</si>
  <si>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</si>
  <si>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</si>
  <si>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</si>
  <si>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</si>
  <si>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</si>
  <si>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</si>
  <si>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</si>
  <si>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</si>
  <si>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</si>
  <si>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</si>
  <si>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</si>
  <si>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</si>
  <si>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</si>
  <si>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</si>
  <si>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</si>
  <si>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</si>
  <si>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</si>
  <si>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</si>
  <si>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</si>
  <si>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</si>
  <si>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</si>
  <si>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</si>
  <si>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</si>
  <si>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</si>
  <si>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</si>
  <si>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</si>
  <si>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</si>
  <si>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</si>
  <si>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</si>
  <si>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</si>
  <si>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</si>
  <si>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</si>
  <si>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</si>
  <si>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</si>
  <si>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</si>
  <si>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</si>
  <si>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</si>
  <si>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</si>
  <si>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</si>
  <si>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</si>
  <si>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</si>
  <si>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</si>
  <si>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</si>
  <si>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</si>
  <si>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</si>
  <si>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</si>
  <si>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</si>
  <si>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</si>
  <si>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</si>
  <si>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</si>
  <si>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</si>
  <si>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</si>
  <si>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</si>
  <si>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</si>
  <si>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</si>
  <si>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</si>
  <si>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</si>
  <si>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</si>
  <si>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</si>
  <si>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</si>
  <si>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</si>
  <si>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</si>
  <si>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</si>
  <si>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</si>
  <si>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</si>
  <si>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</si>
  <si>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</si>
  <si>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</si>
  <si>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</si>
  <si>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</si>
  <si>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</si>
  <si>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</si>
  <si>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</si>
  <si>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</si>
  <si>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</si>
  <si>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</si>
  <si>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</si>
  <si>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</si>
  <si>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</si>
  <si>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</si>
  <si>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</si>
  <si>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</si>
  <si>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</si>
  <si>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</si>
  <si>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</si>
  <si>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</si>
  <si>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</si>
  <si>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</si>
  <si>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</si>
  <si>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</si>
  <si>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</si>
  <si>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</si>
  <si>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</si>
  <si>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</si>
  <si>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</si>
  <si>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</si>
  <si>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</si>
  <si>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</si>
  <si>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</si>
  <si>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</si>
  <si>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</si>
  <si>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</si>
  <si>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</si>
  <si>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</si>
  <si>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</si>
  <si>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</si>
  <si>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</si>
  <si>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</si>
  <si>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</si>
  <si>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</si>
  <si>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</si>
  <si>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</si>
  <si>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</si>
  <si>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</si>
  <si>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</si>
  <si>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</si>
  <si>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</si>
  <si>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</si>
  <si>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</si>
  <si>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</si>
  <si>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</si>
  <si>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</si>
  <si>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</si>
  <si>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</si>
  <si>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</si>
  <si>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</si>
  <si>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</si>
  <si>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</si>
  <si>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</si>
  <si>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</si>
  <si>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</si>
  <si>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</si>
  <si>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</si>
  <si>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</si>
  <si>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</si>
  <si>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</si>
  <si>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</si>
  <si>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</si>
  <si>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</si>
  <si>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</si>
  <si>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</si>
  <si>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</si>
  <si>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</si>
  <si>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</si>
  <si>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</si>
  <si>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</si>
  <si>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</si>
  <si>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</si>
  <si>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</si>
  <si>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</si>
  <si>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</si>
  <si>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</si>
  <si>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</si>
  <si>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</si>
  <si>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</si>
  <si>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</si>
  <si>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</si>
  <si>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</si>
  <si>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</si>
  <si>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</si>
  <si>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</si>
  <si>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</si>
  <si>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</si>
  <si>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</si>
  <si>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</si>
  <si>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</si>
  <si>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</si>
  <si>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</si>
  <si>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</si>
  <si>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</si>
  <si>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</si>
  <si>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</si>
  <si>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</si>
  <si>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</si>
  <si>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</si>
  <si>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</si>
  <si>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</si>
  <si>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</si>
  <si>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</si>
  <si>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</si>
  <si>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</si>
  <si>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</si>
  <si>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</si>
  <si>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</si>
  <si>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</si>
  <si>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</si>
  <si>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</si>
  <si>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</si>
  <si>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</si>
  <si>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</si>
  <si>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</si>
  <si>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</si>
  <si>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</si>
  <si>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</si>
  <si>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</si>
  <si>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</si>
  <si>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</si>
  <si>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</si>
  <si>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</si>
  <si>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</si>
  <si>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</si>
  <si>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</si>
  <si>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</si>
  <si>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</si>
  <si>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</si>
  <si>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</si>
  <si>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</si>
  <si>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</si>
  <si>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</si>
  <si>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</si>
  <si>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</si>
  <si>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</si>
  <si>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</si>
  <si>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</si>
  <si>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</si>
  <si>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</si>
  <si>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</si>
  <si>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</si>
  <si>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</si>
  <si>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</si>
  <si>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</si>
  <si>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</si>
  <si>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</si>
  <si>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</si>
  <si>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</si>
  <si>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</si>
  <si>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</si>
  <si>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</si>
  <si>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</si>
  <si>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</si>
  <si>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</si>
  <si>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</si>
  <si>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</si>
  <si>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</si>
  <si>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</si>
  <si>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</si>
  <si>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</si>
  <si>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</si>
  <si>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</si>
  <si>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</si>
  <si>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</si>
  <si>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</si>
  <si>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</si>
  <si>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</si>
  <si>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</si>
  <si>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</si>
  <si>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</si>
  <si>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</si>
  <si>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</si>
  <si>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</si>
  <si>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</si>
  <si>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</si>
  <si>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</si>
  <si>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</si>
  <si>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</si>
  <si>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</si>
  <si>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</si>
  <si>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</si>
  <si>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</si>
  <si>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</si>
  <si>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</si>
  <si>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</si>
  <si>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</si>
  <si>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</si>
  <si>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</si>
  <si>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</si>
  <si>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</si>
  <si>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</si>
  <si>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</si>
  <si>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</si>
  <si>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</si>
  <si>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</si>
  <si>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</si>
  <si>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</si>
  <si>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</si>
  <si>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</si>
  <si>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</si>
  <si>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</si>
  <si>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</si>
  <si>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</si>
  <si>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</si>
  <si>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</si>
  <si>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</si>
  <si>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</si>
  <si>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</si>
  <si>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</si>
  <si>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</si>
  <si>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</si>
  <si>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</si>
  <si>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</si>
  <si>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</si>
  <si>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</si>
  <si>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</si>
  <si>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</si>
  <si>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</si>
  <si>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</si>
  <si>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</si>
  <si>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</si>
  <si>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</si>
  <si>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</si>
  <si>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</si>
  <si>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</si>
  <si>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</si>
  <si>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</si>
  <si>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</si>
  <si>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</si>
  <si>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</si>
  <si>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</si>
  <si>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</si>
  <si>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</si>
  <si>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</si>
  <si>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</si>
  <si>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</si>
  <si>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</si>
  <si>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 xml:space="preserve"> PARTLY SUNNY…HOT AND HUMID.   CHANCE  OF AFTERNOON T-STORMS</t>
  </si>
  <si>
    <t xml:space="preserve"> TONIGHT…T-STORMS  LIKELY ;   POSSIBLY  STRONG STORMS  POSSIBLE.</t>
  </si>
  <si>
    <t>Will Lincoln run? 815-478-3799</t>
  </si>
  <si>
    <t>YES</t>
  </si>
  <si>
    <t>NO</t>
  </si>
  <si>
    <t>Time on</t>
  </si>
  <si>
    <t>Will Elwood run? 815-423-9973</t>
  </si>
  <si>
    <t xml:space="preserve">   TONIGHT  CLEAR  AND  COOL  WITH  LIGHT  WINDS.</t>
  </si>
  <si>
    <t xml:space="preserve">  PARTLY  SUNNY  AND  PLEASANT</t>
  </si>
  <si>
    <t xml:space="preserve">  SUNNY</t>
  </si>
  <si>
    <t xml:space="preserve">  PARTLY CLOUDY</t>
  </si>
  <si>
    <t xml:space="preserve">  MOSTLY  SUNNY…COOLER AND  LESS HUMID.  WIND  NE  10 TO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</si>
</sst>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0" fontId="28" fillId="5" borderId="84" xfId="0" applyFont="1" applyFill="1" applyBorder="1" applyAlignment="1">
      <alignment horizontal="left"/>
    </xf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167" fontId="29" fillId="0" borderId="8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56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56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56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56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56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57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6" t="s">
        <v>9</v>
      </c>
      <c r="B1" s="777"/>
    </row>
    <row r="2" spans="1:88">
      <c r="A2" s="1006" t="s">
        <v>9</v>
      </c>
      <c r="B2" t="s">
        <v>9</v>
      </c>
    </row>
    <row r="3" spans="1:88" ht="15.6" thickBot="1">
      <c r="A3" s="107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5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THU</v>
      </c>
      <c r="I1" s="844">
        <f>D4</f>
        <v>37112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37112</v>
      </c>
      <c r="E4" s="812">
        <f>Weather_Input!A6</f>
        <v>37113</v>
      </c>
      <c r="F4" s="812">
        <f>Weather_Input!A7</f>
        <v>37114</v>
      </c>
      <c r="G4" s="812">
        <f>Weather_Input!A8</f>
        <v>37115</v>
      </c>
      <c r="H4" s="812">
        <f>Weather_Input!A9</f>
        <v>37116</v>
      </c>
      <c r="I4" s="813">
        <f>Weather_Input!A10</f>
        <v>37117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94/67/81</v>
      </c>
      <c r="E5" s="845" t="str">
        <f>TEXT(Weather_Input!B6,"0")&amp;"/"&amp;TEXT(Weather_Input!C6,"0") &amp; "/" &amp; TEXT((Weather_Input!B6+Weather_Input!C6)/2,"0")</f>
        <v>78/58/68</v>
      </c>
      <c r="F5" s="845" t="str">
        <f>TEXT(Weather_Input!B7,"0")&amp;"/"&amp;TEXT(Weather_Input!C7,"0") &amp; "/" &amp; TEXT((Weather_Input!B7+Weather_Input!C7)/2,"0")</f>
        <v>79/61/70</v>
      </c>
      <c r="G5" s="845" t="str">
        <f>TEXT(Weather_Input!B8,"0")&amp;"/"&amp;TEXT(Weather_Input!C8,"0") &amp; "/" &amp; TEXT((Weather_Input!B8+Weather_Input!C8)/2,"0")</f>
        <v>81/65/73</v>
      </c>
      <c r="H5" s="845" t="str">
        <f>TEXT(Weather_Input!B9,"0")&amp;"/"&amp;TEXT(Weather_Input!C9,"0") &amp; "/" &amp; TEXT((Weather_Input!B9+Weather_Input!C9)/2,"0")</f>
        <v>78/60/69</v>
      </c>
      <c r="I5" s="846" t="str">
        <f>TEXT(Weather_Input!B10,"0")&amp;"/"&amp;TEXT(Weather_Input!C10,"0") &amp; "/" &amp; TEXT((Weather_Input!B10+Weather_Input!C10)/2,"0")</f>
        <v>80/65/73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31.4</v>
      </c>
      <c r="E6" s="815">
        <f ca="1">VLOOKUP(E4,NSG_Sendouts,CELL("Col",NSG_Deliveries!C6),FALSE)/1000</f>
        <v>31</v>
      </c>
      <c r="F6" s="815">
        <f ca="1">VLOOKUP(F4,NSG_Sendouts,CELL("Col",NSG_Deliveries!C7),FALSE)/1000</f>
        <v>28</v>
      </c>
      <c r="G6" s="815">
        <f ca="1">VLOOKUP(G4,NSG_Sendouts,CELL("Col",NSG_Deliveries!C8),FALSE)/1000</f>
        <v>30</v>
      </c>
      <c r="H6" s="815">
        <f ca="1">VLOOKUP(H4,NSG_Sendouts,CELL("Col",NSG_Deliveries!C9),FALSE)/1000</f>
        <v>31</v>
      </c>
      <c r="I6" s="820">
        <f ca="1">VLOOKUP(I4,NSG_Sendouts,CELL("Col",NSG_Deliveries!C10),FALSE)/1000</f>
        <v>31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38.4</v>
      </c>
      <c r="E11" s="824">
        <f t="shared" ca="1" si="1"/>
        <v>38</v>
      </c>
      <c r="F11" s="824">
        <f t="shared" ca="1" si="1"/>
        <v>35</v>
      </c>
      <c r="G11" s="824">
        <f t="shared" ca="1" si="1"/>
        <v>37</v>
      </c>
      <c r="H11" s="824">
        <f t="shared" ca="1" si="1"/>
        <v>38</v>
      </c>
      <c r="I11" s="825">
        <f t="shared" ca="1" si="1"/>
        <v>38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742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743</v>
      </c>
      <c r="D17" s="815">
        <f>NSG_Supplies!F7/1000</f>
        <v>6.8620000000000001</v>
      </c>
      <c r="E17" s="815">
        <f>NSG_Supplies!F8/1000</f>
        <v>6.37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6" t="s">
        <v>679</v>
      </c>
      <c r="D19" s="815">
        <f>NSG_Supplies!Q7/1000</f>
        <v>24.893999999999998</v>
      </c>
      <c r="E19" s="815">
        <f>NSG_Supplies!Q8/1000</f>
        <v>24.631</v>
      </c>
      <c r="F19" s="815">
        <f>NSG_Supplies!Q9/1000</f>
        <v>24.631</v>
      </c>
      <c r="G19" s="815">
        <f>NSG_Supplies!Q10/1000</f>
        <v>24.631</v>
      </c>
      <c r="H19" s="815">
        <f>NSG_Supplies!Q11/1000</f>
        <v>24.631</v>
      </c>
      <c r="I19" s="816">
        <f>NSG_Supplies!Q12/1000</f>
        <v>24.631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" customHeight="1" thickBot="1">
      <c r="A21" s="1200" t="s">
        <v>148</v>
      </c>
      <c r="B21" s="1201"/>
      <c r="C21" s="1201"/>
      <c r="D21" s="1202">
        <f t="shared" ref="D21:I21" si="2">SUM(D14:D20)</f>
        <v>38.756</v>
      </c>
      <c r="E21" s="1202">
        <f t="shared" si="2"/>
        <v>38.001000000000005</v>
      </c>
      <c r="F21" s="1202">
        <f t="shared" si="2"/>
        <v>31.631</v>
      </c>
      <c r="G21" s="1202">
        <f t="shared" si="2"/>
        <v>31.631</v>
      </c>
      <c r="H21" s="1202">
        <f t="shared" si="2"/>
        <v>31.631</v>
      </c>
      <c r="I21" s="1203">
        <f t="shared" si="2"/>
        <v>31.631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0.35600000000000165</v>
      </c>
      <c r="E22" s="856">
        <f t="shared" ca="1" si="3"/>
        <v>1.0000000000047748E-3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3.3689999999999998</v>
      </c>
      <c r="G23" s="840">
        <f t="shared" ca="1" si="4"/>
        <v>5.3689999999999998</v>
      </c>
      <c r="H23" s="840">
        <f t="shared" ca="1" si="4"/>
        <v>6.3689999999999998</v>
      </c>
      <c r="I23" s="841">
        <f t="shared" ca="1" si="4"/>
        <v>6.3689999999999998</v>
      </c>
      <c r="J23" s="110"/>
      <c r="K23" s="111"/>
      <c r="L23" s="111"/>
      <c r="M23" s="111"/>
    </row>
    <row r="24" spans="1:13" ht="24.9" customHeight="1" thickTop="1" thickBot="1">
      <c r="A24" s="1057" t="s">
        <v>680</v>
      </c>
      <c r="B24" s="1058"/>
      <c r="C24" s="1058"/>
      <c r="D24" s="1059">
        <f>NSG_Supplies!R7/1000</f>
        <v>14.904</v>
      </c>
      <c r="E24" s="1059">
        <f>NSG_Supplies!R8/1000</f>
        <v>14.904</v>
      </c>
      <c r="F24" s="1059">
        <f>NSG_Supplies!R9/1000</f>
        <v>14.904</v>
      </c>
      <c r="G24" s="1059">
        <f>NSG_Supplies!R10/1000</f>
        <v>14.904</v>
      </c>
      <c r="H24" s="1059">
        <f>NSG_Supplies!R11/1000</f>
        <v>14.904</v>
      </c>
      <c r="I24" s="1060">
        <f>NSG_Supplies!R12/1000</f>
        <v>14.904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9.4</v>
      </c>
      <c r="E26" s="863">
        <f>Weather_Input!D6</f>
        <v>9.5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00" t="s">
        <v>9</v>
      </c>
      <c r="B1" s="1097" t="s">
        <v>9</v>
      </c>
      <c r="C1" s="1098" t="s">
        <v>656</v>
      </c>
      <c r="D1" s="1099"/>
      <c r="E1" s="1100" t="s">
        <v>9</v>
      </c>
      <c r="F1" s="1101" t="s">
        <v>695</v>
      </c>
      <c r="G1" s="1102" t="s">
        <v>9</v>
      </c>
      <c r="H1" s="1103"/>
      <c r="I1" s="1145" t="s">
        <v>9</v>
      </c>
      <c r="J1" s="571"/>
      <c r="K1" s="571"/>
      <c r="L1" s="572" t="s">
        <v>158</v>
      </c>
      <c r="M1" s="1176">
        <f>Weather_Input!A5</f>
        <v>37112</v>
      </c>
      <c r="N1" s="1177" t="str">
        <f>CHOOSE(WEEKDAY(M1),"SUN","MON","TUE","WED","THU","FRI","SAT")</f>
        <v>THU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8"/>
      <c r="G2" s="546" t="s">
        <v>9</v>
      </c>
      <c r="H2" s="1092" t="s">
        <v>9</v>
      </c>
      <c r="I2" s="250" t="s">
        <v>497</v>
      </c>
      <c r="J2" s="1118" t="s">
        <v>377</v>
      </c>
      <c r="K2" s="1122" t="s">
        <v>161</v>
      </c>
      <c r="L2" s="1123" t="s">
        <v>21</v>
      </c>
      <c r="M2" s="1122" t="s">
        <v>161</v>
      </c>
      <c r="N2" s="1118" t="s">
        <v>21</v>
      </c>
      <c r="O2" s="1124" t="s">
        <v>161</v>
      </c>
      <c r="Q2" s="1276" t="s">
        <v>9</v>
      </c>
    </row>
    <row r="3" spans="1:17" ht="15.6">
      <c r="A3" s="416" t="s">
        <v>690</v>
      </c>
      <c r="B3" s="1137">
        <f>PGL_Requirements!I7/1000</f>
        <v>0</v>
      </c>
      <c r="C3" s="931" t="s">
        <v>9</v>
      </c>
      <c r="D3" s="304"/>
      <c r="E3" s="551" t="s">
        <v>443</v>
      </c>
      <c r="F3" s="315">
        <f>PGL_Supplies!H7/1000</f>
        <v>20</v>
      </c>
      <c r="G3" s="379" t="s">
        <v>9</v>
      </c>
      <c r="H3" s="1092" t="s">
        <v>9</v>
      </c>
      <c r="I3" s="1146" t="s">
        <v>9</v>
      </c>
      <c r="J3" s="917">
        <f>Weather_Input!B5</f>
        <v>94</v>
      </c>
      <c r="K3" s="918">
        <f>Weather_Input!C5</f>
        <v>67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8">
        <v>0</v>
      </c>
      <c r="C4" s="119"/>
      <c r="D4" s="943"/>
      <c r="E4" s="520" t="s">
        <v>444</v>
      </c>
      <c r="F4" s="1171">
        <v>0</v>
      </c>
      <c r="G4" s="509" t="s">
        <v>9</v>
      </c>
      <c r="H4" s="1196"/>
      <c r="I4" t="s">
        <v>726</v>
      </c>
      <c r="J4" s="1010" t="s">
        <v>9</v>
      </c>
      <c r="K4" s="1215" t="s">
        <v>9</v>
      </c>
      <c r="L4" s="425"/>
      <c r="M4" s="1012"/>
      <c r="N4" s="425"/>
      <c r="O4" s="778"/>
    </row>
    <row r="5" spans="1:17" ht="16.2" thickBot="1">
      <c r="A5" s="1021" t="s">
        <v>3</v>
      </c>
      <c r="B5" s="315">
        <f>PGL_Supplies!X7/1000</f>
        <v>85.911000000000001</v>
      </c>
      <c r="C5" s="1013" t="s">
        <v>9</v>
      </c>
      <c r="D5" s="340"/>
      <c r="E5" s="1156" t="s">
        <v>420</v>
      </c>
      <c r="F5" s="937">
        <f>F3+F4</f>
        <v>20</v>
      </c>
      <c r="G5" s="549" t="s">
        <v>9</v>
      </c>
      <c r="H5" s="1185" t="s">
        <v>9</v>
      </c>
      <c r="I5" s="1147" t="s">
        <v>387</v>
      </c>
      <c r="J5" s="1049" t="s">
        <v>9</v>
      </c>
      <c r="K5" s="1216">
        <f>PGL_Deliveries!C5/1000</f>
        <v>205</v>
      </c>
      <c r="L5" s="585"/>
      <c r="M5" s="260"/>
      <c r="N5" s="585"/>
      <c r="O5" s="258"/>
    </row>
    <row r="6" spans="1:17" ht="16.2" thickBot="1">
      <c r="A6" s="542" t="s">
        <v>411</v>
      </c>
      <c r="B6" s="1016">
        <f>+B5-B3+B2-B4</f>
        <v>85.911000000000001</v>
      </c>
      <c r="C6" s="1017" t="s">
        <v>9</v>
      </c>
      <c r="D6" s="514"/>
      <c r="E6" s="618" t="s">
        <v>9</v>
      </c>
      <c r="F6" s="941" t="s">
        <v>35</v>
      </c>
      <c r="G6" s="942"/>
      <c r="H6" s="1093"/>
      <c r="I6" s="119" t="s">
        <v>674</v>
      </c>
      <c r="J6" s="1050"/>
      <c r="K6" s="1217">
        <f>PGL_Requirements!X7/1000</f>
        <v>0</v>
      </c>
      <c r="L6" s="1050"/>
      <c r="M6" s="1051"/>
      <c r="N6" s="119"/>
      <c r="O6" s="116"/>
    </row>
    <row r="7" spans="1:17" ht="16.2" thickBot="1">
      <c r="A7" s="317" t="s">
        <v>9</v>
      </c>
      <c r="B7" s="1014" t="s">
        <v>9</v>
      </c>
      <c r="C7" s="936" t="s">
        <v>65</v>
      </c>
      <c r="D7" s="1015"/>
      <c r="E7" s="416" t="s">
        <v>422</v>
      </c>
      <c r="F7" s="315">
        <f>PGL_Supplies!O7/1000</f>
        <v>0</v>
      </c>
      <c r="G7" s="372" t="s">
        <v>9</v>
      </c>
      <c r="H7" s="1086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0.41799999999999998</v>
      </c>
      <c r="C8" s="577"/>
      <c r="D8" s="304"/>
      <c r="E8" s="416" t="s">
        <v>423</v>
      </c>
      <c r="F8" s="379">
        <f>PGL_Requirements!E7/1000</f>
        <v>0</v>
      </c>
      <c r="G8" s="372" t="s">
        <v>9</v>
      </c>
      <c r="H8" s="1086"/>
      <c r="I8" s="1001" t="s">
        <v>688</v>
      </c>
      <c r="J8" s="284" t="s">
        <v>9</v>
      </c>
      <c r="K8" s="1218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6"/>
      <c r="I9" s="119" t="s">
        <v>656</v>
      </c>
      <c r="J9" s="1010"/>
      <c r="K9" s="1219">
        <f>+B6</f>
        <v>85.911000000000001</v>
      </c>
      <c r="L9" s="1010"/>
      <c r="M9" s="1012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0.41799999999999998</v>
      </c>
      <c r="C10" s="119"/>
      <c r="D10" s="1009"/>
      <c r="E10" s="416" t="s">
        <v>715</v>
      </c>
      <c r="F10" s="945">
        <f>PGL_Supplies!AC7/1000</f>
        <v>42.499000000000002</v>
      </c>
      <c r="G10" s="510"/>
      <c r="H10" s="1087"/>
      <c r="I10" s="1148" t="s">
        <v>708</v>
      </c>
      <c r="J10" s="273" t="s">
        <v>9</v>
      </c>
      <c r="K10" s="1218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6">
        <f>+F10+F9-F8+F7</f>
        <v>42.499000000000002</v>
      </c>
      <c r="G11" s="937" t="s">
        <v>9</v>
      </c>
      <c r="H11" s="515"/>
      <c r="I11" s="1148" t="s">
        <v>57</v>
      </c>
      <c r="J11" s="273" t="s">
        <v>9</v>
      </c>
      <c r="K11" s="1218">
        <f>B19</f>
        <v>-62.769999999999996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6" t="s">
        <v>57</v>
      </c>
      <c r="D12" s="541"/>
      <c r="E12" s="1140" t="s">
        <v>9</v>
      </c>
      <c r="F12" s="1139" t="s">
        <v>727</v>
      </c>
      <c r="G12" s="350"/>
      <c r="H12" s="1091"/>
      <c r="I12" s="1148" t="s">
        <v>709</v>
      </c>
      <c r="J12" s="273" t="s">
        <v>9</v>
      </c>
      <c r="K12" s="1218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89.11</v>
      </c>
      <c r="C13" s="304"/>
      <c r="D13" s="532"/>
      <c r="E13" s="564" t="s">
        <v>452</v>
      </c>
      <c r="F13" s="1078" t="s">
        <v>9</v>
      </c>
      <c r="G13" s="557" t="s">
        <v>9</v>
      </c>
      <c r="H13" s="1094" t="s">
        <v>9</v>
      </c>
      <c r="I13" s="1148" t="s">
        <v>710</v>
      </c>
      <c r="J13" s="277" t="s">
        <v>9</v>
      </c>
      <c r="K13" s="1218">
        <f>B34</f>
        <v>279.90600000000001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5"/>
      <c r="I14" s="1148" t="s">
        <v>390</v>
      </c>
      <c r="J14" s="273" t="s">
        <v>9</v>
      </c>
      <c r="K14" s="1220">
        <f>F5</f>
        <v>20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6"/>
      <c r="E15" s="1142" t="s">
        <v>619</v>
      </c>
      <c r="F15" s="944"/>
      <c r="G15" s="1050"/>
      <c r="H15" s="1109"/>
      <c r="I15" s="1148" t="s">
        <v>711</v>
      </c>
      <c r="J15" s="273" t="s">
        <v>157</v>
      </c>
      <c r="K15" s="1218">
        <f>F11</f>
        <v>42.499000000000002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6"/>
      <c r="E16" s="1143" t="s">
        <v>9</v>
      </c>
      <c r="F16" s="1104" t="s">
        <v>445</v>
      </c>
      <c r="G16" s="1186"/>
      <c r="H16" s="1144"/>
      <c r="I16" s="1148" t="s">
        <v>513</v>
      </c>
      <c r="J16" s="273" t="s">
        <v>157</v>
      </c>
      <c r="K16" s="1220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0.36</v>
      </c>
      <c r="C17" s="304"/>
      <c r="D17" s="1086"/>
      <c r="E17" s="525" t="s">
        <v>446</v>
      </c>
      <c r="F17" s="545">
        <f>+PGL_Supplies!J7/1000</f>
        <v>0</v>
      </c>
      <c r="G17" s="1169" t="s">
        <v>9</v>
      </c>
      <c r="H17" s="1096" t="s">
        <v>9</v>
      </c>
      <c r="I17" s="1141" t="s">
        <v>514</v>
      </c>
      <c r="J17" s="298" t="s">
        <v>9</v>
      </c>
      <c r="K17" s="1221">
        <f>-PGL_Requirements!F7/1000</f>
        <v>-12.856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1.3366499999999999</v>
      </c>
      <c r="C18" s="340"/>
      <c r="D18" s="1087"/>
      <c r="E18" s="618" t="s">
        <v>9</v>
      </c>
      <c r="F18" s="1104" t="s">
        <v>696</v>
      </c>
      <c r="G18" s="942"/>
      <c r="H18" s="1093"/>
      <c r="I18" t="s">
        <v>725</v>
      </c>
      <c r="J18" s="1010"/>
      <c r="K18" s="1222">
        <f>-F19</f>
        <v>-94.364999999999995</v>
      </c>
      <c r="L18" s="1010"/>
      <c r="M18" s="217"/>
      <c r="N18" s="1010"/>
      <c r="O18" s="778"/>
    </row>
    <row r="19" spans="1:15" ht="16.2" thickBot="1">
      <c r="A19" s="501" t="s">
        <v>420</v>
      </c>
      <c r="B19" s="1167">
        <f>-B13+B14+B16-B17-B15+B20+B21</f>
        <v>-62.769999999999996</v>
      </c>
      <c r="C19" s="503"/>
      <c r="D19" s="515"/>
      <c r="E19" s="1105" t="s">
        <v>697</v>
      </c>
      <c r="F19" s="1170">
        <f>PGL_Requirements!J7/1000</f>
        <v>94.364999999999995</v>
      </c>
      <c r="G19" s="999" t="s">
        <v>9</v>
      </c>
      <c r="H19" s="1106" t="s">
        <v>9</v>
      </c>
      <c r="I19" t="s">
        <v>515</v>
      </c>
      <c r="J19" s="1173"/>
      <c r="K19" s="1223">
        <f>-F24</f>
        <v>-99.108999999999995</v>
      </c>
      <c r="L19" s="1173"/>
      <c r="M19" s="157"/>
      <c r="N19" s="1173"/>
      <c r="O19" s="1172"/>
    </row>
    <row r="20" spans="1:15" ht="16.2" thickBot="1">
      <c r="A20" s="323" t="s">
        <v>203</v>
      </c>
      <c r="B20" s="315">
        <v>25.7</v>
      </c>
      <c r="C20" s="506"/>
      <c r="D20" s="1088"/>
      <c r="E20" s="119"/>
      <c r="F20" s="119"/>
      <c r="G20" s="119"/>
      <c r="H20" s="1117"/>
      <c r="I20" s="1149" t="s">
        <v>619</v>
      </c>
      <c r="J20" s="600" t="s">
        <v>9</v>
      </c>
      <c r="K20" s="1224">
        <f>SUM(K8:K19)</f>
        <v>159.21600000000007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2">
        <v>0</v>
      </c>
      <c r="C21" s="533"/>
      <c r="D21" s="1089"/>
      <c r="E21" s="1107" t="s">
        <v>698</v>
      </c>
      <c r="F21" s="1138">
        <v>0</v>
      </c>
      <c r="G21" s="1011"/>
      <c r="H21" s="426"/>
      <c r="I21" s="480" t="s">
        <v>36</v>
      </c>
      <c r="J21" s="488" t="s">
        <v>9</v>
      </c>
      <c r="K21" s="920"/>
      <c r="L21" s="490"/>
      <c r="M21" s="490" t="s">
        <v>707</v>
      </c>
      <c r="N21" s="490"/>
      <c r="O21" s="921"/>
    </row>
    <row r="22" spans="1:15" ht="15.6" thickBot="1">
      <c r="A22" s="1083" t="s">
        <v>689</v>
      </c>
      <c r="B22" s="1070">
        <f>SUM(B4)</f>
        <v>0</v>
      </c>
      <c r="C22" s="1084"/>
      <c r="D22" s="1085"/>
      <c r="E22" s="1107" t="s">
        <v>699</v>
      </c>
      <c r="F22" s="1138">
        <v>0</v>
      </c>
      <c r="G22" s="1011"/>
      <c r="H22" s="426"/>
      <c r="I22" s="1148" t="s">
        <v>560</v>
      </c>
      <c r="J22" s="273" t="s">
        <v>9</v>
      </c>
      <c r="K22" s="1225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7" t="s">
        <v>66</v>
      </c>
      <c r="D23" s="1093"/>
      <c r="E23" s="1108" t="s">
        <v>700</v>
      </c>
      <c r="F23" s="1158">
        <v>0</v>
      </c>
      <c r="G23" s="944"/>
      <c r="H23" s="1109"/>
      <c r="I23" s="1148" t="s">
        <v>393</v>
      </c>
      <c r="J23" s="273" t="s">
        <v>9</v>
      </c>
      <c r="K23" s="1218">
        <f>K5+K6-K20</f>
        <v>45.783999999999935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15">
        <f>PGL_Supplies!C7/1000</f>
        <v>0</v>
      </c>
      <c r="C24" s="343"/>
      <c r="D24" s="1086"/>
      <c r="E24" s="534" t="s">
        <v>701</v>
      </c>
      <c r="F24" s="1170">
        <f>PGL_Requirements!G7/1000*0.5</f>
        <v>99.108999999999995</v>
      </c>
      <c r="G24" s="999"/>
      <c r="H24" s="985"/>
      <c r="I24" s="1150" t="s">
        <v>394</v>
      </c>
      <c r="J24" s="273" t="s">
        <v>9</v>
      </c>
      <c r="K24" s="1218"/>
      <c r="L24" s="288" t="s">
        <v>9</v>
      </c>
      <c r="M24" s="922"/>
      <c r="N24" s="288" t="s">
        <v>9</v>
      </c>
      <c r="O24" s="287"/>
    </row>
    <row r="25" spans="1:15" ht="16.2" thickBot="1">
      <c r="A25" s="416" t="s">
        <v>693</v>
      </c>
      <c r="B25" s="939">
        <f>PGL_Supplies!C7/1000</f>
        <v>0</v>
      </c>
      <c r="C25" s="1166"/>
      <c r="D25" s="1086"/>
      <c r="E25" s="1110" t="s">
        <v>702</v>
      </c>
      <c r="F25" s="1159">
        <v>0</v>
      </c>
      <c r="G25" s="1111"/>
      <c r="H25" s="1112"/>
      <c r="I25" s="1148" t="s">
        <v>395</v>
      </c>
      <c r="J25" s="923" t="s">
        <v>9</v>
      </c>
      <c r="K25" s="1226">
        <f>SUM(B18+B20+B21)</f>
        <v>27.036649999999998</v>
      </c>
      <c r="L25" s="924"/>
      <c r="M25" s="1184"/>
      <c r="N25" s="925" t="s">
        <v>9</v>
      </c>
      <c r="O25" s="251"/>
    </row>
    <row r="26" spans="1:15" ht="16.8" thickTop="1" thickBot="1">
      <c r="A26" s="416" t="s">
        <v>103</v>
      </c>
      <c r="B26" s="939">
        <f>PGL_Supplies!Z7/1000</f>
        <v>0</v>
      </c>
      <c r="C26" s="304"/>
      <c r="D26" s="1086"/>
      <c r="E26" s="119"/>
      <c r="F26" s="1025"/>
      <c r="G26" s="119"/>
      <c r="H26" s="158"/>
      <c r="I26" s="1151" t="s">
        <v>396</v>
      </c>
      <c r="J26" s="926" t="s">
        <v>9</v>
      </c>
      <c r="K26" s="1227">
        <f>SUM(K23:K25)</f>
        <v>72.820649999999929</v>
      </c>
      <c r="L26" s="926" t="s">
        <v>9</v>
      </c>
      <c r="M26" s="597"/>
      <c r="N26" s="927" t="s">
        <v>9</v>
      </c>
      <c r="O26" s="928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6"/>
      <c r="E27" s="1105" t="s">
        <v>703</v>
      </c>
      <c r="F27" s="1157"/>
      <c r="G27" s="999"/>
      <c r="H27" s="1106"/>
      <c r="I27" s="1152" t="s">
        <v>647</v>
      </c>
      <c r="J27" s="929"/>
      <c r="K27" s="1225">
        <f>SUM(-PGL_Supplies!L7/1000)</f>
        <v>0</v>
      </c>
      <c r="L27" s="1002"/>
      <c r="M27" s="1003"/>
      <c r="N27" s="497"/>
      <c r="O27" s="932"/>
    </row>
    <row r="28" spans="1:15" ht="16.2" thickBot="1">
      <c r="A28" s="542" t="s">
        <v>411</v>
      </c>
      <c r="B28" s="937">
        <f>-B24+B25+B26+B27</f>
        <v>0</v>
      </c>
      <c r="C28" s="938"/>
      <c r="D28" s="515"/>
      <c r="E28" s="119"/>
      <c r="F28" s="1025"/>
      <c r="G28" s="119"/>
      <c r="H28" s="158"/>
      <c r="I28" s="1148" t="s">
        <v>404</v>
      </c>
      <c r="J28" s="933"/>
      <c r="K28" s="1221">
        <f>PGL_Requirements!N7/1000</f>
        <v>0</v>
      </c>
      <c r="L28" s="298"/>
      <c r="M28" s="919" t="s">
        <v>9</v>
      </c>
      <c r="N28" s="497"/>
      <c r="O28" s="930" t="s">
        <v>9</v>
      </c>
    </row>
    <row r="29" spans="1:15" ht="16.2" thickBot="1">
      <c r="A29" s="349" t="s">
        <v>9</v>
      </c>
      <c r="B29" s="1182" t="s">
        <v>389</v>
      </c>
      <c r="C29" s="350"/>
      <c r="D29" s="351"/>
      <c r="E29" s="1113" t="s">
        <v>437</v>
      </c>
      <c r="F29" s="1158"/>
      <c r="G29" s="944"/>
      <c r="H29" s="1114"/>
      <c r="I29" s="1148" t="s">
        <v>405</v>
      </c>
      <c r="J29" s="934"/>
      <c r="K29" s="1228">
        <f>-PGL_Supplies!K7/1000</f>
        <v>-72.838999999999999</v>
      </c>
      <c r="L29" s="298"/>
      <c r="M29" s="931" t="s">
        <v>9</v>
      </c>
      <c r="N29" s="497"/>
      <c r="O29" s="935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6" t="s">
        <v>704</v>
      </c>
      <c r="F30" s="1138"/>
      <c r="G30" s="1011"/>
      <c r="H30" s="1090"/>
      <c r="I30" s="1153" t="s">
        <v>182</v>
      </c>
      <c r="J30" s="1119"/>
      <c r="K30" s="1217">
        <f>-PGL_Supplies!AB7/1000</f>
        <v>-48.344000000000001</v>
      </c>
      <c r="L30" s="1120"/>
      <c r="M30" s="1024">
        <f>-PGL_Supplies!AB7/1000</f>
        <v>-48.344000000000001</v>
      </c>
      <c r="N30" s="1121"/>
      <c r="O30" s="1181">
        <f>-PGL_Supplies!AB7/1000</f>
        <v>-48.344000000000001</v>
      </c>
    </row>
    <row r="31" spans="1:15" ht="16.2" thickBot="1">
      <c r="A31" s="361" t="s">
        <v>449</v>
      </c>
      <c r="B31" s="939">
        <f>PGL_Supplies!D7/1000</f>
        <v>0</v>
      </c>
      <c r="C31" s="939" t="s">
        <v>9</v>
      </c>
      <c r="D31" s="940" t="s">
        <v>9</v>
      </c>
      <c r="E31" s="157" t="s">
        <v>705</v>
      </c>
      <c r="F31" s="1160"/>
      <c r="G31" s="1009"/>
      <c r="H31" s="1115"/>
      <c r="I31" s="320" t="s">
        <v>187</v>
      </c>
      <c r="J31" s="319"/>
      <c r="K31" s="1127"/>
      <c r="L31" s="1128"/>
      <c r="M31" s="322"/>
      <c r="N31" s="322"/>
      <c r="O31" s="322"/>
    </row>
    <row r="32" spans="1:15" ht="16.2" thickBot="1">
      <c r="A32" s="416" t="s">
        <v>103</v>
      </c>
      <c r="B32" s="939">
        <f>PGL_Supplies!AA7/1000+NSG_Supplies!M7/1000</f>
        <v>255.357</v>
      </c>
      <c r="C32" s="939" t="s">
        <v>9</v>
      </c>
      <c r="D32" s="940" t="s">
        <v>9</v>
      </c>
      <c r="E32" s="534" t="s">
        <v>706</v>
      </c>
      <c r="F32" s="1161"/>
      <c r="G32" s="421"/>
      <c r="H32" s="985"/>
      <c r="I32" s="1152" t="s">
        <v>428</v>
      </c>
      <c r="J32" s="506"/>
      <c r="K32" s="1188"/>
      <c r="L32" s="1168" t="s">
        <v>712</v>
      </c>
      <c r="M32" s="119"/>
      <c r="N32" s="1195"/>
      <c r="O32" s="1193"/>
    </row>
    <row r="33" spans="1:15" ht="15.6" thickBot="1">
      <c r="A33" s="1077" t="s">
        <v>557</v>
      </c>
      <c r="B33" s="939">
        <f>PGL_Supplies!R7/1000</f>
        <v>49.097999999999999</v>
      </c>
      <c r="C33" s="939" t="s">
        <v>9</v>
      </c>
      <c r="D33" s="943"/>
      <c r="E33" s="119"/>
      <c r="F33" s="119"/>
      <c r="G33" s="119"/>
      <c r="H33" s="158"/>
      <c r="I33" s="1154" t="s">
        <v>429</v>
      </c>
      <c r="J33" s="1192"/>
      <c r="K33" s="1189"/>
      <c r="L33" s="1129" t="s">
        <v>437</v>
      </c>
      <c r="M33" s="1012"/>
      <c r="N33" s="1010"/>
      <c r="O33" s="778"/>
    </row>
    <row r="34" spans="1:15" ht="16.2" thickBot="1">
      <c r="A34" s="1132" t="s">
        <v>615</v>
      </c>
      <c r="B34" s="1157">
        <f>-B30+B31+B32+B33*0.5</f>
        <v>279.90600000000001</v>
      </c>
      <c r="C34" s="999"/>
      <c r="D34" s="987" t="s">
        <v>9</v>
      </c>
      <c r="E34" s="1207" t="s">
        <v>714</v>
      </c>
      <c r="F34" s="119"/>
      <c r="G34" s="119"/>
      <c r="H34" s="158"/>
      <c r="I34" s="1155" t="s">
        <v>430</v>
      </c>
      <c r="J34" s="532"/>
      <c r="K34" s="1190"/>
      <c r="L34" s="1129" t="s">
        <v>438</v>
      </c>
      <c r="M34" s="1012"/>
      <c r="N34" s="1010"/>
      <c r="O34" s="778"/>
    </row>
    <row r="35" spans="1:15">
      <c r="A35" s="1072" t="s">
        <v>722</v>
      </c>
      <c r="B35" s="990"/>
      <c r="C35" s="990"/>
      <c r="D35" s="988" t="s">
        <v>9</v>
      </c>
      <c r="E35" s="1207" t="s">
        <v>761</v>
      </c>
      <c r="F35" s="119"/>
      <c r="G35" s="1275" t="str">
        <f>G3</f>
        <v xml:space="preserve"> </v>
      </c>
      <c r="H35" s="158"/>
      <c r="I35" s="1155" t="s">
        <v>431</v>
      </c>
      <c r="J35" s="532"/>
      <c r="K35" s="1189"/>
      <c r="L35" s="1130" t="s">
        <v>439</v>
      </c>
      <c r="M35" s="1012"/>
      <c r="N35" s="1010"/>
      <c r="O35" s="778"/>
    </row>
    <row r="36" spans="1:15">
      <c r="A36" s="1073" t="s">
        <v>723</v>
      </c>
      <c r="B36" s="315">
        <f>B34-B35-B37</f>
        <v>180.79700000000003</v>
      </c>
      <c r="C36" s="991" t="s">
        <v>9</v>
      </c>
      <c r="D36" s="989" t="s">
        <v>9</v>
      </c>
      <c r="E36" s="1207" t="s">
        <v>713</v>
      </c>
      <c r="F36" s="119"/>
      <c r="G36" s="119"/>
      <c r="H36" s="158"/>
      <c r="I36" s="1155" t="s">
        <v>432</v>
      </c>
      <c r="J36" s="532"/>
      <c r="K36" s="1189"/>
      <c r="L36" s="1130" t="s">
        <v>371</v>
      </c>
      <c r="M36" s="1012"/>
      <c r="N36" s="1010"/>
      <c r="O36" s="778"/>
    </row>
    <row r="37" spans="1:15">
      <c r="A37" s="1074" t="s">
        <v>724</v>
      </c>
      <c r="B37" s="1179">
        <f>F24</f>
        <v>99.108999999999995</v>
      </c>
      <c r="C37" s="1010"/>
      <c r="D37" s="1066" t="s">
        <v>9</v>
      </c>
      <c r="E37" s="119"/>
      <c r="F37" s="119"/>
      <c r="G37" s="119"/>
      <c r="H37" s="119"/>
      <c r="I37" s="1178" t="s">
        <v>433</v>
      </c>
      <c r="J37" s="532"/>
      <c r="K37" s="1189"/>
      <c r="L37" s="1131" t="s">
        <v>440</v>
      </c>
      <c r="M37" s="1012"/>
      <c r="N37" s="1010"/>
      <c r="O37" s="778"/>
    </row>
    <row r="38" spans="1:15">
      <c r="A38" s="1205" t="s">
        <v>760</v>
      </c>
      <c r="B38" s="1138" t="s">
        <v>9</v>
      </c>
      <c r="C38" s="1011"/>
      <c r="D38" s="943"/>
      <c r="E38" s="119"/>
      <c r="F38" s="119"/>
      <c r="G38" s="119"/>
      <c r="H38" s="119"/>
      <c r="I38" s="1174" t="s">
        <v>434</v>
      </c>
      <c r="J38" s="532"/>
      <c r="K38" s="1189"/>
      <c r="L38" s="577" t="s">
        <v>441</v>
      </c>
      <c r="M38" s="119"/>
      <c r="N38" s="1209"/>
      <c r="O38" s="1210"/>
    </row>
    <row r="39" spans="1:15" ht="16.2" thickBot="1">
      <c r="A39" s="1079" t="s">
        <v>2</v>
      </c>
      <c r="B39" s="1180">
        <f>B35+B36+B37</f>
        <v>279.90600000000001</v>
      </c>
      <c r="C39" s="1080"/>
      <c r="D39" s="1081" t="s">
        <v>9</v>
      </c>
      <c r="E39" s="119"/>
      <c r="F39" s="119"/>
      <c r="G39" s="119"/>
      <c r="H39" s="119"/>
      <c r="I39" s="1175" t="s">
        <v>435</v>
      </c>
      <c r="J39" s="567"/>
      <c r="K39" s="1191"/>
      <c r="L39" s="1211" t="s">
        <v>762</v>
      </c>
      <c r="M39" s="1051"/>
      <c r="N39" s="1212"/>
      <c r="O39" s="1194"/>
    </row>
    <row r="40" spans="1:15" ht="16.8" thickTop="1" thickBot="1">
      <c r="A40" s="1206" t="s">
        <v>9</v>
      </c>
      <c r="B40" s="427"/>
      <c r="C40" s="427"/>
      <c r="D40" s="427"/>
      <c r="E40" s="117"/>
      <c r="F40" s="117"/>
      <c r="G40" s="117"/>
      <c r="H40" s="117"/>
      <c r="I40" s="117"/>
      <c r="J40" s="947" t="s">
        <v>9</v>
      </c>
      <c r="K40" s="1133"/>
      <c r="L40" s="1208" t="s">
        <v>209</v>
      </c>
      <c r="M40" s="1213"/>
      <c r="N40" s="117" t="s">
        <v>9</v>
      </c>
      <c r="O40" s="1134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5"/>
      <c r="K41" s="1135"/>
      <c r="L41" s="1136"/>
      <c r="M41" s="764"/>
      <c r="N41" s="764"/>
      <c r="O41" s="764"/>
    </row>
    <row r="42" spans="1:15">
      <c r="A42" s="1075"/>
      <c r="B42" s="119"/>
      <c r="C42" s="119"/>
      <c r="D42" s="1076"/>
      <c r="I42" s="119"/>
      <c r="J42" s="1125"/>
      <c r="K42" s="577"/>
      <c r="L42" s="1126"/>
    </row>
    <row r="43" spans="1:15">
      <c r="I43" s="119"/>
      <c r="J43" s="1125"/>
      <c r="K43" s="577"/>
      <c r="L43" s="1126"/>
    </row>
    <row r="44" spans="1:15">
      <c r="I44" s="119"/>
      <c r="J44" s="8"/>
      <c r="K44" s="8"/>
      <c r="L44" s="112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00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THU</v>
      </c>
      <c r="G1" s="1183">
        <f>Weather_Input!A5</f>
        <v>37112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 t="s">
        <v>9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2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94</v>
      </c>
      <c r="C4" s="737">
        <f>Weather_Input!C5</f>
        <v>67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31.4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31.4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8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31.4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-6.8620000000000001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-24.893999999999998</v>
      </c>
      <c r="D25" s="697"/>
      <c r="E25" s="690">
        <f>-NSG_Supplies!Q7/1000</f>
        <v>-24.893999999999998</v>
      </c>
      <c r="F25" s="697"/>
      <c r="G25" s="690">
        <f>-NSG_Supplies!Q7/1000</f>
        <v>-24.893999999999998</v>
      </c>
      <c r="H25" s="696"/>
      <c r="I25" s="753">
        <f>-NSG_Supplies!Q7/1000</f>
        <v>-24.893999999999998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4"/>
      <c r="I53" s="993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37112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94</v>
      </c>
      <c r="C5" s="257">
        <f>Weather_Input!C5</f>
        <v>67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205</v>
      </c>
      <c r="C8" s="265">
        <f>NSG_Deliveries!C5/1000</f>
        <v>31.4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122.407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39.299999999999997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12.856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31.4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1.3366499999999999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31.4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0.36</v>
      </c>
      <c r="C27" s="301">
        <f>NSG_Requirements!P7/1000</f>
        <v>0</v>
      </c>
      <c r="D27" s="301">
        <f>PGL_Requirements!Q7/1000</f>
        <v>0.36</v>
      </c>
      <c r="E27" s="301">
        <f>NSG_Requirements!P7/1000</f>
        <v>0</v>
      </c>
      <c r="F27" s="301">
        <f>PGL_Requirements!Q7/1000</f>
        <v>0.36</v>
      </c>
      <c r="G27" s="301">
        <f>NSG_Requirements!P7/1000</f>
        <v>0</v>
      </c>
      <c r="H27" s="302">
        <f>+B27</f>
        <v>0.36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-48.344000000000001</v>
      </c>
      <c r="C32" s="306">
        <f>-NSG_Supplies!Q7/1000</f>
        <v>-24.893999999999998</v>
      </c>
      <c r="D32" s="306">
        <f>B32</f>
        <v>-48.344000000000001</v>
      </c>
      <c r="E32" s="306">
        <f>C32</f>
        <v>-24.893999999999998</v>
      </c>
      <c r="F32" s="306">
        <f>B32</f>
        <v>-48.344000000000001</v>
      </c>
      <c r="G32" s="306">
        <f>C32</f>
        <v>-24.893999999999998</v>
      </c>
      <c r="H32" s="311">
        <f>B32</f>
        <v>-48.344000000000001</v>
      </c>
      <c r="I32" s="312">
        <f>C32</f>
        <v>-24.893999999999998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-14.904</v>
      </c>
      <c r="D33" s="306">
        <f>B33</f>
        <v>0</v>
      </c>
      <c r="E33" s="306">
        <f>C33</f>
        <v>-14.904</v>
      </c>
      <c r="F33" s="306">
        <f>B33</f>
        <v>0</v>
      </c>
      <c r="G33" s="306">
        <f>C33</f>
        <v>-14.904</v>
      </c>
      <c r="H33" s="311">
        <f>B33</f>
        <v>0</v>
      </c>
      <c r="I33" s="312">
        <f>C33</f>
        <v>-14.904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-72.838999999999999</v>
      </c>
      <c r="C36" s="306">
        <f>-NSG_Supplies!F7/1000</f>
        <v>-6.8620000000000001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89.11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1.3366499999999999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1.3366499999999999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122.407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122.407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0.41799999999999998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85.911000000000001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42.499000000000002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89.11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39.299999999999997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THU</v>
      </c>
      <c r="H73" s="397">
        <f>Weather_Input!A5</f>
        <v>37112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122.407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128.41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12.856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-0.41799999999999998</v>
      </c>
      <c r="C116" s="410">
        <f>-NSG_Supplies!V7/1000</f>
        <v>0</v>
      </c>
      <c r="D116" s="306">
        <f>-PGL_Supplies!Y7/1000</f>
        <v>-0.41799999999999998</v>
      </c>
      <c r="E116" s="306">
        <f>-NSG_Supplies!V7/1000</f>
        <v>0</v>
      </c>
      <c r="F116" s="306">
        <f>-PGL_Supplies!Y7/1000</f>
        <v>-0.41799999999999998</v>
      </c>
      <c r="G116" s="306">
        <f>-NSG_Supplies!V7/1000</f>
        <v>0</v>
      </c>
      <c r="H116" s="311">
        <f>-PGL_Supplies!Y7/1000</f>
        <v>-0.41799999999999998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-14.904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0.41799999999999998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0.41799999999999998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122.407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122.407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89.11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1.3366499999999999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31172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42.499000000000002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85.911000000000001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128.41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37113.491645254631</v>
      </c>
      <c r="F22" s="161" t="s">
        <v>256</v>
      </c>
      <c r="G22" s="186">
        <f ca="1">NOW()</f>
        <v>37113.491645254631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37112</v>
      </c>
      <c r="C5" s="15"/>
      <c r="D5" s="22" t="s">
        <v>274</v>
      </c>
      <c r="E5" s="23">
        <f>Weather_Input!B5</f>
        <v>94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67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80.2</v>
      </c>
      <c r="F7" s="24" t="s">
        <v>280</v>
      </c>
      <c r="G7" s="25">
        <f>Weather_Input!G5</f>
        <v>93</v>
      </c>
      <c r="H7" s="26" t="s">
        <v>280</v>
      </c>
      <c r="I7" s="120">
        <f ca="1">G7-(VLOOKUP(B5,DD_Normal_Data,CELL("Col",D4),FALSE))</f>
        <v>93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PARTLY SUNNY…HOT AND HUMID.   CHANCE  OF AFTERNOON T-STORMS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TONIGHT…T-STORMS  LIKELY ;   POSSIBLY  STRONG STORMS  POSSIBLE.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37113</v>
      </c>
      <c r="C10" s="15"/>
      <c r="D10" s="150" t="s">
        <v>274</v>
      </c>
      <c r="E10" s="23">
        <f>Weather_Input!B6</f>
        <v>78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58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68</v>
      </c>
      <c r="F12" s="24" t="s">
        <v>280</v>
      </c>
      <c r="G12" s="25">
        <f>IF(AND(DAY(B10)=1,MONTH(B10)=8),G10,G7+G10)</f>
        <v>93</v>
      </c>
      <c r="H12" s="26" t="s">
        <v>280</v>
      </c>
      <c r="I12" s="27">
        <f ca="1">G12-(VLOOKUP(B10,DD_Normal_Data,CELL("Col",D9),FALSE))</f>
        <v>93</v>
      </c>
    </row>
    <row r="13" spans="1:109" ht="15">
      <c r="A13" s="18"/>
      <c r="B13" s="21"/>
      <c r="C13" s="15"/>
      <c r="D13" s="32" t="str">
        <f>IF(Weather_Input!I6=""," ",Weather_Input!I6)</f>
        <v xml:space="preserve">  MOSTLY  SUNNY…COOLER AND  LESS HUMID.  WIND  NE  10 TO 20.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TONIGHT  CLEAR  AND  COOL  WITH  LIGHT  WINDS.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37114</v>
      </c>
      <c r="C15" s="15"/>
      <c r="D15" s="22" t="s">
        <v>274</v>
      </c>
      <c r="E15" s="23">
        <f>Weather_Input!B7</f>
        <v>79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61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70</v>
      </c>
      <c r="F17" s="24" t="s">
        <v>280</v>
      </c>
      <c r="G17" s="25">
        <f>IF(AND(DAY(B15)=1,MONTH(B15)=8),G15,G12+G15)</f>
        <v>93</v>
      </c>
      <c r="H17" s="26" t="s">
        <v>280</v>
      </c>
      <c r="I17" s="27">
        <f ca="1">G17-(VLOOKUP(B15,DD_Normal_Data,CELL("Col",D14),FALSE))</f>
        <v>93</v>
      </c>
    </row>
    <row r="18" spans="1:109" ht="15">
      <c r="A18" s="18"/>
      <c r="B18" s="20"/>
      <c r="C18" s="15"/>
      <c r="D18" s="32" t="str">
        <f>IF(Weather_Input!I7=""," ",Weather_Input!I7)</f>
        <v xml:space="preserve">  PARTLY  SUNNY  AND  PLEASANT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37115</v>
      </c>
      <c r="C20" s="15"/>
      <c r="D20" s="22" t="s">
        <v>274</v>
      </c>
      <c r="E20" s="23">
        <f>Weather_Input!B8</f>
        <v>81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161</v>
      </c>
      <c r="E21" s="23">
        <f>Weather_Input!C8</f>
        <v>65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73</v>
      </c>
      <c r="F22" s="24" t="s">
        <v>280</v>
      </c>
      <c r="G22" s="25">
        <f>IF(AND(DAY(B20)=1,MONTH(B20)=8),G20,G17+G20)</f>
        <v>93</v>
      </c>
      <c r="H22" s="26" t="s">
        <v>280</v>
      </c>
      <c r="I22" s="27">
        <f ca="1">G22-(VLOOKUP(B20,DD_Normal_Data,CELL("Col",D19),FALSE))</f>
        <v>93</v>
      </c>
    </row>
    <row r="23" spans="1:109" ht="15">
      <c r="A23" s="18"/>
      <c r="B23" s="21"/>
      <c r="C23" s="15"/>
      <c r="D23" s="32" t="str">
        <f>IF(Weather_Input!I8=""," ",Weather_Input!I8)</f>
        <v xml:space="preserve">  PARTLY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37116</v>
      </c>
      <c r="C25" s="15"/>
      <c r="D25" s="22" t="s">
        <v>274</v>
      </c>
      <c r="E25" s="23">
        <f>Weather_Input!B9</f>
        <v>78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60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69</v>
      </c>
      <c r="F27" s="24" t="s">
        <v>280</v>
      </c>
      <c r="G27" s="25">
        <f>IF(AND(DAY(B25)=1,MONTH(B25)=8),G25,G22+G25)</f>
        <v>93</v>
      </c>
      <c r="H27" s="26" t="s">
        <v>280</v>
      </c>
      <c r="I27" s="27">
        <f ca="1">G27-(VLOOKUP(B25,DD_Normal_Data,CELL("Col",D24),FALSE))</f>
        <v>93</v>
      </c>
    </row>
    <row r="28" spans="1:109" ht="15">
      <c r="A28" s="18"/>
      <c r="B28" s="20"/>
      <c r="C28" s="15"/>
      <c r="D28" s="32" t="str">
        <f>IF(Weather_Input!I9=""," ",Weather_Input!I9)</f>
        <v xml:space="preserve">  SUNNY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37117</v>
      </c>
      <c r="C30" s="15"/>
      <c r="D30" s="22" t="s">
        <v>274</v>
      </c>
      <c r="E30" s="23">
        <f>Weather_Input!B10</f>
        <v>80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161</v>
      </c>
      <c r="E31" s="23">
        <f>Weather_Input!C10</f>
        <v>65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72.5</v>
      </c>
      <c r="F32" s="24" t="s">
        <v>280</v>
      </c>
      <c r="G32" s="25">
        <f>IF(AND(DAY(B30)=1,MONTH(B30)=8),G30,G27+G30)</f>
        <v>93</v>
      </c>
      <c r="H32" s="26" t="s">
        <v>280</v>
      </c>
      <c r="I32" s="27">
        <f ca="1">G32-(VLOOKUP(B30,DD_Normal_Data,CELL("Col",D29),FALSE))</f>
        <v>93</v>
      </c>
    </row>
    <row r="33" spans="1:9" ht="15">
      <c r="A33" s="15"/>
      <c r="B33" s="34"/>
      <c r="C33" s="15"/>
      <c r="D33" s="32" t="str">
        <f>IF(Weather_Input!I10=""," ",Weather_Input!I10)</f>
        <v xml:space="preserve">  SUNNY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37112</v>
      </c>
      <c r="C36" s="89">
        <f>B10</f>
        <v>37113</v>
      </c>
      <c r="D36" s="89">
        <f>B15</f>
        <v>37114</v>
      </c>
      <c r="E36" s="89">
        <f xml:space="preserve">       B20</f>
        <v>37115</v>
      </c>
      <c r="F36" s="89">
        <f>B25</f>
        <v>37116</v>
      </c>
      <c r="G36" s="89">
        <f>B30</f>
        <v>37117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205</v>
      </c>
      <c r="C37" s="41">
        <f ca="1">(VLOOKUP(C36,PGL_Sendouts,(CELL("COL",PGL_Deliveries!C7))))/1000</f>
        <v>185</v>
      </c>
      <c r="D37" s="41">
        <f ca="1">(VLOOKUP(D36,PGL_Sendouts,(CELL("COL",PGL_Deliveries!C8))))/1000</f>
        <v>170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502.55465000000004</v>
      </c>
      <c r="C38" s="41">
        <f>PGL_6_Day_Report!E25</f>
        <v>456.71800000000002</v>
      </c>
      <c r="D38" s="41">
        <f>PGL_6_Day_Report!F25</f>
        <v>350.35</v>
      </c>
      <c r="E38" s="41">
        <f>PGL_6_Day_Report!G25</f>
        <v>370.35</v>
      </c>
      <c r="F38" s="41">
        <f>PGL_6_Day_Report!H25</f>
        <v>399.12650000000002</v>
      </c>
      <c r="G38" s="41">
        <f>PGL_6_Day_Report!I25</f>
        <v>322.55</v>
      </c>
      <c r="H38" s="14"/>
      <c r="I38" s="15"/>
    </row>
    <row r="39" spans="1:9" ht="15">
      <c r="A39" s="42" t="s">
        <v>103</v>
      </c>
      <c r="B39" s="41">
        <f>SUM(PGL_Supplies!Y7:AD7)/1000</f>
        <v>346.61799999999999</v>
      </c>
      <c r="C39" s="41">
        <f>SUM(PGL_Supplies!Y8:AD8)/1000</f>
        <v>285.81299999999999</v>
      </c>
      <c r="D39" s="41">
        <f>SUM(PGL_Supplies!Y9:AD9)/1000</f>
        <v>285.81299999999999</v>
      </c>
      <c r="E39" s="41">
        <f>SUM(PGL_Supplies!Y10:AD10)/1000</f>
        <v>285.81299999999999</v>
      </c>
      <c r="F39" s="41">
        <f>SUM(PGL_Supplies!Y11:AD11)/1000</f>
        <v>285.81299999999999</v>
      </c>
      <c r="G39" s="41">
        <f>SUM(PGL_Supplies!Y12:AD12)/1000</f>
        <v>285.81299999999999</v>
      </c>
      <c r="H39" s="14"/>
      <c r="I39" s="15"/>
    </row>
    <row r="40" spans="1:9" ht="15">
      <c r="A40" s="42" t="s">
        <v>286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287</v>
      </c>
      <c r="B41" s="41">
        <f>SUM(PGL_Requirements!Q7:T7)/1000</f>
        <v>0.77800000000000002</v>
      </c>
      <c r="C41" s="41">
        <f>SUM(PGL_Requirements!Q7:T7)/1000</f>
        <v>0.77800000000000002</v>
      </c>
      <c r="D41" s="41">
        <f>SUM(PGL_Requirements!Q7:T7)/1000</f>
        <v>0.77800000000000002</v>
      </c>
      <c r="E41" s="41">
        <f>SUM(PGL_Requirements!Q7:T7)/1000</f>
        <v>0.77800000000000002</v>
      </c>
      <c r="F41" s="41">
        <f>SUM(PGL_Requirements!Q7:T7)/1000</f>
        <v>0.77800000000000002</v>
      </c>
      <c r="G41" s="41">
        <f>SUM(PGL_Requirements!Q7:T7)/1000</f>
        <v>0.77800000000000002</v>
      </c>
      <c r="H41" s="14"/>
      <c r="I41" s="15"/>
    </row>
    <row r="42" spans="1:9" ht="15">
      <c r="A42" s="15" t="s">
        <v>126</v>
      </c>
      <c r="B42" s="41">
        <f>PGL_Supplies!U7/1000</f>
        <v>122.407</v>
      </c>
      <c r="C42" s="41">
        <f>PGL_Supplies!U8/1000</f>
        <v>122.407</v>
      </c>
      <c r="D42" s="41">
        <f>PGL_Supplies!U9/1000</f>
        <v>122.407</v>
      </c>
      <c r="E42" s="41">
        <f>PGL_Supplies!U10/1000</f>
        <v>122.407</v>
      </c>
      <c r="F42" s="41">
        <f>PGL_Supplies!U11/1000</f>
        <v>122.407</v>
      </c>
      <c r="G42" s="41">
        <f>PGL_Supplies!U12/1000</f>
        <v>122.407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37112</v>
      </c>
      <c r="C44" s="89">
        <f t="shared" si="0"/>
        <v>37113</v>
      </c>
      <c r="D44" s="89">
        <f t="shared" si="0"/>
        <v>37114</v>
      </c>
      <c r="E44" s="89">
        <f t="shared" si="0"/>
        <v>37115</v>
      </c>
      <c r="F44" s="89">
        <f t="shared" si="0"/>
        <v>37116</v>
      </c>
      <c r="G44" s="89">
        <f t="shared" si="0"/>
        <v>37117</v>
      </c>
      <c r="H44" s="14"/>
      <c r="I44" s="15"/>
    </row>
    <row r="45" spans="1:9" ht="15">
      <c r="A45" s="15" t="s">
        <v>54</v>
      </c>
      <c r="B45" s="41">
        <f ca="1">NSG_6_Day_Report!D6</f>
        <v>31.4</v>
      </c>
      <c r="C45" s="41">
        <f ca="1">NSG_6_Day_Report!E6</f>
        <v>31</v>
      </c>
      <c r="D45" s="41">
        <f ca="1">NSG_6_Day_Report!F6</f>
        <v>28</v>
      </c>
      <c r="E45" s="41">
        <f ca="1">NSG_6_Day_Report!G6</f>
        <v>30</v>
      </c>
      <c r="F45" s="41">
        <f ca="1">NSG_6_Day_Report!H6</f>
        <v>31</v>
      </c>
      <c r="G45" s="41">
        <f ca="1">NSG_6_Day_Report!I6</f>
        <v>31</v>
      </c>
      <c r="H45" s="14"/>
      <c r="I45" s="15"/>
    </row>
    <row r="46" spans="1:9" ht="15">
      <c r="A46" s="42" t="s">
        <v>285</v>
      </c>
      <c r="B46" s="41">
        <f ca="1">NSG_6_Day_Report!D11</f>
        <v>38.4</v>
      </c>
      <c r="C46" s="41">
        <f ca="1">NSG_6_Day_Report!E11</f>
        <v>38</v>
      </c>
      <c r="D46" s="41">
        <f ca="1">NSG_6_Day_Report!F11</f>
        <v>35</v>
      </c>
      <c r="E46" s="41">
        <f ca="1">NSG_6_Day_Report!G11</f>
        <v>37</v>
      </c>
      <c r="F46" s="41">
        <f ca="1">NSG_6_Day_Report!H11</f>
        <v>38</v>
      </c>
      <c r="G46" s="41">
        <f ca="1">NSG_6_Day_Report!I11</f>
        <v>38</v>
      </c>
      <c r="H46" s="14"/>
      <c r="I46" s="15"/>
    </row>
    <row r="47" spans="1:9" ht="15">
      <c r="A47" s="42" t="s">
        <v>103</v>
      </c>
      <c r="B47" s="41">
        <f>SUM(NSG_Supplies!O7:Q7)/1000</f>
        <v>31.893999999999998</v>
      </c>
      <c r="C47" s="41">
        <f>SUM(NSG_Supplies!O8:Q8)/1000</f>
        <v>31.631</v>
      </c>
      <c r="D47" s="41">
        <f>SUM(NSG_Supplies!O9:Q9)/1000</f>
        <v>31.631</v>
      </c>
      <c r="E47" s="41">
        <f>SUM(NSG_Supplies!O10:Q10)/1000</f>
        <v>31.631</v>
      </c>
      <c r="F47" s="41">
        <f>SUM(NSG_Supplies!O11:Q11)/1000</f>
        <v>31.631</v>
      </c>
      <c r="G47" s="41">
        <f>SUM(NSG_Supplies!O12:Q12)/1000</f>
        <v>31.631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14.904</v>
      </c>
      <c r="C50" s="41">
        <f>NSG_Supplies!R8/1000</f>
        <v>14.904</v>
      </c>
      <c r="D50" s="41">
        <f>NSG_Supplies!R9/1000</f>
        <v>14.904</v>
      </c>
      <c r="E50" s="41">
        <f>NSG_Supplies!R10/1000</f>
        <v>14.904</v>
      </c>
      <c r="F50" s="41">
        <f>NSG_Supplies!R11/1000</f>
        <v>14.904</v>
      </c>
      <c r="G50" s="41">
        <f>NSG_Supplies!R12/1000</f>
        <v>14.904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37112</v>
      </c>
      <c r="C52" s="89">
        <f t="shared" si="1"/>
        <v>37113</v>
      </c>
      <c r="D52" s="89">
        <f t="shared" si="1"/>
        <v>37114</v>
      </c>
      <c r="E52" s="89">
        <f t="shared" si="1"/>
        <v>37115</v>
      </c>
      <c r="F52" s="89">
        <f t="shared" si="1"/>
        <v>37116</v>
      </c>
      <c r="G52" s="89">
        <f t="shared" si="1"/>
        <v>37117</v>
      </c>
      <c r="H52" s="14"/>
      <c r="I52" s="15"/>
    </row>
    <row r="53" spans="1:9" ht="15">
      <c r="A53" s="92" t="s">
        <v>289</v>
      </c>
      <c r="B53" s="41">
        <f>PGL_Requirements!O7/1000</f>
        <v>89.11</v>
      </c>
      <c r="C53" s="41">
        <f>PGL_Requirements!O8/1000</f>
        <v>145</v>
      </c>
      <c r="D53" s="41">
        <f>PGL_Requirements!O9/1000</f>
        <v>150</v>
      </c>
      <c r="E53" s="41">
        <f>PGL_Requirements!O10/1000</f>
        <v>150</v>
      </c>
      <c r="F53" s="41">
        <f>PGL_Requirements!O11/1000</f>
        <v>150</v>
      </c>
      <c r="G53" s="41">
        <f>PGL_Requirements!O12/1000</f>
        <v>130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4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7"/>
    </row>
    <row r="3" spans="1:8" ht="16.2" thickBot="1">
      <c r="A3" s="96" t="s">
        <v>295</v>
      </c>
    </row>
    <row r="4" spans="1:8">
      <c r="A4" s="97"/>
      <c r="B4" s="1028" t="str">
        <f>Six_Day_Summary!A10</f>
        <v>Friday</v>
      </c>
      <c r="C4" s="1029" t="str">
        <f>Six_Day_Summary!A15</f>
        <v>Saturday</v>
      </c>
      <c r="D4" s="1029" t="str">
        <f>Six_Day_Summary!A20</f>
        <v>Sunday</v>
      </c>
      <c r="E4" s="1029" t="str">
        <f>Six_Day_Summary!A25</f>
        <v>Monday</v>
      </c>
      <c r="F4" s="1030" t="str">
        <f>Six_Day_Summary!A30</f>
        <v>Tuesday</v>
      </c>
      <c r="G4" s="98"/>
    </row>
    <row r="5" spans="1:8">
      <c r="A5" s="101" t="s">
        <v>296</v>
      </c>
      <c r="B5" s="1031">
        <f>Weather_Input!A6</f>
        <v>37113</v>
      </c>
      <c r="C5" s="1032">
        <f>Weather_Input!A7</f>
        <v>37114</v>
      </c>
      <c r="D5" s="1032">
        <f>Weather_Input!A8</f>
        <v>37115</v>
      </c>
      <c r="E5" s="1032">
        <f>Weather_Input!A9</f>
        <v>37116</v>
      </c>
      <c r="F5" s="1033">
        <f>Weather_Input!A10</f>
        <v>37117</v>
      </c>
      <c r="G5" s="98"/>
    </row>
    <row r="6" spans="1:8">
      <c r="A6" s="98" t="s">
        <v>297</v>
      </c>
      <c r="B6" s="1034">
        <f>PGL_Supplies!AB8/1000+PGL_Supplies!K8/1000-PGL_Requirements!N8/1000-PGL_Requirements!S8/1000+B8</f>
        <v>42.868000000000002</v>
      </c>
      <c r="C6" s="1034">
        <f>PGL_Supplies!AB9/1000+PGL_Supplies!K9/1000-PGL_Requirements!N9/1000+C15-PGL_Requirements!S9/1000</f>
        <v>2.2880000000000003</v>
      </c>
      <c r="D6" s="1034">
        <f>PGL_Supplies!AB10/1000+PGL_Supplies!K10/1000-PGL_Requirements!N10/1000+D15-PGL_Requirements!S10/1000</f>
        <v>2.2880000000000003</v>
      </c>
      <c r="E6" s="1034">
        <f>PGL_Supplies!AB11/1000+PGL_Supplies!K11/1000-PGL_Requirements!N11/1000+E15-PGL_Requirements!S11/1000</f>
        <v>2.2880000000000003</v>
      </c>
      <c r="F6" s="1035">
        <f>PGL_Supplies!AB12/1000+PGL_Supplies!K12/1000-PGL_Requirements!N12/1000+F15-PGL_Requirements!S12/1000</f>
        <v>29.788</v>
      </c>
      <c r="G6" s="98"/>
      <c r="H6" t="s">
        <v>9</v>
      </c>
    </row>
    <row r="7" spans="1:8">
      <c r="A7" s="98" t="s">
        <v>298</v>
      </c>
      <c r="B7" s="1034">
        <f>PGL_Supplies!M8/1000</f>
        <v>0</v>
      </c>
      <c r="C7" s="1034">
        <f>PGL_Supplies!M9/1000</f>
        <v>0</v>
      </c>
      <c r="D7" s="1034">
        <f>PGL_Supplies!M10/1000</f>
        <v>0</v>
      </c>
      <c r="E7" s="1034">
        <f>PGL_Supplies!M11/1000</f>
        <v>0</v>
      </c>
      <c r="F7" s="1036">
        <f>PGL_Supplies!M12/1000</f>
        <v>0</v>
      </c>
      <c r="G7" s="98"/>
    </row>
    <row r="8" spans="1:8">
      <c r="A8" s="98" t="s">
        <v>299</v>
      </c>
      <c r="B8" s="1034">
        <v>0</v>
      </c>
      <c r="C8" s="1034">
        <v>0</v>
      </c>
      <c r="D8" s="1034">
        <v>0</v>
      </c>
      <c r="E8" s="1034">
        <v>0</v>
      </c>
      <c r="F8" s="1036">
        <v>0</v>
      </c>
      <c r="G8" s="98"/>
    </row>
    <row r="9" spans="1:8">
      <c r="A9" s="98" t="s">
        <v>300</v>
      </c>
      <c r="B9" s="1034">
        <v>0</v>
      </c>
      <c r="C9" s="1034">
        <v>0</v>
      </c>
      <c r="D9" s="1034">
        <v>0</v>
      </c>
      <c r="E9" s="1034">
        <v>0</v>
      </c>
      <c r="F9" s="1036">
        <v>0</v>
      </c>
      <c r="G9" s="98"/>
    </row>
    <row r="10" spans="1:8">
      <c r="A10" s="99"/>
      <c r="B10" s="1037"/>
      <c r="C10" s="1037"/>
      <c r="D10" s="1037"/>
      <c r="E10" s="1037"/>
      <c r="F10" s="1038"/>
      <c r="G10" s="98"/>
    </row>
    <row r="11" spans="1:8">
      <c r="A11" s="98" t="s">
        <v>301</v>
      </c>
      <c r="B11" s="1034">
        <v>0</v>
      </c>
      <c r="C11" s="1034">
        <v>0</v>
      </c>
      <c r="D11" s="1034">
        <v>0</v>
      </c>
      <c r="E11" s="1034">
        <v>0</v>
      </c>
      <c r="F11" s="1036">
        <v>0</v>
      </c>
      <c r="G11" s="98"/>
      <c r="H11" s="119" t="s">
        <v>9</v>
      </c>
    </row>
    <row r="12" spans="1:8">
      <c r="A12" s="98" t="s">
        <v>302</v>
      </c>
      <c r="B12" s="1034">
        <f>PGL_Requirements!R8/1000</f>
        <v>0</v>
      </c>
      <c r="C12" s="1034">
        <f>PGL_Requirements!R9/1000</f>
        <v>0</v>
      </c>
      <c r="D12" s="1034">
        <f>PGL_Requirements!R10/1000</f>
        <v>0</v>
      </c>
      <c r="E12" s="1034">
        <f>PGL_Requirements!R11/1000</f>
        <v>0</v>
      </c>
      <c r="F12" s="1036">
        <f>PGL_Requirements!R12/1000</f>
        <v>0</v>
      </c>
      <c r="G12" s="98"/>
    </row>
    <row r="13" spans="1:8">
      <c r="A13" s="98" t="s">
        <v>303</v>
      </c>
      <c r="B13" s="1034">
        <v>0</v>
      </c>
      <c r="C13" s="1034">
        <v>0</v>
      </c>
      <c r="D13" s="1034">
        <v>0</v>
      </c>
      <c r="E13" s="1034">
        <v>0</v>
      </c>
      <c r="F13" s="1036">
        <v>0</v>
      </c>
      <c r="G13" s="98"/>
    </row>
    <row r="14" spans="1:8">
      <c r="A14" s="98" t="s">
        <v>174</v>
      </c>
      <c r="B14" s="1034">
        <v>0</v>
      </c>
      <c r="C14" s="1040"/>
      <c r="D14" s="1040"/>
      <c r="E14" s="1040"/>
      <c r="F14" s="1036"/>
      <c r="G14" s="98"/>
    </row>
    <row r="15" spans="1:8">
      <c r="A15" s="98" t="s">
        <v>634</v>
      </c>
      <c r="B15" s="1039">
        <v>0</v>
      </c>
      <c r="C15" s="1039">
        <v>0</v>
      </c>
      <c r="D15" s="1039">
        <v>0</v>
      </c>
      <c r="E15" s="1039">
        <v>0</v>
      </c>
      <c r="F15" s="1067">
        <v>0</v>
      </c>
      <c r="G15" s="119"/>
    </row>
    <row r="16" spans="1:8">
      <c r="A16" s="98" t="s">
        <v>304</v>
      </c>
      <c r="B16" s="1039">
        <v>0</v>
      </c>
      <c r="C16" s="1040"/>
      <c r="D16" s="1040"/>
      <c r="E16" s="1040"/>
      <c r="F16" s="1036"/>
      <c r="G16" s="98"/>
    </row>
    <row r="17" spans="1:7" ht="15.6" thickBot="1">
      <c r="A17" s="100" t="s">
        <v>685</v>
      </c>
      <c r="B17" s="1041">
        <v>0</v>
      </c>
      <c r="C17" s="1042"/>
      <c r="D17" s="1042"/>
      <c r="E17" s="1042"/>
      <c r="F17" s="1043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4" t="str">
        <f t="shared" ref="B21:F22" si="0">B4</f>
        <v>Friday</v>
      </c>
      <c r="C21" s="1044" t="str">
        <f t="shared" si="0"/>
        <v>Saturday</v>
      </c>
      <c r="D21" s="1044" t="str">
        <f t="shared" si="0"/>
        <v>Sunday</v>
      </c>
      <c r="E21" s="1044" t="str">
        <f t="shared" si="0"/>
        <v>Monday</v>
      </c>
      <c r="F21" s="1045" t="str">
        <f t="shared" si="0"/>
        <v>Tuesday</v>
      </c>
      <c r="G21" s="98"/>
    </row>
    <row r="22" spans="1:7">
      <c r="A22" s="105" t="s">
        <v>296</v>
      </c>
      <c r="B22" s="1046">
        <f t="shared" si="0"/>
        <v>37113</v>
      </c>
      <c r="C22" s="1046">
        <f t="shared" si="0"/>
        <v>37114</v>
      </c>
      <c r="D22" s="1046">
        <f t="shared" si="0"/>
        <v>37115</v>
      </c>
      <c r="E22" s="1046">
        <f t="shared" si="0"/>
        <v>37116</v>
      </c>
      <c r="F22" s="1047">
        <f t="shared" si="0"/>
        <v>37117</v>
      </c>
      <c r="G22" s="98"/>
    </row>
    <row r="23" spans="1:7">
      <c r="A23" s="98" t="s">
        <v>297</v>
      </c>
      <c r="B23" s="1040">
        <f>NSG_Supplies!Q8/1000+NSG_Supplies!F8/1000-NSG_Requirements!H8/1000</f>
        <v>31.001000000000001</v>
      </c>
      <c r="C23" s="1040">
        <f>NSG_Supplies!Q9/1000+NSG_Supplies!F9/1000-NSG_Requirements!H9/1000</f>
        <v>24.631</v>
      </c>
      <c r="D23" s="1040">
        <f>NSG_Supplies!Q10/1000+NSG_Supplies!F10/1000-NSG_Requirements!H10/1000</f>
        <v>24.631</v>
      </c>
      <c r="E23" s="1040">
        <f>NSG_Supplies!Q12/1000+NSG_Supplies!F11/1000-NSG_Requirements!H11/1000</f>
        <v>24.631</v>
      </c>
      <c r="F23" s="1035">
        <f>NSG_Supplies!Q12/1000+NSG_Supplies!F12/1000-NSG_Requirements!H12/1000</f>
        <v>24.631</v>
      </c>
      <c r="G23" s="98"/>
    </row>
    <row r="24" spans="1:7">
      <c r="A24" s="98" t="s">
        <v>306</v>
      </c>
      <c r="B24" s="1040">
        <f>NSG_Supplies!G8/1000</f>
        <v>0</v>
      </c>
      <c r="C24" s="1040">
        <f>NSG_Supplies!G9/1000</f>
        <v>0</v>
      </c>
      <c r="D24" s="1040">
        <f>NSG_Supplies!G10/1000</f>
        <v>0</v>
      </c>
      <c r="E24" s="1040">
        <f>NSG_Supplies!G11/1000</f>
        <v>0</v>
      </c>
      <c r="F24" s="1036">
        <f>NSG_Supplies!G12/1000</f>
        <v>0</v>
      </c>
      <c r="G24" s="98"/>
    </row>
    <row r="25" spans="1:7">
      <c r="A25" s="98" t="s">
        <v>298</v>
      </c>
      <c r="B25" s="1040">
        <f>NSG_Supplies!H8/1000</f>
        <v>0</v>
      </c>
      <c r="C25" s="1040">
        <f>NSG_Supplies!H9/1000</f>
        <v>0</v>
      </c>
      <c r="D25" s="1040">
        <f>NSG_Supplies!H10/1000</f>
        <v>0</v>
      </c>
      <c r="E25" s="1040">
        <f>NSG_Supplies!H11/1000</f>
        <v>0</v>
      </c>
      <c r="F25" s="1036">
        <f>NSG_Supplies!H12/1000</f>
        <v>0</v>
      </c>
      <c r="G25" s="98"/>
    </row>
    <row r="26" spans="1:7">
      <c r="A26" s="102" t="s">
        <v>299</v>
      </c>
      <c r="B26" s="1040">
        <f>NSG_Supplies!I8/1000</f>
        <v>0</v>
      </c>
      <c r="C26" s="1040">
        <f>NSG_Supplies!I9/1000</f>
        <v>0</v>
      </c>
      <c r="D26" s="1040">
        <f>NSG_Supplies!I10/1000</f>
        <v>0</v>
      </c>
      <c r="E26" s="1040">
        <f>NSG_Supplies!I11/1000</f>
        <v>0</v>
      </c>
      <c r="F26" s="1036">
        <f>NSG_Supplies!I12/1000</f>
        <v>0</v>
      </c>
      <c r="G26" s="98"/>
    </row>
    <row r="27" spans="1:7">
      <c r="A27" s="98" t="s">
        <v>300</v>
      </c>
      <c r="B27" s="1040">
        <f>NSG_Supplies!J8/1000</f>
        <v>0</v>
      </c>
      <c r="C27" s="1040">
        <f>NSG_Supplies!J9/1000</f>
        <v>0</v>
      </c>
      <c r="D27" s="1040">
        <f>NSG_Supplies!J10/1000</f>
        <v>0</v>
      </c>
      <c r="E27" s="1040">
        <f>NSG_Supplies!J11/1000</f>
        <v>0</v>
      </c>
      <c r="F27" s="1036">
        <f>NSG_Supplies!J12/1000</f>
        <v>0</v>
      </c>
      <c r="G27" s="98"/>
    </row>
    <row r="28" spans="1:7">
      <c r="A28" s="98" t="s">
        <v>307</v>
      </c>
      <c r="B28" s="1040" t="s">
        <v>9</v>
      </c>
      <c r="C28" s="1040"/>
      <c r="D28" s="1040"/>
      <c r="E28" s="1040"/>
      <c r="F28" s="1036"/>
      <c r="G28" s="98"/>
    </row>
    <row r="29" spans="1:7">
      <c r="A29" s="99"/>
      <c r="B29" s="1037"/>
      <c r="C29" s="1037"/>
      <c r="D29" s="1037"/>
      <c r="E29" s="1037"/>
      <c r="F29" s="1038"/>
      <c r="G29" s="98"/>
    </row>
    <row r="30" spans="1:7">
      <c r="A30" s="98" t="s">
        <v>301</v>
      </c>
      <c r="B30" s="1040">
        <f>NSG_Requirements!P8/1000</f>
        <v>0</v>
      </c>
      <c r="C30" s="1040">
        <f>NSG_Requirements!P9/1000</f>
        <v>0</v>
      </c>
      <c r="D30" s="1040">
        <f>NSG_Requirements!P10/1000</f>
        <v>0</v>
      </c>
      <c r="E30" s="1040">
        <f>NSG_Requirements!P11/1000</f>
        <v>0</v>
      </c>
      <c r="F30" s="1036">
        <f>NSG_Supplies!J12/1000</f>
        <v>0</v>
      </c>
      <c r="G30" s="98"/>
    </row>
    <row r="31" spans="1:7">
      <c r="A31" s="98" t="s">
        <v>302</v>
      </c>
      <c r="B31" s="1040">
        <f>NSG_Requirements!R8/1000</f>
        <v>0</v>
      </c>
      <c r="C31" s="1040">
        <f>NSG_Requirements!R9/1000</f>
        <v>0</v>
      </c>
      <c r="D31" s="1040">
        <f>NSG_Requirements!R10/1000</f>
        <v>0</v>
      </c>
      <c r="E31" s="1040">
        <f>NSG_Requirements!R11/1000</f>
        <v>0</v>
      </c>
      <c r="F31" s="1036">
        <f>NSG_Supplies!L12/1000</f>
        <v>0</v>
      </c>
      <c r="G31" s="98"/>
    </row>
    <row r="32" spans="1:7">
      <c r="A32" s="98" t="s">
        <v>303</v>
      </c>
      <c r="B32" s="1040">
        <f>NSG_Requirements!Q8/1000</f>
        <v>0</v>
      </c>
      <c r="C32" s="1040">
        <f>NSG_Requirements!Q9/1000</f>
        <v>0</v>
      </c>
      <c r="D32" s="1040">
        <f>NSG_Requirements!Q10/1000</f>
        <v>0</v>
      </c>
      <c r="E32" s="1040">
        <f>NSG_Requirements!Q11/1000</f>
        <v>0</v>
      </c>
      <c r="F32" s="1036">
        <f>NSG_Requirements!Q12/1000</f>
        <v>0</v>
      </c>
      <c r="G32" s="98"/>
    </row>
    <row r="33" spans="1:7" ht="15.6" thickBot="1">
      <c r="A33" s="100" t="s">
        <v>308</v>
      </c>
      <c r="B33" s="1042">
        <f>NSG_Requirements!L8/1000</f>
        <v>0</v>
      </c>
      <c r="C33" s="1042">
        <f>NSG_Requirements!L9/1000</f>
        <v>0</v>
      </c>
      <c r="D33" s="1042">
        <f>NSG_Requirements!L10/1000</f>
        <v>0</v>
      </c>
      <c r="E33" s="1042">
        <f>NSG_Requirements!L11/1000</f>
        <v>0</v>
      </c>
      <c r="F33" s="1043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9" t="s">
        <v>764</v>
      </c>
      <c r="C1" s="1230">
        <f>Weather_Input!A6</f>
        <v>37113</v>
      </c>
      <c r="D1" s="1231" t="s">
        <v>765</v>
      </c>
      <c r="E1" s="1232"/>
      <c r="F1" s="1233"/>
      <c r="G1" s="421"/>
      <c r="H1" s="421"/>
      <c r="I1" s="985"/>
    </row>
    <row r="2" spans="1:11" ht="15.75" customHeight="1" thickBot="1">
      <c r="A2" s="424"/>
      <c r="B2" s="1234" t="s">
        <v>766</v>
      </c>
      <c r="E2" s="158"/>
      <c r="I2" s="158"/>
    </row>
    <row r="3" spans="1:11" ht="15.75" customHeight="1" thickTop="1">
      <c r="B3" s="169" t="s">
        <v>103</v>
      </c>
      <c r="C3" s="1235">
        <f>NSG_Supplies!P8/1000</f>
        <v>7</v>
      </c>
      <c r="E3" s="158"/>
      <c r="F3" s="1236" t="s">
        <v>154</v>
      </c>
      <c r="G3" s="764"/>
      <c r="H3" s="1237" t="s">
        <v>767</v>
      </c>
      <c r="I3" s="1238" t="s">
        <v>768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5">
        <f>NSG_Supplies!E8/1000</f>
        <v>0</v>
      </c>
      <c r="D4" s="132">
        <f>NSG_Requirements!J8/1000</f>
        <v>7</v>
      </c>
      <c r="E4" s="1239"/>
      <c r="F4" s="169" t="s">
        <v>769</v>
      </c>
      <c r="G4" s="60"/>
      <c r="H4" s="151">
        <f>PGL_Requirements!O8/1000</f>
        <v>145</v>
      </c>
      <c r="I4" s="173">
        <f>AVERAGE(H4/1.025)</f>
        <v>141.46341463414635</v>
      </c>
      <c r="J4" t="s">
        <v>9</v>
      </c>
    </row>
    <row r="5" spans="1:11" ht="15.75" customHeight="1" thickTop="1" thickBot="1">
      <c r="B5" s="1240" t="s">
        <v>770</v>
      </c>
      <c r="C5" s="1241">
        <f>C3+C4-D4</f>
        <v>0</v>
      </c>
      <c r="D5" s="427"/>
      <c r="E5" s="1242">
        <f>AVERAGE(C5/24)</f>
        <v>0</v>
      </c>
      <c r="F5" s="167" t="s">
        <v>416</v>
      </c>
      <c r="G5" s="205">
        <f>PGL_Supplies!L8/1000</f>
        <v>0</v>
      </c>
      <c r="H5" s="165"/>
      <c r="I5" s="1243">
        <f>AVERAGE(G5/1.025)</f>
        <v>0</v>
      </c>
      <c r="K5" t="s">
        <v>9</v>
      </c>
    </row>
    <row r="6" spans="1:11" ht="15.75" customHeight="1" thickTop="1" thickBot="1">
      <c r="B6" s="1244" t="s">
        <v>771</v>
      </c>
      <c r="C6" s="1245"/>
      <c r="D6" s="119"/>
      <c r="E6" s="1246"/>
      <c r="F6" t="s">
        <v>772</v>
      </c>
      <c r="G6" s="1245">
        <f>AVERAGE(H4/24)</f>
        <v>6.041666666666667</v>
      </c>
      <c r="H6" s="421"/>
      <c r="I6" s="985"/>
    </row>
    <row r="7" spans="1:11" ht="15.75" customHeight="1">
      <c r="B7" s="169" t="s">
        <v>773</v>
      </c>
      <c r="C7" s="151">
        <f>NSG_Supplies!K8/1000</f>
        <v>0</v>
      </c>
      <c r="D7" s="60"/>
      <c r="E7" s="1247"/>
      <c r="F7" s="1234" t="s">
        <v>774</v>
      </c>
      <c r="G7" s="1248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7"/>
      <c r="F8" s="169" t="s">
        <v>775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776</v>
      </c>
      <c r="C9" s="151">
        <f>NSG_Requirements!B8/1000</f>
        <v>0</v>
      </c>
      <c r="D9" s="60"/>
      <c r="E9" s="1247"/>
      <c r="F9" s="1" t="s">
        <v>777</v>
      </c>
      <c r="G9" s="151">
        <f>PGL_Supplies!T8/1000</f>
        <v>0</v>
      </c>
      <c r="I9" s="158"/>
    </row>
    <row r="10" spans="1:11" ht="15.75" customHeight="1" thickTop="1" thickBot="1">
      <c r="B10" s="1240" t="s">
        <v>778</v>
      </c>
      <c r="C10" s="1241">
        <f>C7+C8-C9</f>
        <v>0</v>
      </c>
      <c r="D10" s="427"/>
      <c r="E10" s="1242">
        <f>AVERAGE(C10/24)</f>
        <v>0</v>
      </c>
      <c r="F10" s="169" t="s">
        <v>413</v>
      </c>
      <c r="G10" s="151">
        <f>PGL_Supplies!AA8/1000</f>
        <v>208.108</v>
      </c>
      <c r="H10" s="151" t="s">
        <v>9</v>
      </c>
      <c r="I10" s="158"/>
    </row>
    <row r="11" spans="1:11" ht="15.75" customHeight="1" thickTop="1">
      <c r="A11" t="s">
        <v>9</v>
      </c>
      <c r="B11" s="1249" t="s">
        <v>661</v>
      </c>
      <c r="C11" s="151">
        <f>PGL_Supplies!X8/1000</f>
        <v>91.820999999999998</v>
      </c>
      <c r="D11" s="764"/>
      <c r="E11" s="1250"/>
      <c r="F11" s="1251" t="s">
        <v>779</v>
      </c>
      <c r="G11" s="1252">
        <f>G8+G10</f>
        <v>223.108</v>
      </c>
      <c r="H11" s="425"/>
      <c r="I11" s="426"/>
    </row>
    <row r="12" spans="1:11" ht="15.75" customHeight="1">
      <c r="B12" s="240" t="s">
        <v>780</v>
      </c>
      <c r="C12" s="151">
        <v>0</v>
      </c>
      <c r="D12" s="119"/>
      <c r="E12" s="158"/>
      <c r="F12" s="170" t="s">
        <v>781</v>
      </c>
      <c r="G12" s="151">
        <f>PGL_Supplies!D8/1000</f>
        <v>0</v>
      </c>
      <c r="H12" s="60"/>
      <c r="I12" s="1247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3" t="s">
        <v>783</v>
      </c>
      <c r="C14" s="1241">
        <f>C11-D13</f>
        <v>91.820999999999998</v>
      </c>
      <c r="D14" s="427"/>
      <c r="E14" s="1242">
        <f>AVERAGE(C14/24)</f>
        <v>3.8258749999999999</v>
      </c>
      <c r="F14" s="1254" t="s">
        <v>784</v>
      </c>
      <c r="G14" s="1241">
        <v>0</v>
      </c>
      <c r="H14" s="427"/>
      <c r="I14" s="1242">
        <f>AVERAGE(G14/24)</f>
        <v>0</v>
      </c>
    </row>
    <row r="15" spans="1:11" ht="15.75" customHeight="1" thickTop="1" thickBot="1">
      <c r="B15" s="169" t="s">
        <v>785</v>
      </c>
      <c r="C15" s="151">
        <f>PGL_Supplies!Y8/1000</f>
        <v>35.417999999999999</v>
      </c>
      <c r="D15" s="60"/>
      <c r="E15" s="158"/>
      <c r="F15" s="1254" t="s">
        <v>786</v>
      </c>
      <c r="G15" s="1252">
        <f>SUM(G11)-G16-G17-H13</f>
        <v>96.057999999999993</v>
      </c>
      <c r="H15" s="427" t="s">
        <v>9</v>
      </c>
      <c r="I15" s="1242">
        <f>AVERAGE(G15/24)</f>
        <v>4.0024166666666661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35.417999999999999</v>
      </c>
      <c r="E16" s="158"/>
      <c r="F16" s="1254" t="s">
        <v>787</v>
      </c>
      <c r="G16" s="1241">
        <f>PGL_Requirements!G8/1000</f>
        <v>77.05</v>
      </c>
      <c r="H16" s="1241" t="s">
        <v>9</v>
      </c>
      <c r="I16" s="1242">
        <f>AVERAGE(G16/24)</f>
        <v>3.2104166666666667</v>
      </c>
    </row>
    <row r="17" spans="1:9" ht="15.75" customHeight="1" thickTop="1" thickBot="1">
      <c r="B17" s="1251" t="s">
        <v>779</v>
      </c>
      <c r="C17" s="1252">
        <f>SUM(C15:C16)-SUM(D15:D16)</f>
        <v>0</v>
      </c>
      <c r="D17" s="425"/>
      <c r="E17" s="426"/>
      <c r="F17" s="1255" t="s">
        <v>788</v>
      </c>
      <c r="G17" s="1241">
        <f>PGL_Requirements!J8/1000</f>
        <v>50</v>
      </c>
      <c r="H17" s="1256"/>
      <c r="I17" s="1257">
        <f>AVERAGE(G17/24)</f>
        <v>2.0833333333333335</v>
      </c>
    </row>
    <row r="18" spans="1:9" ht="15.75" customHeight="1">
      <c r="B18" s="1258"/>
      <c r="C18" s="1259"/>
      <c r="D18" s="612"/>
      <c r="E18" s="1260"/>
      <c r="F18" s="1261" t="s">
        <v>789</v>
      </c>
      <c r="G18" s="60" t="s">
        <v>9</v>
      </c>
      <c r="H18" s="60"/>
      <c r="I18" s="158"/>
    </row>
    <row r="19" spans="1:9" ht="15.75" customHeight="1" thickBot="1">
      <c r="B19" s="1258"/>
      <c r="C19" s="612"/>
      <c r="D19" s="1259"/>
      <c r="E19" s="1260"/>
      <c r="F19" s="167" t="s">
        <v>790</v>
      </c>
      <c r="G19" s="165"/>
      <c r="H19" s="205">
        <v>0</v>
      </c>
      <c r="I19" s="429"/>
    </row>
    <row r="20" spans="1:9" ht="15.75" customHeight="1" thickTop="1" thickBot="1">
      <c r="B20" s="1240" t="s">
        <v>791</v>
      </c>
      <c r="C20" s="1241">
        <f>C17+C18-D19</f>
        <v>0</v>
      </c>
      <c r="D20" s="1262" t="s">
        <v>9</v>
      </c>
      <c r="E20" s="1242">
        <f>AVERAGE(C20/24)</f>
        <v>0</v>
      </c>
      <c r="F20" s="1263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792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12.499000000000001</v>
      </c>
      <c r="H21" s="151" t="s">
        <v>9</v>
      </c>
      <c r="I21" s="158"/>
    </row>
    <row r="22" spans="1:9" ht="15.75" customHeight="1">
      <c r="B22" s="1251" t="s">
        <v>779</v>
      </c>
      <c r="C22" s="1252">
        <f>SUM(C21:C21)-SUM(D21)</f>
        <v>0</v>
      </c>
      <c r="D22" s="425"/>
      <c r="E22" s="426"/>
      <c r="F22" s="1251" t="s">
        <v>779</v>
      </c>
      <c r="G22" s="1252">
        <f>G21</f>
        <v>12.499000000000001</v>
      </c>
      <c r="H22" s="425"/>
      <c r="I22" s="426"/>
    </row>
    <row r="23" spans="1:9" ht="15.75" customHeight="1">
      <c r="B23" s="169" t="s">
        <v>793</v>
      </c>
      <c r="C23" s="151">
        <f>PGL_Supplies!C8/1000</f>
        <v>0</v>
      </c>
      <c r="D23" s="60"/>
      <c r="E23" s="158"/>
      <c r="F23" s="169" t="s">
        <v>794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795</v>
      </c>
      <c r="C24" s="60">
        <v>0</v>
      </c>
      <c r="D24" s="151">
        <f>PGL_Requirements!C8/1000</f>
        <v>0</v>
      </c>
      <c r="E24" s="158"/>
      <c r="F24" s="169" t="s">
        <v>796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0" t="s">
        <v>797</v>
      </c>
      <c r="C25" s="1241">
        <f>C22+C23-D24</f>
        <v>0</v>
      </c>
      <c r="D25" s="427"/>
      <c r="E25" s="1242">
        <f>AVERAGE(C25/24)</f>
        <v>0</v>
      </c>
      <c r="F25" s="534" t="s">
        <v>798</v>
      </c>
      <c r="G25" s="866">
        <f>G22+G23-H24+G20</f>
        <v>12.499000000000001</v>
      </c>
      <c r="H25" s="421"/>
      <c r="I25" s="1264">
        <f>AVERAGE(G25/24)</f>
        <v>0.52079166666666665</v>
      </c>
    </row>
    <row r="26" spans="1:9" ht="15.75" customHeight="1" thickTop="1">
      <c r="B26" t="s">
        <v>799</v>
      </c>
    </row>
    <row r="27" spans="1:9" ht="15.75" customHeight="1">
      <c r="B27" t="s">
        <v>800</v>
      </c>
    </row>
    <row r="28" spans="1:9" ht="15.75" customHeight="1">
      <c r="A28" t="s">
        <v>9</v>
      </c>
      <c r="B28" s="1" t="s">
        <v>818</v>
      </c>
      <c r="C28" s="193" t="s">
        <v>819</v>
      </c>
      <c r="D28" s="193" t="s">
        <v>820</v>
      </c>
      <c r="E28" t="s">
        <v>821</v>
      </c>
      <c r="F28" s="103"/>
    </row>
    <row r="29" spans="1:9" ht="15.75" customHeight="1">
      <c r="B29" s="1" t="s">
        <v>822</v>
      </c>
      <c r="C29" s="193" t="s">
        <v>819</v>
      </c>
      <c r="D29" s="193" t="s">
        <v>820</v>
      </c>
      <c r="E29" t="s">
        <v>821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3" customWidth="1"/>
    <col min="2" max="2" width="8.08984375" style="953" customWidth="1"/>
    <col min="3" max="3" width="7.90625" style="953" customWidth="1"/>
    <col min="4" max="4" width="5.90625" style="953" customWidth="1"/>
    <col min="5" max="5" width="4.453125" style="953" customWidth="1"/>
    <col min="6" max="6" width="5.1796875" style="953" customWidth="1"/>
    <col min="7" max="7" width="9" style="953" customWidth="1"/>
    <col min="8" max="11" width="8.90625" style="953"/>
    <col min="12" max="12" width="14.90625" style="953" customWidth="1"/>
    <col min="13" max="13" width="5.6328125" style="953" customWidth="1"/>
    <col min="14" max="16384" width="8.90625" style="953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1" t="s">
        <v>309</v>
      </c>
      <c r="H1" s="952">
        <f>Weather_Input!A6</f>
        <v>37113</v>
      </c>
      <c r="I1" s="887"/>
      <c r="J1" s="889"/>
      <c r="K1" s="889"/>
    </row>
    <row r="2" spans="1:22" ht="16.5" customHeight="1">
      <c r="A2" s="907" t="s">
        <v>606</v>
      </c>
      <c r="C2" s="954">
        <v>335</v>
      </c>
      <c r="F2" s="955">
        <v>340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6">
        <f>PGL_Supplies!I8/1000</f>
        <v>0</v>
      </c>
      <c r="C3" s="953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7">
        <f>PGL_Supplies!J7/1000</f>
        <v>0</v>
      </c>
      <c r="B5" s="958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20</v>
      </c>
      <c r="H9" s="909">
        <f>NSG_Supplies!Q8/1000+NSG_Supplies!F8/1000-NSG_Requirements!H8/1000</f>
        <v>31.001000000000001</v>
      </c>
      <c r="I9" s="959"/>
      <c r="K9" s="887" t="s">
        <v>610</v>
      </c>
      <c r="L9" s="909">
        <f>NSG_Deliveries!C6/1000</f>
        <v>31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0</v>
      </c>
      <c r="B11" s="959"/>
      <c r="H11" s="909">
        <f>NSG_Supplies!T8/1000</f>
        <v>0</v>
      </c>
      <c r="K11" s="890" t="s">
        <v>611</v>
      </c>
      <c r="L11" s="915">
        <f>SUM(K4+K17+K19+H11+H9-L9)</f>
        <v>1.0000000000012221E-3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7">
        <f>PGL_Supplies!X8/1000</f>
        <v>91.820999999999998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3" t="s">
        <v>9</v>
      </c>
      <c r="C15" s="960">
        <v>340</v>
      </c>
      <c r="D15" s="953">
        <v>410</v>
      </c>
      <c r="F15" s="960">
        <v>340</v>
      </c>
      <c r="H15" s="915"/>
      <c r="U15" s="899"/>
      <c r="V15" s="915"/>
    </row>
    <row r="16" spans="1:22" ht="42.75" customHeight="1">
      <c r="A16" s="900"/>
      <c r="B16" s="915"/>
      <c r="C16" s="961"/>
      <c r="D16" s="962"/>
      <c r="E16" s="962"/>
      <c r="F16" s="961"/>
    </row>
    <row r="17" spans="1:17" ht="38.25" customHeight="1">
      <c r="B17" s="962"/>
      <c r="C17" s="962"/>
      <c r="D17" s="963"/>
      <c r="E17" s="962"/>
      <c r="F17" s="962"/>
      <c r="G17" s="962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60">
        <v>568</v>
      </c>
      <c r="D18" s="962"/>
      <c r="E18" s="962"/>
      <c r="F18" s="955">
        <v>806</v>
      </c>
    </row>
    <row r="19" spans="1:17">
      <c r="A19" s="896" t="s">
        <v>577</v>
      </c>
      <c r="C19" s="953" t="s">
        <v>9</v>
      </c>
      <c r="J19" s="887" t="s">
        <v>605</v>
      </c>
      <c r="K19" s="909"/>
      <c r="N19" s="965"/>
    </row>
    <row r="20" spans="1:17" ht="17.25" customHeight="1">
      <c r="A20" s="909">
        <f>Billy_Sheet!G15</f>
        <v>96.057999999999993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6"/>
    </row>
    <row r="24" spans="1:17" ht="9" customHeight="1">
      <c r="G24" s="909">
        <f>PGL_Requirements!J7/1000</f>
        <v>94.364999999999995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12.499000000000001</v>
      </c>
      <c r="B26" s="889"/>
      <c r="C26" s="890"/>
      <c r="D26" s="890"/>
      <c r="F26" s="890"/>
      <c r="G26" s="964">
        <v>0</v>
      </c>
      <c r="H26" s="890"/>
      <c r="I26" s="890"/>
      <c r="J26" s="890" t="s">
        <v>518</v>
      </c>
      <c r="K26" s="967">
        <f>PGL_Deliveries!C6/1000</f>
        <v>185</v>
      </c>
      <c r="L26" s="887" t="s">
        <v>610</v>
      </c>
      <c r="M26" s="909">
        <f>NSG_Deliveries!C6/1000</f>
        <v>31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-0.67200000000002547</v>
      </c>
      <c r="L28" s="890" t="s">
        <v>650</v>
      </c>
      <c r="M28" s="915">
        <f>SUM(J2+K17+K19+H11+H9-M26)</f>
        <v>7.0010000000000048</v>
      </c>
      <c r="N28" s="915"/>
    </row>
    <row r="29" spans="1:17">
      <c r="A29" s="909">
        <f>PGL_Supplies!L8/1000</f>
        <v>0</v>
      </c>
      <c r="B29" s="909"/>
      <c r="C29" s="890"/>
      <c r="D29" s="968"/>
      <c r="F29" s="1007">
        <f>PGL_Requirements!A7</f>
        <v>37112</v>
      </c>
      <c r="G29" s="909">
        <f>PGL_Requirements!G7/1000</f>
        <v>198.21799999999999</v>
      </c>
      <c r="H29" s="888"/>
      <c r="J29" s="890" t="s">
        <v>614</v>
      </c>
      <c r="K29" s="909">
        <f>PGL_Supplies!AB8/1000+PGL_Supplies!K8/1000-PGL_Requirements!N8/1000</f>
        <v>42.868000000000002</v>
      </c>
    </row>
    <row r="30" spans="1:17" ht="10.5" customHeight="1">
      <c r="A30" s="892"/>
      <c r="B30" s="909"/>
      <c r="C30" s="890"/>
      <c r="D30" s="909"/>
      <c r="F30" s="1007">
        <f>PGL_Requirements!A8</f>
        <v>37113</v>
      </c>
      <c r="G30" s="909">
        <f>PGL_Requirements!G8/1000</f>
        <v>77.05</v>
      </c>
    </row>
    <row r="31" spans="1:17" ht="17.25" customHeight="1">
      <c r="A31" s="898" t="s">
        <v>583</v>
      </c>
      <c r="B31" s="969"/>
      <c r="C31" s="893"/>
      <c r="D31" s="915"/>
      <c r="G31" s="899" t="s">
        <v>584</v>
      </c>
      <c r="H31" s="915"/>
      <c r="J31" s="890" t="s">
        <v>611</v>
      </c>
      <c r="K31" s="915">
        <f>SUM(K28+K29-K26)</f>
        <v>-142.80400000000003</v>
      </c>
    </row>
    <row r="32" spans="1:17">
      <c r="A32" s="909">
        <f>PGL_Supplies!G8/1000</f>
        <v>1</v>
      </c>
      <c r="G32" s="909">
        <f>PGL_Requirements!O8/1000</f>
        <v>145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4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60">
        <v>570</v>
      </c>
      <c r="F38" s="960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221.37799999999999</v>
      </c>
      <c r="B40" s="903"/>
      <c r="C40" s="902"/>
      <c r="D40" s="903"/>
      <c r="E40" s="903"/>
      <c r="F40" s="970"/>
      <c r="G40" s="970">
        <f>SUM(G30:G35)</f>
        <v>222.05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-0.67200000000002547</v>
      </c>
      <c r="B42" s="909"/>
      <c r="C42" s="903"/>
      <c r="D42" s="903"/>
      <c r="E42" s="903"/>
      <c r="F42" s="912"/>
      <c r="G42" s="914" t="s">
        <v>607</v>
      </c>
      <c r="H42" s="971"/>
      <c r="I42" s="972"/>
      <c r="J42" s="971"/>
      <c r="K42" s="962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3">
        <v>250</v>
      </c>
      <c r="C45" s="973">
        <v>410</v>
      </c>
      <c r="D45" s="974">
        <f>SUM(F2+F15)/2</f>
        <v>340</v>
      </c>
      <c r="E45" s="975"/>
      <c r="F45" s="976">
        <v>6.7000000000000004E-2</v>
      </c>
      <c r="G45" s="977">
        <f>(C45-D45)*F45</f>
        <v>4.6900000000000004</v>
      </c>
      <c r="H45" s="977">
        <f>(D45-B45)*F45</f>
        <v>6.03</v>
      </c>
      <c r="I45" s="909"/>
      <c r="J45" s="978"/>
    </row>
    <row r="46" spans="1:11">
      <c r="A46" s="889" t="s">
        <v>591</v>
      </c>
      <c r="B46" s="979">
        <v>797</v>
      </c>
      <c r="C46" s="973">
        <v>797</v>
      </c>
      <c r="D46" s="974">
        <v>797</v>
      </c>
      <c r="E46" s="975"/>
      <c r="F46" s="976">
        <v>0.13900000000000001</v>
      </c>
      <c r="G46" s="977">
        <f>(C46-D46)*F46</f>
        <v>0</v>
      </c>
      <c r="H46" s="977">
        <f>(D46-B46)*F46</f>
        <v>0</v>
      </c>
      <c r="I46" s="909"/>
    </row>
    <row r="47" spans="1:11">
      <c r="A47" s="889" t="s">
        <v>592</v>
      </c>
      <c r="B47" s="979">
        <v>250</v>
      </c>
      <c r="C47" s="973">
        <v>410</v>
      </c>
      <c r="D47" s="974">
        <f>SUM(C2+C15)/2</f>
        <v>337.5</v>
      </c>
      <c r="E47" s="975"/>
      <c r="F47" s="976">
        <v>0.14099999999999999</v>
      </c>
      <c r="G47" s="977">
        <f>(C47-D47)*F47</f>
        <v>10.222499999999998</v>
      </c>
      <c r="H47" s="977">
        <f>(D47-B47)*F47</f>
        <v>12.337499999999999</v>
      </c>
      <c r="I47" s="909"/>
    </row>
    <row r="48" spans="1:11">
      <c r="A48" s="889" t="s">
        <v>593</v>
      </c>
      <c r="B48" s="979">
        <v>285</v>
      </c>
      <c r="C48" s="973">
        <v>750</v>
      </c>
      <c r="D48" s="974">
        <f>SUM(C18+C38)/2</f>
        <v>569</v>
      </c>
      <c r="E48" s="975"/>
      <c r="F48" s="976">
        <v>0.161</v>
      </c>
      <c r="G48" s="977">
        <f>(C48-D48)*F48</f>
        <v>29.141000000000002</v>
      </c>
      <c r="H48" s="977">
        <f>(D48-B48)*F48</f>
        <v>45.724000000000004</v>
      </c>
    </row>
    <row r="49" spans="1:8">
      <c r="B49" s="959"/>
      <c r="C49" s="959"/>
      <c r="D49" s="959"/>
      <c r="E49" s="959"/>
      <c r="F49" s="913" t="s">
        <v>338</v>
      </c>
      <c r="G49" s="977">
        <f>SUM(G45:G48)</f>
        <v>44.0535</v>
      </c>
      <c r="H49" s="977">
        <f>SUM(H45:H48)</f>
        <v>64.091499999999996</v>
      </c>
    </row>
    <row r="55" spans="1:8">
      <c r="A55" s="980"/>
      <c r="G55" s="98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A5" sqref="A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37112</v>
      </c>
      <c r="B5" s="11">
        <v>94</v>
      </c>
      <c r="C5" s="49">
        <v>67</v>
      </c>
      <c r="D5" s="49">
        <v>9.4</v>
      </c>
      <c r="E5" s="11">
        <v>80.2</v>
      </c>
      <c r="F5" s="11">
        <v>0</v>
      </c>
      <c r="G5" s="11">
        <v>93</v>
      </c>
      <c r="H5" s="11">
        <v>0</v>
      </c>
      <c r="I5" s="867" t="s">
        <v>816</v>
      </c>
      <c r="J5" s="867" t="s">
        <v>817</v>
      </c>
      <c r="K5" s="11">
        <v>1</v>
      </c>
      <c r="L5" s="11">
        <v>1</v>
      </c>
      <c r="N5" s="15" t="str">
        <f>I5&amp;" "&amp;I5</f>
        <v xml:space="preserve"> PARTLY SUNNY…HOT AND HUMID.   CHANCE  OF AFTERNOON T-STORMS  PARTLY SUNNY…HOT AND HUMID.   CHANCE  OF AFTERNOON T-STORMS</v>
      </c>
      <c r="AE5" s="15">
        <v>1</v>
      </c>
      <c r="AH5" s="15" t="s">
        <v>32</v>
      </c>
    </row>
    <row r="6" spans="1:34" ht="16.5" customHeight="1">
      <c r="A6" s="86">
        <f>A5+1</f>
        <v>37113</v>
      </c>
      <c r="B6" s="11">
        <v>78</v>
      </c>
      <c r="C6" s="49">
        <v>58</v>
      </c>
      <c r="D6" s="49">
        <v>9.5</v>
      </c>
      <c r="E6" s="11" t="s">
        <v>9</v>
      </c>
      <c r="F6" s="11" t="s">
        <v>9</v>
      </c>
      <c r="G6" s="11"/>
      <c r="H6" s="11" t="s">
        <v>9</v>
      </c>
      <c r="I6" s="867" t="s">
        <v>827</v>
      </c>
      <c r="J6" s="867" t="s">
        <v>823</v>
      </c>
      <c r="K6" s="11">
        <v>1</v>
      </c>
      <c r="L6" s="11" t="s">
        <v>558</v>
      </c>
      <c r="N6" s="15" t="str">
        <f>I6&amp;" "&amp;J6</f>
        <v xml:space="preserve">  MOSTLY  SUNNY…COOLER AND  LESS HUMID.  WIND  NE  10 TO 20.    TONIGHT  CLEAR  AND  COOL  WITH  LIGHT  WINDS.</v>
      </c>
      <c r="AE6" s="15">
        <v>1</v>
      </c>
      <c r="AH6" s="15" t="s">
        <v>33</v>
      </c>
    </row>
    <row r="7" spans="1:34" ht="16.5" customHeight="1">
      <c r="A7" s="86">
        <f>A6+1</f>
        <v>37114</v>
      </c>
      <c r="B7" s="11">
        <v>79</v>
      </c>
      <c r="C7" s="49">
        <v>61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PARTLY  SUNNY  AND  PLEASANT  </v>
      </c>
    </row>
    <row r="8" spans="1:34" ht="16.5" customHeight="1">
      <c r="A8" s="86">
        <f>A7+1</f>
        <v>37115</v>
      </c>
      <c r="B8" s="11">
        <v>81</v>
      </c>
      <c r="C8" s="49">
        <v>65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826</v>
      </c>
      <c r="J8" s="867" t="s">
        <v>9</v>
      </c>
      <c r="K8" s="11">
        <v>3</v>
      </c>
      <c r="L8" s="11"/>
      <c r="N8" s="15" t="str">
        <f>I8&amp;" "&amp;J8</f>
        <v xml:space="preserve">  PARTLY CLOUDY  </v>
      </c>
    </row>
    <row r="9" spans="1:34" ht="16.5" customHeight="1">
      <c r="A9" s="86">
        <f>A8+1</f>
        <v>37116</v>
      </c>
      <c r="B9" s="11">
        <v>78</v>
      </c>
      <c r="C9" s="49">
        <v>60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825</v>
      </c>
      <c r="J9" s="867" t="s">
        <v>9</v>
      </c>
      <c r="K9" s="11">
        <v>1</v>
      </c>
      <c r="L9" s="11">
        <v>0</v>
      </c>
      <c r="M9" s="87"/>
      <c r="N9" s="15" t="str">
        <f>I9&amp;" "&amp;J9</f>
        <v xml:space="preserve">  SUNNY  </v>
      </c>
    </row>
    <row r="10" spans="1:34" ht="16.5" customHeight="1">
      <c r="A10" s="86">
        <f>A9+1</f>
        <v>37117</v>
      </c>
      <c r="B10" s="11">
        <v>80</v>
      </c>
      <c r="C10" s="49">
        <v>65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1</v>
      </c>
      <c r="L10" s="11" t="s">
        <v>382</v>
      </c>
      <c r="N10" s="15" t="str">
        <f>I10&amp;" "&amp;J10</f>
        <v xml:space="preserve">  SUNNY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207.34200000000001</v>
      </c>
      <c r="C2" s="60"/>
      <c r="D2" s="118" t="s">
        <v>309</v>
      </c>
      <c r="E2" s="417">
        <f>Weather_Input!A5</f>
        <v>37112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20" t="s">
        <v>674</v>
      </c>
      <c r="E3" s="7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27.1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91.567999999999998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118.66800000000001</v>
      </c>
      <c r="C7" s="166"/>
      <c r="D7" s="59" t="s">
        <v>520</v>
      </c>
      <c r="E7" s="151">
        <f>PGL_Deliveries!P5/1000</f>
        <v>1E-3</v>
      </c>
      <c r="F7" s="168"/>
      <c r="H7"/>
      <c r="I7"/>
      <c r="J7"/>
      <c r="K7"/>
      <c r="L7"/>
      <c r="M7"/>
    </row>
    <row r="8" spans="1:13" ht="15">
      <c r="A8" s="430" t="s">
        <v>812</v>
      </c>
      <c r="B8" s="775"/>
      <c r="C8" s="613"/>
      <c r="D8" s="59" t="s">
        <v>521</v>
      </c>
      <c r="E8" s="151">
        <f>PGL_Deliveries!Q5/1000</f>
        <v>0.70599999999999996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86.323999999999998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3.7349999999999999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0.41699999999999998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15.875999999999999</v>
      </c>
      <c r="C12" s="63"/>
      <c r="D12" s="115" t="s">
        <v>198</v>
      </c>
      <c r="E12" s="151">
        <f>PGL_Deliveries!T5/1000</f>
        <v>4.2679999999999998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1.385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335.39200000000005</v>
      </c>
      <c r="C14" s="63"/>
      <c r="D14" s="115" t="s">
        <v>202</v>
      </c>
      <c r="E14" s="151">
        <f>PGL_Deliveries!G5/1000</f>
        <v>8.6790000000000003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43.768000000000001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-57.253</v>
      </c>
      <c r="C16" s="63"/>
      <c r="D16" s="115" t="s">
        <v>205</v>
      </c>
      <c r="E16" s="151">
        <f>PGL_Deliveries!H5/1000</f>
        <v>68.155000000000001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12.856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3.0000000000000001E-3</v>
      </c>
      <c r="F18" s="168"/>
      <c r="H18"/>
      <c r="I18"/>
      <c r="J18"/>
      <c r="K18"/>
      <c r="L18"/>
      <c r="M18"/>
    </row>
    <row r="19" spans="1:13" ht="15">
      <c r="A19" s="169" t="s">
        <v>813</v>
      </c>
      <c r="B19" s="60"/>
      <c r="C19" s="151">
        <f>PGL_Deliveries!AC5/1000</f>
        <v>94.364999999999995</v>
      </c>
      <c r="D19" s="226" t="s">
        <v>207</v>
      </c>
      <c r="E19" s="151">
        <f>PGL_Deliveries!M5/1000</f>
        <v>1.325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198.21799999999999</v>
      </c>
      <c r="D20" s="1274" t="s">
        <v>814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9" t="s">
        <v>529</v>
      </c>
      <c r="B21" s="866">
        <f>SUM(B9:B20)-C17-C19-C20</f>
        <v>118.66800000000003</v>
      </c>
      <c r="C21" s="1270"/>
      <c r="D21" s="175" t="s">
        <v>530</v>
      </c>
      <c r="E21" s="174">
        <f>SUM(E7:E20)</f>
        <v>88.674000000000007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85.911000000000001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32.508650000000003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71" t="s">
        <v>531</v>
      </c>
      <c r="E24" s="220">
        <f>SUM(E21:E23)</f>
        <v>121.18265000000001</v>
      </c>
      <c r="F24" s="1272"/>
      <c r="H24"/>
      <c r="I24"/>
      <c r="J24"/>
      <c r="K24"/>
      <c r="L24"/>
      <c r="M24"/>
    </row>
    <row r="25" spans="1:13" ht="15">
      <c r="A25" s="172" t="s">
        <v>338</v>
      </c>
      <c r="B25" s="1022">
        <f>+B22+B23-C24</f>
        <v>85.911000000000001</v>
      </c>
      <c r="C25" s="1019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0.41799999999999998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0.41799999999999998</v>
      </c>
      <c r="D27" s="242" t="s">
        <v>538</v>
      </c>
      <c r="E27" s="60" t="s">
        <v>9</v>
      </c>
      <c r="F27" s="173">
        <f>PGL_Deliveries!AS5/1000</f>
        <v>0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72.838999999999999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48.344000000000001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2">
        <v>0</v>
      </c>
      <c r="C31" s="1019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6">
        <f>PGL_Supplies!AC7/1000</f>
        <v>42.499000000000002</v>
      </c>
      <c r="C32" s="63"/>
      <c r="D32" s="1273" t="s">
        <v>209</v>
      </c>
      <c r="E32" s="220">
        <f>SUM(E25:E31)-SUM(F26:F31)-E29</f>
        <v>121.18299999999999</v>
      </c>
      <c r="F32" s="1270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43.768000000000001</v>
      </c>
      <c r="C36" s="63"/>
      <c r="D36" s="757" t="s">
        <v>546</v>
      </c>
      <c r="E36" s="775"/>
      <c r="F36" s="173">
        <f>PGL_Requirements!J7/1000</f>
        <v>94.364999999999995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255.357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89.11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49.097999999999999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1.0449999999999999</v>
      </c>
      <c r="C42" s="63"/>
      <c r="D42" s="72" t="s">
        <v>745</v>
      </c>
      <c r="E42" s="60"/>
      <c r="F42" s="173">
        <f>PGL_Deliveries!BG5/1000</f>
        <v>198.21799999999999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746</v>
      </c>
      <c r="E43" s="67"/>
      <c r="F43" s="1204">
        <f>PGL_Deliveries!BH5/1000</f>
        <v>94.364999999999995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31.172000000000001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747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94</v>
      </c>
      <c r="F45" s="1117"/>
    </row>
    <row r="46" spans="1:13" ht="15">
      <c r="A46" s="169" t="s">
        <v>548</v>
      </c>
      <c r="B46" s="151">
        <f>PGL_Deliveries!AY5/1000</f>
        <v>1.3366499999999999</v>
      </c>
      <c r="C46" s="63"/>
      <c r="D46" s="169" t="s">
        <v>550</v>
      </c>
      <c r="E46" s="230">
        <f>Weather_Input!C5</f>
        <v>67</v>
      </c>
      <c r="F46" s="158"/>
    </row>
    <row r="47" spans="1:13" ht="15">
      <c r="A47" s="172" t="s">
        <v>655</v>
      </c>
      <c r="B47" s="67"/>
      <c r="C47" s="1204">
        <f>PGL_Requirements!Q7/1000</f>
        <v>0.36</v>
      </c>
      <c r="D47" s="170" t="s">
        <v>551</v>
      </c>
      <c r="E47" s="60">
        <f>Weather_Input!E5</f>
        <v>80.2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9.4</v>
      </c>
      <c r="F48" s="158"/>
    </row>
    <row r="49" spans="1:6" ht="15">
      <c r="A49" s="169" t="s">
        <v>683</v>
      </c>
      <c r="B49" s="151">
        <f>PGL_Deliveries!AL5/1000</f>
        <v>15.875999999999999</v>
      </c>
      <c r="C49" s="158"/>
      <c r="D49" s="169" t="s">
        <v>553</v>
      </c>
      <c r="E49" s="151">
        <f>PGL_Deliveries!AO5/1000</f>
        <v>1.02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3" t="s">
        <v>4</v>
      </c>
      <c r="B3" s="235">
        <f>NSG_Deliveries!H5/1000</f>
        <v>31.756</v>
      </c>
      <c r="C3" s="117"/>
      <c r="D3" s="222" t="s">
        <v>309</v>
      </c>
      <c r="E3" s="420">
        <f>Weather_Input!A5</f>
        <v>37112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31.756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31.756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8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50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24.893999999999998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6.8620000000000001</v>
      </c>
      <c r="C16" s="949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4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4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4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4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31.756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801</v>
      </c>
      <c r="E4" t="s">
        <v>805</v>
      </c>
      <c r="G4" t="s">
        <v>802</v>
      </c>
    </row>
    <row r="5" spans="2:7">
      <c r="C5" s="193">
        <f>SUM(PGL_Nine_to_Nine!B34)</f>
        <v>279.90600000000001</v>
      </c>
      <c r="E5" s="1265">
        <f>SUM(PGL_Nine_to_Nine!F24)*2</f>
        <v>198.21799999999999</v>
      </c>
      <c r="G5" s="1265">
        <f>SUM(C5-E5)</f>
        <v>81.688000000000017</v>
      </c>
    </row>
    <row r="6" spans="2:7">
      <c r="B6" s="884" t="s">
        <v>9</v>
      </c>
      <c r="E6" t="s">
        <v>806</v>
      </c>
      <c r="G6" t="s">
        <v>807</v>
      </c>
    </row>
    <row r="7" spans="2:7">
      <c r="B7" s="884"/>
      <c r="E7" s="1265">
        <v>50</v>
      </c>
    </row>
    <row r="8" spans="2:7">
      <c r="B8" s="884" t="s">
        <v>9</v>
      </c>
      <c r="C8" t="s">
        <v>803</v>
      </c>
      <c r="G8" t="s">
        <v>804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37112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37111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146584</v>
      </c>
      <c r="O6" s="199">
        <v>0</v>
      </c>
      <c r="P6" s="199">
        <v>53683308</v>
      </c>
      <c r="Q6" s="199">
        <v>15045098</v>
      </c>
      <c r="R6" s="199">
        <v>38638210</v>
      </c>
      <c r="S6" s="199">
        <v>0</v>
      </c>
    </row>
    <row r="7" spans="1:19">
      <c r="A7" s="4">
        <f>B1</f>
        <v>37112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84642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53767950</v>
      </c>
      <c r="Q7">
        <f>IF(O7&gt;0,Q6+O7,Q6)</f>
        <v>15045098</v>
      </c>
      <c r="R7">
        <f>IF(P7&gt;Q7,P7-Q7,0)</f>
        <v>38722852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S1" zoomScale="75" workbookViewId="0">
      <selection activeCell="AC6" sqref="AC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5">
        <v>1</v>
      </c>
      <c r="BH2" s="193" t="s">
        <v>642</v>
      </c>
      <c r="BJ2" t="s">
        <v>749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814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2"/>
      <c r="AS3" s="767" t="s">
        <v>630</v>
      </c>
      <c r="AT3" s="982"/>
      <c r="AU3" s="767" t="s">
        <v>631</v>
      </c>
      <c r="AV3" s="982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5" t="s">
        <v>490</v>
      </c>
      <c r="BJ3" t="s">
        <v>748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815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763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1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6" t="s">
        <v>40</v>
      </c>
      <c r="BC4" s="997" t="s">
        <v>41</v>
      </c>
      <c r="BD4" s="998" t="s">
        <v>638</v>
      </c>
      <c r="BE4" s="998" t="s">
        <v>643</v>
      </c>
      <c r="BG4" s="193" t="s">
        <v>368</v>
      </c>
      <c r="BH4" s="193" t="s">
        <v>640</v>
      </c>
      <c r="BI4" s="1"/>
      <c r="BJ4" s="1" t="s">
        <v>750</v>
      </c>
      <c r="BK4" s="1" t="s">
        <v>751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37112</v>
      </c>
      <c r="B5" s="1">
        <f>(Weather_Input!B5+Weather_Input!C5)/2</f>
        <v>80.5</v>
      </c>
      <c r="C5" s="868">
        <v>205000</v>
      </c>
      <c r="D5" s="869">
        <v>27100</v>
      </c>
      <c r="E5" s="869">
        <v>0</v>
      </c>
      <c r="F5" s="869">
        <v>0</v>
      </c>
      <c r="G5" s="869">
        <v>8679</v>
      </c>
      <c r="H5" s="869">
        <v>68155</v>
      </c>
      <c r="I5" s="869">
        <v>91568</v>
      </c>
      <c r="J5" s="869">
        <v>0</v>
      </c>
      <c r="K5" s="869">
        <v>0</v>
      </c>
      <c r="L5" s="869">
        <v>3</v>
      </c>
      <c r="M5" s="869">
        <v>1325</v>
      </c>
      <c r="N5" s="869">
        <v>0</v>
      </c>
      <c r="O5" s="869">
        <v>3735</v>
      </c>
      <c r="P5" s="869">
        <v>1</v>
      </c>
      <c r="Q5" s="869">
        <v>706</v>
      </c>
      <c r="R5" s="869">
        <v>417</v>
      </c>
      <c r="S5" s="869">
        <v>1385</v>
      </c>
      <c r="T5" s="874">
        <v>4268</v>
      </c>
      <c r="U5" s="1048">
        <v>0</v>
      </c>
      <c r="V5" s="868">
        <f>SUM(D5:T5)-U5</f>
        <v>207342</v>
      </c>
      <c r="W5" s="868">
        <v>86324</v>
      </c>
      <c r="X5" s="11">
        <v>0</v>
      </c>
      <c r="Y5" s="11">
        <v>0</v>
      </c>
      <c r="Z5" s="11">
        <v>0</v>
      </c>
      <c r="AA5" s="11">
        <v>167318</v>
      </c>
      <c r="AB5" s="11">
        <v>168074</v>
      </c>
      <c r="AC5" s="11">
        <v>94365</v>
      </c>
      <c r="AD5" s="11">
        <v>0</v>
      </c>
      <c r="AE5" s="11">
        <v>0</v>
      </c>
      <c r="AF5" s="11">
        <v>43768</v>
      </c>
      <c r="AG5" s="11">
        <v>31172</v>
      </c>
      <c r="AH5" s="11">
        <v>0</v>
      </c>
      <c r="AI5" s="11">
        <v>0</v>
      </c>
      <c r="AJ5" s="11">
        <v>0</v>
      </c>
      <c r="AK5" s="11">
        <v>0</v>
      </c>
      <c r="AL5" s="11">
        <v>15876</v>
      </c>
      <c r="AM5" s="11">
        <v>0</v>
      </c>
      <c r="AN5" s="11">
        <v>0</v>
      </c>
      <c r="AO5" s="1">
        <v>1020</v>
      </c>
      <c r="AP5" s="1"/>
      <c r="AQ5" s="1">
        <v>12856</v>
      </c>
      <c r="AR5" s="1">
        <v>0</v>
      </c>
      <c r="AS5" s="1">
        <v>0</v>
      </c>
      <c r="AT5" s="1">
        <v>72839</v>
      </c>
      <c r="AU5" s="1">
        <v>0</v>
      </c>
      <c r="AV5" s="1">
        <v>1045</v>
      </c>
      <c r="AW5" s="1">
        <v>89110</v>
      </c>
      <c r="AX5" s="1">
        <v>360</v>
      </c>
      <c r="AY5" s="610">
        <f>AW5*0.015</f>
        <v>1336.6499999999999</v>
      </c>
      <c r="AZ5" s="1">
        <v>0</v>
      </c>
      <c r="BA5" s="1"/>
      <c r="BB5" s="1">
        <v>8642</v>
      </c>
      <c r="BC5" s="1">
        <v>11835</v>
      </c>
      <c r="BD5" s="1">
        <v>0</v>
      </c>
      <c r="BE5" s="1">
        <v>0</v>
      </c>
      <c r="BF5" s="1"/>
      <c r="BG5" s="1">
        <v>198218</v>
      </c>
      <c r="BH5" s="1">
        <v>94365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37113</v>
      </c>
      <c r="B6" s="886">
        <f>(Weather_Input!B6+Weather_Input!C6)/2</f>
        <v>68</v>
      </c>
      <c r="C6" s="868">
        <v>185000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37114</v>
      </c>
      <c r="B7" s="886">
        <f>(Weather_Input!B7+Weather_Input!C7)/2</f>
        <v>70</v>
      </c>
      <c r="C7" s="868">
        <v>170000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37115</v>
      </c>
      <c r="B8" s="886">
        <f>(Weather_Input!B8+Weather_Input!C8)/2</f>
        <v>73</v>
      </c>
      <c r="C8" s="868">
        <v>180000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37116</v>
      </c>
      <c r="B9" s="886">
        <f>(Weather_Input!B9+Weather_Input!C9)/2</f>
        <v>69</v>
      </c>
      <c r="C9" s="868">
        <v>190000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37117</v>
      </c>
      <c r="B10" s="886">
        <f>(Weather_Input!B10+Weather_Input!C10)/2</f>
        <v>72.5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37112</v>
      </c>
      <c r="B5" s="1">
        <f>(Weather_Input!B5+Weather_Input!C5)/2</f>
        <v>80.5</v>
      </c>
      <c r="C5" s="868">
        <v>31400</v>
      </c>
      <c r="D5" s="868">
        <v>0</v>
      </c>
      <c r="E5" s="868">
        <v>31756</v>
      </c>
      <c r="F5" s="868">
        <v>0</v>
      </c>
      <c r="G5" s="868">
        <v>0</v>
      </c>
      <c r="H5" s="876">
        <f>SUM(D5:G5)</f>
        <v>31756</v>
      </c>
      <c r="I5" s="1">
        <v>1000</v>
      </c>
      <c r="J5" s="1" t="s">
        <v>9</v>
      </c>
      <c r="K5" s="1">
        <v>0</v>
      </c>
      <c r="L5" s="1">
        <v>6862</v>
      </c>
      <c r="M5" s="1">
        <v>7000</v>
      </c>
      <c r="N5" s="1">
        <v>0</v>
      </c>
    </row>
    <row r="6" spans="1:14">
      <c r="A6" s="12">
        <f>A5+1</f>
        <v>37113</v>
      </c>
      <c r="B6" s="886">
        <f>(Weather_Input!B6+Weather_Input!C6)/2</f>
        <v>68</v>
      </c>
      <c r="C6" s="868">
        <v>31000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37114</v>
      </c>
      <c r="B7" s="886">
        <f>(Weather_Input!B7+Weather_Input!C7)/2</f>
        <v>70</v>
      </c>
      <c r="C7" s="868">
        <v>28000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37115</v>
      </c>
      <c r="B8" s="886">
        <f>(Weather_Input!B8+Weather_Input!C8)/2</f>
        <v>73</v>
      </c>
      <c r="C8" s="868">
        <v>30000</v>
      </c>
      <c r="D8" s="871" t="s">
        <v>9</v>
      </c>
      <c r="E8" s="871"/>
      <c r="F8" s="871"/>
      <c r="G8" s="871"/>
      <c r="H8" s="15"/>
    </row>
    <row r="9" spans="1:14">
      <c r="A9" s="12">
        <f>A8+1</f>
        <v>37116</v>
      </c>
      <c r="B9" s="886">
        <f>(Weather_Input!B9+Weather_Input!C9)/2</f>
        <v>69</v>
      </c>
      <c r="C9" s="868">
        <v>31000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37117</v>
      </c>
      <c r="B10" s="886">
        <f>(Weather_Input!B10+Weather_Input!C10)/2</f>
        <v>72.5</v>
      </c>
      <c r="C10" s="868">
        <v>31000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G12" sqref="G12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68">
        <v>1</v>
      </c>
      <c r="H4" s="3" t="s">
        <v>1</v>
      </c>
      <c r="I4" s="3" t="s">
        <v>664</v>
      </c>
      <c r="J4" s="3" t="s">
        <v>640</v>
      </c>
      <c r="L4" s="3" t="s">
        <v>739</v>
      </c>
      <c r="M4" s="3" t="s">
        <v>758</v>
      </c>
      <c r="N4" s="58"/>
      <c r="O4" s="65"/>
      <c r="P4" s="65"/>
      <c r="T4" s="1197" t="s">
        <v>752</v>
      </c>
      <c r="U4" s="1019"/>
      <c r="V4" s="1162" t="s">
        <v>716</v>
      </c>
      <c r="W4" s="1163"/>
      <c r="X4" s="1164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3.2">
      <c r="B5" s="66" t="s">
        <v>89</v>
      </c>
      <c r="E5" s="243"/>
      <c r="F5" s="66" t="s">
        <v>9</v>
      </c>
      <c r="G5" s="773" t="s">
        <v>737</v>
      </c>
      <c r="H5" s="107" t="s">
        <v>636</v>
      </c>
      <c r="I5" s="54" t="s">
        <v>656</v>
      </c>
      <c r="J5" s="3" t="s">
        <v>687</v>
      </c>
      <c r="L5" s="3" t="s">
        <v>740</v>
      </c>
      <c r="M5" s="56" t="s">
        <v>759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717</v>
      </c>
      <c r="W5" s="56" t="s">
        <v>720</v>
      </c>
      <c r="X5" s="3" t="s">
        <v>721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738</v>
      </c>
      <c r="H6" s="983" t="s">
        <v>637</v>
      </c>
      <c r="I6" s="54" t="s">
        <v>663</v>
      </c>
      <c r="J6" s="54" t="s">
        <v>686</v>
      </c>
      <c r="K6" s="54" t="s">
        <v>732</v>
      </c>
      <c r="L6" s="54" t="s">
        <v>66</v>
      </c>
      <c r="M6" s="54" t="s">
        <v>757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734</v>
      </c>
      <c r="U6" s="68" t="s">
        <v>753</v>
      </c>
      <c r="V6" s="1165" t="s">
        <v>718</v>
      </c>
      <c r="W6" s="1165" t="s">
        <v>719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3.2">
      <c r="A7" s="798">
        <f>Weather_Input!A5</f>
        <v>37112</v>
      </c>
      <c r="B7" s="877">
        <v>0</v>
      </c>
      <c r="C7" s="608">
        <v>0</v>
      </c>
      <c r="D7" s="608">
        <v>0</v>
      </c>
      <c r="E7" s="877">
        <v>0</v>
      </c>
      <c r="F7" s="877">
        <v>12856</v>
      </c>
      <c r="G7" s="879">
        <v>198218</v>
      </c>
      <c r="H7" s="607">
        <v>0</v>
      </c>
      <c r="I7" s="607">
        <v>0</v>
      </c>
      <c r="J7" s="608">
        <v>94365</v>
      </c>
      <c r="K7" s="607">
        <v>0</v>
      </c>
      <c r="L7" s="608">
        <v>0</v>
      </c>
      <c r="M7" s="608">
        <v>0</v>
      </c>
      <c r="N7" s="609">
        <v>0</v>
      </c>
      <c r="O7" s="608">
        <v>89110</v>
      </c>
      <c r="P7" s="610">
        <f t="shared" ref="P7:P12" si="0">O7*0.015</f>
        <v>1336.6499999999999</v>
      </c>
      <c r="Q7" s="608">
        <v>360</v>
      </c>
      <c r="R7" s="608">
        <v>0</v>
      </c>
      <c r="S7" s="608">
        <v>0</v>
      </c>
      <c r="T7" s="607">
        <v>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3.2">
      <c r="A8" s="798">
        <f>A7+1</f>
        <v>37113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77050</v>
      </c>
      <c r="H8" s="607">
        <v>0</v>
      </c>
      <c r="I8" s="607">
        <v>0</v>
      </c>
      <c r="J8" s="608">
        <v>50000</v>
      </c>
      <c r="K8" s="607">
        <v>0</v>
      </c>
      <c r="L8" s="608">
        <v>0</v>
      </c>
      <c r="M8" s="608">
        <v>0</v>
      </c>
      <c r="N8" s="609">
        <v>0</v>
      </c>
      <c r="O8" s="608">
        <v>145000</v>
      </c>
      <c r="P8" s="610">
        <f t="shared" si="0"/>
        <v>2175</v>
      </c>
      <c r="Q8" s="608">
        <v>600</v>
      </c>
      <c r="R8" s="608">
        <v>0</v>
      </c>
      <c r="S8" s="608">
        <v>0</v>
      </c>
      <c r="T8" s="607">
        <v>35418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3.2">
      <c r="A9" s="798">
        <f>A8+1</f>
        <v>37114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27500</v>
      </c>
      <c r="O9" s="608">
        <v>150000</v>
      </c>
      <c r="P9" s="610">
        <f t="shared" si="0"/>
        <v>2250</v>
      </c>
      <c r="Q9" s="608">
        <v>600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3.2">
      <c r="A10" s="798">
        <f>A9+1</f>
        <v>37115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20000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27500</v>
      </c>
      <c r="O10" s="608">
        <v>150000</v>
      </c>
      <c r="P10" s="610">
        <f t="shared" si="0"/>
        <v>2250</v>
      </c>
      <c r="Q10" s="608">
        <v>600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3.2">
      <c r="A11" s="798">
        <f>A10+1</f>
        <v>37116</v>
      </c>
      <c r="B11" s="877">
        <v>0</v>
      </c>
      <c r="C11" s="608">
        <v>0</v>
      </c>
      <c r="D11" s="608">
        <v>0</v>
      </c>
      <c r="E11" s="877">
        <v>0</v>
      </c>
      <c r="F11" s="877">
        <v>0</v>
      </c>
      <c r="G11" s="879">
        <v>57553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27500</v>
      </c>
      <c r="O11" s="608">
        <v>150000</v>
      </c>
      <c r="P11" s="610">
        <f t="shared" si="0"/>
        <v>2250</v>
      </c>
      <c r="Q11" s="608">
        <v>600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3.2">
      <c r="A12" s="798">
        <f>A11+1</f>
        <v>37117</v>
      </c>
      <c r="B12" s="877">
        <v>0</v>
      </c>
      <c r="C12" s="608">
        <v>0</v>
      </c>
      <c r="D12" s="608">
        <v>0</v>
      </c>
      <c r="E12" s="877">
        <v>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130000</v>
      </c>
      <c r="P12" s="610">
        <f t="shared" si="0"/>
        <v>1950</v>
      </c>
      <c r="Q12" s="608">
        <v>600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I1" zoomScale="75" workbookViewId="0">
      <selection activeCell="S11" sqref="S11"/>
    </sheetView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758</v>
      </c>
      <c r="P4" s="1197" t="s">
        <v>736</v>
      </c>
      <c r="Q4" s="1019"/>
      <c r="R4" s="56" t="s">
        <v>810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756</v>
      </c>
      <c r="N5" s="3" t="s">
        <v>9</v>
      </c>
      <c r="O5" s="3" t="s">
        <v>6</v>
      </c>
      <c r="P5" s="107" t="s">
        <v>734</v>
      </c>
      <c r="Q5" s="1198" t="s">
        <v>735</v>
      </c>
      <c r="R5" s="56" t="s">
        <v>737</v>
      </c>
      <c r="S5" s="66" t="s">
        <v>808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757</v>
      </c>
      <c r="N6" s="54" t="s">
        <v>9</v>
      </c>
      <c r="O6" s="1026" t="s">
        <v>5</v>
      </c>
      <c r="P6" s="984" t="s">
        <v>86</v>
      </c>
      <c r="Q6" s="984" t="s">
        <v>86</v>
      </c>
      <c r="R6" s="57" t="s">
        <v>811</v>
      </c>
      <c r="S6" s="68" t="s">
        <v>809</v>
      </c>
      <c r="T6" s="984" t="s">
        <v>637</v>
      </c>
      <c r="U6" s="54" t="s">
        <v>671</v>
      </c>
      <c r="V6" s="54" t="s">
        <v>9</v>
      </c>
      <c r="W6" s="1018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37112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72839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7">
        <v>49098</v>
      </c>
      <c r="S7" s="1268">
        <v>24549</v>
      </c>
      <c r="T7" s="608">
        <v>0</v>
      </c>
      <c r="U7" s="609">
        <v>122407</v>
      </c>
      <c r="V7" s="609">
        <v>0</v>
      </c>
      <c r="W7" s="607">
        <v>0</v>
      </c>
      <c r="X7" s="880">
        <v>85911</v>
      </c>
      <c r="Y7" s="609">
        <v>418</v>
      </c>
      <c r="Z7" s="1">
        <v>0</v>
      </c>
      <c r="AA7" s="607">
        <v>255357</v>
      </c>
      <c r="AB7" s="607">
        <v>48344</v>
      </c>
      <c r="AC7" s="607">
        <v>42499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37113</v>
      </c>
      <c r="B8" s="610">
        <v>30000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13080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7">
        <v>30000</v>
      </c>
      <c r="S8" s="1268">
        <v>15000</v>
      </c>
      <c r="T8" s="608">
        <v>0</v>
      </c>
      <c r="U8" s="609">
        <v>122407</v>
      </c>
      <c r="V8" s="609">
        <v>0</v>
      </c>
      <c r="W8" s="607">
        <v>0</v>
      </c>
      <c r="X8" s="880">
        <v>91821</v>
      </c>
      <c r="Y8" s="609">
        <v>35418</v>
      </c>
      <c r="Z8" s="1">
        <v>0</v>
      </c>
      <c r="AA8" s="607">
        <v>208108</v>
      </c>
      <c r="AB8" s="607">
        <v>29788</v>
      </c>
      <c r="AC8" s="607">
        <v>12499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37114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7">
        <v>40000</v>
      </c>
      <c r="S9" s="1268">
        <v>20000</v>
      </c>
      <c r="T9" s="608">
        <v>0</v>
      </c>
      <c r="U9" s="609">
        <v>122407</v>
      </c>
      <c r="V9" s="609">
        <v>0</v>
      </c>
      <c r="W9" s="607">
        <v>0</v>
      </c>
      <c r="X9" s="880">
        <v>91821</v>
      </c>
      <c r="Y9" s="609">
        <v>35418</v>
      </c>
      <c r="Z9" s="1">
        <v>0</v>
      </c>
      <c r="AA9" s="607">
        <v>208108</v>
      </c>
      <c r="AB9" s="607">
        <v>29788</v>
      </c>
      <c r="AC9" s="607">
        <v>12499</v>
      </c>
      <c r="AD9" s="880">
        <v>0</v>
      </c>
      <c r="AE9" s="798">
        <f t="shared" si="0"/>
        <v>3</v>
      </c>
    </row>
    <row r="10" spans="1:36">
      <c r="A10" s="798">
        <f>A9+1</f>
        <v>37115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7">
        <v>40000</v>
      </c>
      <c r="S10" s="1268">
        <v>20000</v>
      </c>
      <c r="T10" s="608">
        <v>0</v>
      </c>
      <c r="U10" s="609">
        <v>122407</v>
      </c>
      <c r="V10" s="609">
        <v>0</v>
      </c>
      <c r="W10" s="607">
        <v>0</v>
      </c>
      <c r="X10" s="880">
        <v>91821</v>
      </c>
      <c r="Y10" s="609">
        <v>35418</v>
      </c>
      <c r="Z10" s="1">
        <v>0</v>
      </c>
      <c r="AA10" s="607">
        <v>208108</v>
      </c>
      <c r="AB10" s="607">
        <v>29788</v>
      </c>
      <c r="AC10" s="607">
        <v>12499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37116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7">
        <v>40000</v>
      </c>
      <c r="S11" s="1268">
        <v>20000</v>
      </c>
      <c r="T11" s="608">
        <v>0</v>
      </c>
      <c r="U11" s="609">
        <v>122407</v>
      </c>
      <c r="V11" s="609">
        <v>0</v>
      </c>
      <c r="W11" s="607">
        <v>0</v>
      </c>
      <c r="X11" s="880">
        <v>91821</v>
      </c>
      <c r="Y11" s="609">
        <v>35418</v>
      </c>
      <c r="Z11" s="1">
        <v>0</v>
      </c>
      <c r="AA11" s="607">
        <v>208108</v>
      </c>
      <c r="AB11" s="607">
        <v>29788</v>
      </c>
      <c r="AC11" s="607">
        <v>12499</v>
      </c>
      <c r="AD11" s="880">
        <v>0</v>
      </c>
      <c r="AE11" s="798">
        <f t="shared" si="0"/>
        <v>5</v>
      </c>
    </row>
    <row r="12" spans="1:36">
      <c r="A12" s="798">
        <f>A11+1</f>
        <v>37117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7">
        <v>0</v>
      </c>
      <c r="S12" s="1268">
        <v>0</v>
      </c>
      <c r="T12" s="608">
        <v>0</v>
      </c>
      <c r="U12" s="609">
        <v>122407</v>
      </c>
      <c r="V12" s="609">
        <v>0</v>
      </c>
      <c r="W12" s="607">
        <v>0</v>
      </c>
      <c r="X12" s="880">
        <v>91821</v>
      </c>
      <c r="Y12" s="609">
        <v>35418</v>
      </c>
      <c r="Z12" s="1">
        <v>0</v>
      </c>
      <c r="AA12" s="607">
        <v>208108</v>
      </c>
      <c r="AB12" s="607">
        <v>29788</v>
      </c>
      <c r="AC12" s="607">
        <v>12499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9"/>
      <c r="S13" s="1266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37112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37112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37113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37113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37114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37114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37115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37115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37116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37116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37117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37117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4" t="s">
        <v>36</v>
      </c>
      <c r="S6" s="54" t="s">
        <v>384</v>
      </c>
      <c r="T6" s="68" t="s">
        <v>58</v>
      </c>
    </row>
    <row r="7" spans="1:23">
      <c r="A7" s="798">
        <f>Weather_Input!A5</f>
        <v>37112</v>
      </c>
      <c r="B7" s="610">
        <v>0</v>
      </c>
      <c r="C7" s="611">
        <v>0</v>
      </c>
      <c r="D7" s="610">
        <v>0</v>
      </c>
      <c r="E7" s="610">
        <v>0</v>
      </c>
      <c r="F7" s="610">
        <v>6862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24894</v>
      </c>
      <c r="R7" s="610">
        <v>14904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37113</v>
      </c>
      <c r="B8" s="610">
        <v>0</v>
      </c>
      <c r="C8" s="611">
        <v>0</v>
      </c>
      <c r="D8" s="610">
        <v>0</v>
      </c>
      <c r="E8" s="610">
        <v>0</v>
      </c>
      <c r="F8" s="610">
        <v>6370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24631</v>
      </c>
      <c r="R8" s="610">
        <v>14904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37114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24631</v>
      </c>
      <c r="R9" s="610">
        <v>14904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37115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24631</v>
      </c>
      <c r="R10" s="610">
        <v>14904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37116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24631</v>
      </c>
      <c r="R11" s="610">
        <v>14904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37117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24631</v>
      </c>
      <c r="R12" s="610">
        <v>14904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THU</v>
      </c>
      <c r="I1" s="803">
        <f>D4</f>
        <v>37112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</row>
    <row r="4" spans="1:256" ht="18.899999999999999" customHeight="1" thickBot="1">
      <c r="A4" s="810"/>
      <c r="B4" s="811"/>
      <c r="C4" s="811"/>
      <c r="D4" s="449">
        <f>Weather_Input!A5</f>
        <v>37112</v>
      </c>
      <c r="E4" s="449">
        <f>Weather_Input!A6</f>
        <v>37113</v>
      </c>
      <c r="F4" s="449">
        <f>Weather_Input!A7</f>
        <v>37114</v>
      </c>
      <c r="G4" s="449">
        <f>Weather_Input!A8</f>
        <v>37115</v>
      </c>
      <c r="H4" s="449">
        <f>Weather_Input!A9</f>
        <v>37116</v>
      </c>
      <c r="I4" s="450">
        <f>Weather_Input!A10</f>
        <v>37117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94/67/81</v>
      </c>
      <c r="E5" s="451" t="str">
        <f>TEXT(Weather_Input!B6,"0")&amp;"/"&amp;TEXT(Weather_Input!C6,"0") &amp; "/" &amp; TEXT((Weather_Input!B6+Weather_Input!C6)/2,"0")</f>
        <v>78/58/68</v>
      </c>
      <c r="F5" s="451" t="str">
        <f>TEXT(Weather_Input!B7,"0")&amp;"/"&amp;TEXT(Weather_Input!C7,"0") &amp; "/" &amp; TEXT((Weather_Input!B7+Weather_Input!C7)/2,"0")</f>
        <v>79/61/70</v>
      </c>
      <c r="G5" s="451" t="str">
        <f>TEXT(Weather_Input!B8,"0")&amp;"/"&amp;TEXT(Weather_Input!C8,"0") &amp; "/" &amp; TEXT((Weather_Input!B8+Weather_Input!C8)/2,"0")</f>
        <v>81/65/73</v>
      </c>
      <c r="H5" s="451" t="str">
        <f>TEXT(Weather_Input!B9,"0")&amp;"/"&amp;TEXT(Weather_Input!C9,"0") &amp; "/" &amp; TEXT((Weather_Input!B9+Weather_Input!C9)/2,"0")</f>
        <v>78/60/69</v>
      </c>
      <c r="I5" s="452" t="str">
        <f>TEXT(Weather_Input!B10,"0")&amp;"/"&amp;TEXT(Weather_Input!C10,"0") &amp; "/" &amp; TEXT((Weather_Input!B10+Weather_Input!C10)/2,"0")</f>
        <v>80/65/73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205</v>
      </c>
      <c r="E6" s="451">
        <f>PGL_Deliveries!C6/1000</f>
        <v>185</v>
      </c>
      <c r="F6" s="451">
        <f>PGL_Deliveries!C7/1000</f>
        <v>170</v>
      </c>
      <c r="G6" s="451">
        <f>PGL_Deliveries!C8/1000</f>
        <v>180</v>
      </c>
      <c r="H6" s="451">
        <f>PGL_Deliveries!C9/1000</f>
        <v>190</v>
      </c>
      <c r="I6" s="452">
        <f>PGL_Deliveries!C10/1000</f>
        <v>190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99.108999999999995</v>
      </c>
      <c r="E7" s="451">
        <f>PGL_Requirements!G8/1000*0.5</f>
        <v>38.524999999999999</v>
      </c>
      <c r="F7" s="451">
        <f>PGL_Requirements!G9/1000*0.5</f>
        <v>0</v>
      </c>
      <c r="G7" s="451">
        <f>PGL_Requirements!G10/1000*0.5</f>
        <v>10</v>
      </c>
      <c r="H7" s="451">
        <f>PGL_Requirements!G11/1000*0.5</f>
        <v>28.776499999999999</v>
      </c>
      <c r="I7" s="452">
        <f>PGL_Requirements!G12/1000*0.5</f>
        <v>0</v>
      </c>
    </row>
    <row r="8" spans="1:256" ht="18.899999999999999" customHeight="1">
      <c r="A8" s="817" t="s">
        <v>728</v>
      </c>
      <c r="B8" s="805"/>
      <c r="C8" s="805"/>
      <c r="D8" s="451">
        <f>PGL_Requirements!J7/1000</f>
        <v>94.364999999999995</v>
      </c>
      <c r="E8" s="451">
        <f>PGL_Requirements!J8/1000</f>
        <v>50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729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744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89.11</v>
      </c>
      <c r="E11" s="451">
        <f>PGL_Requirements!O8/1000</f>
        <v>145</v>
      </c>
      <c r="F11" s="451">
        <f>PGL_Requirements!O9/1000</f>
        <v>150</v>
      </c>
      <c r="G11" s="451">
        <f>PGL_Requirements!O10/1000</f>
        <v>150</v>
      </c>
      <c r="H11" s="451">
        <f>PGL_Requirements!O11/1000</f>
        <v>150</v>
      </c>
      <c r="I11" s="452">
        <f>PGL_Requirements!O12/1000</f>
        <v>130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1.3366499999999999</v>
      </c>
      <c r="E12" s="451">
        <f>PGL_Requirements!P8/1000</f>
        <v>2.1749999999999998</v>
      </c>
      <c r="F12" s="451">
        <f>PGL_Requirements!P9/1000</f>
        <v>2.25</v>
      </c>
      <c r="G12" s="451">
        <f>PGL_Requirements!P10/1000</f>
        <v>2.25</v>
      </c>
      <c r="H12" s="451">
        <f>PGL_Requirements!P11/1000</f>
        <v>2.25</v>
      </c>
      <c r="I12" s="452">
        <f>PGL_Requirements!P12/1000</f>
        <v>1.95</v>
      </c>
    </row>
    <row r="13" spans="1:256" ht="18.899999999999999" customHeight="1">
      <c r="A13" s="814"/>
      <c r="C13" s="805" t="s">
        <v>651</v>
      </c>
      <c r="D13" s="451">
        <f>PGL_Requirements!Q7/1000</f>
        <v>0.36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731</v>
      </c>
      <c r="D15" s="451">
        <f>PGL_Requirements!T7/1000</f>
        <v>0.41799999999999998</v>
      </c>
      <c r="E15" s="451">
        <f>PGL_Requirements!T8/1000</f>
        <v>35.417999999999999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733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0</v>
      </c>
      <c r="E17" s="451">
        <f>PGL_Requirements!N8/1000</f>
        <v>0</v>
      </c>
      <c r="F17" s="451">
        <f>PGL_Requirements!N9/1000</f>
        <v>27.5</v>
      </c>
      <c r="G17" s="451">
        <f>PGL_Requirements!N10/1000</f>
        <v>27.5</v>
      </c>
      <c r="H17" s="451">
        <f>PGL_Requirements!N11/1000</f>
        <v>27.5</v>
      </c>
      <c r="I17" s="452">
        <f>PGL_Requirements!N12/1000</f>
        <v>0</v>
      </c>
    </row>
    <row r="18" spans="1:10" ht="18.899999999999999" customHeight="1">
      <c r="A18" s="814" t="s">
        <v>754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741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12.856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0</v>
      </c>
      <c r="E24" s="453">
        <f>PGL_Requirements!E8/1000</f>
        <v>0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0</v>
      </c>
      <c r="I24" s="454">
        <f>PGL_Requirements!E12/1000</f>
        <v>0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502.55465000000004</v>
      </c>
      <c r="E25" s="455">
        <f t="shared" si="1"/>
        <v>456.71800000000002</v>
      </c>
      <c r="F25" s="455">
        <f t="shared" si="1"/>
        <v>350.35</v>
      </c>
      <c r="G25" s="455">
        <f t="shared" si="1"/>
        <v>370.35</v>
      </c>
      <c r="H25" s="455">
        <f t="shared" si="1"/>
        <v>399.12650000000002</v>
      </c>
      <c r="I25" s="1061">
        <f t="shared" si="1"/>
        <v>322.55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2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731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733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72.838999999999999</v>
      </c>
      <c r="E33" s="451">
        <f>PGL_Supplies!K8/1000</f>
        <v>13.08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755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730</v>
      </c>
      <c r="B36" s="805" t="s">
        <v>384</v>
      </c>
      <c r="C36" s="805"/>
      <c r="D36" s="451">
        <f>PGL_Supplies!S7/1000</f>
        <v>24.548999999999999</v>
      </c>
      <c r="E36" s="451">
        <f>PGL_Supplies!S8/1000</f>
        <v>15</v>
      </c>
      <c r="F36" s="451">
        <f>PGL_Supplies!S9/1000</f>
        <v>20</v>
      </c>
      <c r="G36" s="451">
        <f>PGL_Supplies!S10/1000</f>
        <v>20</v>
      </c>
      <c r="H36" s="451">
        <f>PGL_Supplies!S11/1000</f>
        <v>20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85.911000000000001</v>
      </c>
      <c r="E37" s="451">
        <f>PGL_Supplies!X8/1000</f>
        <v>91.820999999999998</v>
      </c>
      <c r="F37" s="451">
        <f>PGL_Supplies!X9/1000</f>
        <v>91.820999999999998</v>
      </c>
      <c r="G37" s="451">
        <f>PGL_Supplies!X10/1000</f>
        <v>91.820999999999998</v>
      </c>
      <c r="H37" s="451">
        <f>PGL_Supplies!X11/1000</f>
        <v>91.820999999999998</v>
      </c>
      <c r="I37" s="452">
        <f>PGL_Supplies!X12/1000</f>
        <v>91.820999999999998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0.41799999999999998</v>
      </c>
      <c r="E38" s="451">
        <f>PGL_Supplies!Y8/1000</f>
        <v>35.417999999999999</v>
      </c>
      <c r="F38" s="451">
        <f>PGL_Supplies!Y9/1000</f>
        <v>35.417999999999999</v>
      </c>
      <c r="G38" s="451">
        <f>PGL_Supplies!Y10/1000</f>
        <v>35.417999999999999</v>
      </c>
      <c r="H38" s="451">
        <f>PGL_Supplies!Y11/1000</f>
        <v>35.417999999999999</v>
      </c>
      <c r="I38" s="452">
        <f>PGL_Supplies!Y12/1000</f>
        <v>35.417999999999999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255.357</v>
      </c>
      <c r="E40" s="451">
        <f>PGL_Supplies!AA8/1000</f>
        <v>208.108</v>
      </c>
      <c r="F40" s="451">
        <f>PGL_Supplies!AA9/1000</f>
        <v>208.108</v>
      </c>
      <c r="G40" s="451">
        <f>PGL_Supplies!AA10/1000</f>
        <v>208.108</v>
      </c>
      <c r="H40" s="451">
        <f>PGL_Supplies!AA11/1000</f>
        <v>208.108</v>
      </c>
      <c r="I40" s="452">
        <f>PGL_Supplies!AA12/1000</f>
        <v>208.108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48.344000000000001</v>
      </c>
      <c r="E41" s="451">
        <f>PGL_Supplies!AB8/1000</f>
        <v>29.788</v>
      </c>
      <c r="F41" s="451">
        <f>PGL_Supplies!AB9/1000</f>
        <v>29.788</v>
      </c>
      <c r="G41" s="451">
        <f>PGL_Supplies!AB10/1000</f>
        <v>29.788</v>
      </c>
      <c r="H41" s="451">
        <f>PGL_Supplies!AB11/1000</f>
        <v>29.788</v>
      </c>
      <c r="I41" s="452">
        <f>PGL_Supplies!AB12/1000</f>
        <v>29.788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42.499000000000002</v>
      </c>
      <c r="E42" s="451">
        <f>PGL_Supplies!AC8/1000</f>
        <v>12.499000000000001</v>
      </c>
      <c r="F42" s="451">
        <f>PGL_Supplies!AC9/1000</f>
        <v>12.499000000000001</v>
      </c>
      <c r="G42" s="451">
        <f>PGL_Supplies!AC10/1000</f>
        <v>12.499000000000001</v>
      </c>
      <c r="H42" s="451">
        <f>PGL_Supplies!AC11/1000</f>
        <v>12.499000000000001</v>
      </c>
      <c r="I42" s="452">
        <f>PGL_Supplies!AC12/1000</f>
        <v>12.499000000000001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30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550.91700000000003</v>
      </c>
      <c r="E50" s="461">
        <f t="shared" si="2"/>
        <v>456.71400000000006</v>
      </c>
      <c r="F50" s="461">
        <f t="shared" si="2"/>
        <v>418.63400000000001</v>
      </c>
      <c r="G50" s="461">
        <f t="shared" si="2"/>
        <v>418.63400000000001</v>
      </c>
      <c r="H50" s="461">
        <f t="shared" si="2"/>
        <v>418.63400000000001</v>
      </c>
      <c r="I50" s="1063">
        <f t="shared" si="2"/>
        <v>398.63400000000001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48.362349999999992</v>
      </c>
      <c r="E51" s="462">
        <f t="shared" si="3"/>
        <v>0</v>
      </c>
      <c r="F51" s="462">
        <f t="shared" si="3"/>
        <v>68.283999999999992</v>
      </c>
      <c r="G51" s="462">
        <f t="shared" si="3"/>
        <v>48.283999999999992</v>
      </c>
      <c r="H51" s="462">
        <f t="shared" si="3"/>
        <v>19.507499999999993</v>
      </c>
      <c r="I51" s="1064">
        <f t="shared" si="3"/>
        <v>76.084000000000003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3.999999999962256E-3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5">
        <f t="shared" si="4"/>
        <v>0</v>
      </c>
    </row>
    <row r="53" spans="1:9" ht="18.899999999999999" customHeight="1" thickTop="1" thickBot="1">
      <c r="A53" s="1052" t="s">
        <v>675</v>
      </c>
      <c r="B53" s="1053"/>
      <c r="C53" s="1053"/>
      <c r="D53" s="1054">
        <f>PGL_Supplies!U7/1000</f>
        <v>122.407</v>
      </c>
      <c r="E53" s="1054">
        <f>PGL_Supplies!U8/1000</f>
        <v>122.407</v>
      </c>
      <c r="F53" s="1054">
        <f>PGL_Supplies!U9/1000</f>
        <v>122.407</v>
      </c>
      <c r="G53" s="1054">
        <f>PGL_Supplies!U10/1000</f>
        <v>122.407</v>
      </c>
      <c r="H53" s="1054">
        <f>PGL_Supplies!U11/1000</f>
        <v>122.407</v>
      </c>
      <c r="I53" s="1055">
        <f>PGL_Supplies!U12/1000</f>
        <v>122.407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2001-08-10T16:43:17Z</cp:lastPrinted>
  <dcterms:created xsi:type="dcterms:W3CDTF">1997-07-16T16:14:22Z</dcterms:created>
  <dcterms:modified xsi:type="dcterms:W3CDTF">2023-09-10T11:13:15Z</dcterms:modified>
</cp:coreProperties>
</file>