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PGL_Deliveries!$A$5:$T$10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<sst xmlns="http://schemas.openxmlformats.org/spreadsheetml/2006/main" count="2083" uniqueCount="824">
  <si>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</si>
  <si>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</si>
  <si>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</si>
  <si>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</si>
  <si>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</si>
  <si>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</si>
  <si>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</si>
  <si>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</si>
  <si>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</si>
  <si>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</si>
  <si>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</si>
  <si>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</si>
  <si>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</si>
  <si>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</si>
  <si>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</si>
  <si>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</si>
  <si>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</si>
  <si>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</si>
  <si>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</si>
  <si>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</si>
  <si>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</si>
  <si>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</si>
  <si>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</si>
  <si>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</si>
  <si>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</si>
  <si>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</si>
  <si>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</si>
  <si>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</si>
  <si>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</si>
  <si>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</si>
  <si>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</si>
  <si>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</si>
  <si>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</si>
  <si>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</si>
  <si>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</si>
  <si>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</si>
  <si>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</si>
  <si>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</si>
  <si>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</si>
  <si>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</si>
  <si>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</si>
  <si>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</si>
  <si>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</si>
  <si>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</si>
  <si>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</si>
  <si>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</si>
  <si>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</si>
  <si>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</si>
  <si>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</si>
  <si>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</si>
  <si>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</si>
  <si>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</si>
  <si>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</si>
  <si>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</si>
  <si>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</si>
  <si>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</si>
  <si>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</si>
  <si>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</si>
  <si>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</si>
  <si>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</si>
  <si>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</si>
  <si>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</si>
  <si>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</si>
  <si>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</si>
  <si>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</si>
  <si>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</si>
  <si>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</si>
  <si>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</si>
  <si>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</si>
  <si>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</si>
  <si>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</si>
  <si>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</si>
  <si>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</si>
  <si>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</si>
  <si>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</si>
  <si>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</si>
  <si>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</si>
  <si>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</si>
  <si>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</si>
  <si>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</si>
  <si>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</si>
  <si>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</si>
  <si>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</si>
  <si>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</si>
  <si>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</si>
  <si>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</si>
  <si>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</si>
  <si>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</si>
  <si>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</si>
  <si>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</si>
  <si>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</si>
  <si>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</si>
  <si>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</si>
  <si>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</si>
  <si>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</si>
  <si>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</si>
  <si>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</si>
  <si>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</si>
  <si>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</si>
  <si>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</si>
  <si>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</si>
  <si>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</si>
  <si>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</si>
  <si>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</si>
  <si>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</si>
  <si>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</si>
  <si>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</si>
  <si>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</si>
  <si>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</si>
  <si>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</si>
  <si>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</si>
  <si>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</si>
  <si>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</si>
  <si>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</si>
  <si>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</si>
  <si>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</si>
  <si>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</si>
  <si>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</si>
  <si>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</si>
  <si>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</si>
  <si>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</si>
  <si>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</si>
  <si>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</si>
  <si>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</si>
  <si>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</si>
  <si>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</si>
  <si>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</si>
  <si>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</si>
  <si>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</si>
  <si>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</si>
  <si>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</si>
  <si>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</si>
  <si>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</si>
  <si>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</si>
  <si>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</si>
  <si>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</si>
  <si>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</si>
  <si>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</si>
  <si>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</si>
  <si>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</si>
  <si>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</si>
  <si>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</si>
  <si>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</si>
  <si>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</si>
  <si>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</si>
  <si>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</si>
  <si>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</si>
  <si>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</si>
  <si>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</si>
  <si>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</si>
  <si>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</si>
  <si>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</si>
  <si>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</si>
  <si>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</si>
  <si>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</si>
  <si>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</si>
  <si>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</si>
  <si>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</si>
  <si>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</si>
  <si>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</si>
  <si>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</si>
  <si>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</si>
  <si>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</si>
  <si>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</si>
  <si>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</si>
  <si>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</si>
  <si>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</si>
  <si>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</si>
  <si>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</si>
  <si>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</si>
  <si>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</si>
  <si>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</si>
  <si>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</si>
  <si>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</si>
  <si>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</si>
  <si>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</si>
  <si>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</si>
  <si>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</si>
  <si>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</si>
  <si>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</si>
  <si>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</si>
  <si>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</si>
  <si>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</si>
  <si>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</si>
  <si>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</si>
  <si>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</si>
  <si>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</si>
  <si>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</si>
  <si>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</si>
  <si>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</si>
  <si>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</si>
  <si>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</si>
  <si>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</si>
  <si>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</si>
  <si>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</si>
  <si>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</si>
  <si>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</si>
  <si>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</si>
  <si>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</si>
  <si>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</si>
  <si>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</si>
  <si>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</si>
  <si>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</si>
  <si>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</si>
  <si>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</si>
  <si>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</si>
  <si>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</si>
  <si>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</si>
  <si>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</si>
  <si>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</si>
  <si>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</si>
  <si>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</si>
  <si>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</si>
  <si>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</si>
  <si>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</si>
  <si>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</si>
  <si>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</si>
  <si>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</si>
  <si>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</si>
  <si>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</si>
  <si>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</si>
  <si>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</si>
  <si>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</si>
  <si>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</si>
  <si>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</si>
  <si>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</si>
  <si>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</si>
  <si>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</si>
  <si>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</si>
  <si>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</si>
  <si>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</si>
  <si>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</si>
  <si>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</si>
  <si>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</si>
  <si>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</si>
  <si>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</si>
  <si>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</si>
  <si>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</si>
  <si>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</si>
  <si>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</si>
  <si>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</si>
  <si>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</si>
  <si>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</si>
  <si>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</si>
  <si>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</si>
  <si>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</si>
  <si>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</si>
  <si>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</si>
  <si>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</si>
  <si>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</si>
  <si>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</si>
  <si>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</si>
  <si>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</si>
  <si>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</si>
  <si>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</si>
  <si>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</si>
  <si>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</si>
  <si>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</si>
  <si>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</si>
  <si>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</si>
  <si>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</si>
  <si>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</si>
  <si>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</si>
  <si>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</si>
  <si>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</si>
  <si>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</si>
  <si>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</si>
  <si>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</si>
  <si>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</si>
  <si>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</si>
  <si>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</si>
  <si>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</si>
  <si>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</si>
  <si>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</si>
  <si>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</si>
  <si>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</si>
  <si>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</si>
  <si>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</si>
  <si>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</si>
  <si>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</si>
  <si>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</si>
  <si>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</si>
  <si>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</si>
  <si>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</si>
  <si>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</si>
  <si>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</si>
  <si>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</si>
  <si>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</si>
  <si>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</si>
  <si>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</si>
  <si>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</si>
  <si>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</si>
  <si>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</si>
  <si>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</si>
  <si>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</si>
  <si>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</si>
  <si>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</si>
  <si>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</si>
  <si>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</si>
  <si>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</si>
  <si>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</si>
  <si>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</si>
  <si>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</si>
  <si>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</si>
  <si>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</si>
  <si>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</si>
  <si>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</si>
  <si>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</si>
  <si>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</si>
  <si>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</si>
  <si>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</si>
  <si>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</si>
  <si>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</si>
  <si>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</si>
  <si>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</si>
  <si>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</si>
  <si>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</si>
  <si>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</si>
  <si>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</si>
  <si>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</si>
  <si>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</si>
  <si>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</si>
  <si>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</si>
  <si>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</si>
  <si>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</si>
  <si>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</si>
  <si>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</si>
  <si>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</si>
  <si>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</si>
  <si>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</si>
  <si>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</si>
  <si>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</si>
  <si>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</si>
  <si>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</si>
  <si>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</si>
  <si>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</si>
  <si>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</si>
  <si>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</si>
  <si>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</si>
  <si>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</si>
  <si>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</si>
  <si>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</si>
  <si>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</si>
  <si>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</si>
  <si>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</si>
  <si>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</si>
  <si>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</si>
  <si>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</si>
  <si>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</si>
  <si>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</si>
  <si>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</si>
  <si>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</si>
  <si>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</si>
  <si>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</si>
  <si>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</si>
  <si>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</si>
  <si>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</si>
  <si>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</si>
  <si>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</si>
  <si>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</si>
  <si>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</si>
  <si>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</si>
  <si>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</si>
  <si>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</si>
  <si>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</si>
  <si>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</si>
  <si>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</si>
  <si>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</si>
  <si>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</si>
  <si>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</si>
  <si>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</si>
  <si>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</si>
  <si>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</si>
  <si>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</si>
  <si>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</si>
  <si>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</si>
  <si>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</si>
  <si>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</si>
  <si>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</si>
  <si>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</si>
  <si>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</si>
  <si>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</si>
  <si>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</si>
  <si>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</si>
  <si>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</si>
  <si>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</si>
  <si>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</si>
  <si>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</si>
  <si>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</si>
  <si>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</si>
  <si>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</si>
  <si>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</si>
  <si>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</si>
  <si>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</si>
  <si>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</si>
  <si>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</si>
  <si>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</si>
  <si>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</si>
  <si>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</si>
  <si>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</si>
  <si>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</si>
  <si>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</si>
  <si>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</si>
  <si>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</si>
  <si>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</si>
  <si>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</si>
  <si>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</si>
  <si>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</si>
  <si>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</si>
  <si>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</si>
  <si>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</si>
  <si>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</si>
  <si>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</si>
  <si>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</si>
  <si>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</si>
  <si>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</si>
  <si>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</si>
  <si>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</si>
  <si>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</si>
  <si>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</si>
  <si>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</si>
  <si>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</si>
  <si>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</si>
  <si>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</si>
  <si>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</si>
  <si>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</si>
  <si>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</si>
  <si>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</si>
  <si>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</si>
  <si>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</si>
  <si>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</si>
  <si>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</si>
  <si>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</si>
  <si>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</si>
  <si>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</si>
  <si>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</si>
  <si>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</si>
  <si>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</si>
  <si>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</si>
  <si>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</si>
  <si>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</si>
  <si>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</si>
  <si>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</si>
  <si>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</si>
  <si>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</si>
  <si>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</si>
  <si>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</si>
  <si>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</si>
  <si>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</si>
  <si>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</si>
  <si>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</si>
  <si>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</si>
  <si>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</si>
  <si>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</si>
  <si>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</si>
  <si>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</si>
  <si>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</si>
  <si>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</si>
  <si>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</si>
  <si>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</si>
  <si>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</si>
  <si>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</si>
  <si>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</si>
  <si>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</si>
  <si>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</si>
  <si>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</si>
  <si>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</si>
  <si>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</si>
  <si>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</si>
  <si>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</si>
  <si>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</si>
  <si>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</si>
  <si>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</si>
  <si>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</si>
  <si>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</si>
  <si>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</si>
  <si>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</si>
  <si>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</si>
  <si>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</si>
  <si>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</si>
  <si>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</si>
  <si>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</si>
  <si>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</si>
  <si>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</si>
  <si>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</si>
  <si>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</si>
  <si>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</si>
  <si>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</si>
  <si>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</si>
  <si>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</si>
  <si>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</si>
  <si>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</si>
  <si>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</si>
  <si>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</si>
  <si>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</si>
  <si>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</si>
  <si>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</si>
  <si>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</si>
  <si>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</si>
  <si>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</si>
  <si>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</si>
  <si>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</si>
  <si>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</si>
  <si>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</si>
  <si>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</si>
  <si>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</si>
  <si>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</si>
  <si>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</si>
  <si>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</si>
  <si>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</si>
  <si>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</si>
  <si>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</si>
  <si>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</si>
  <si>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</si>
  <si>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</si>
  <si>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</si>
  <si>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</si>
  <si>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</si>
  <si>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</si>
  <si>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</si>
  <si>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</si>
  <si>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</si>
  <si>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</si>
  <si>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</si>
  <si>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</si>
  <si>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</si>
  <si>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</si>
  <si>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</si>
  <si>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</si>
  <si>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</si>
  <si>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</si>
  <si>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</si>
  <si>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</si>
  <si>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</si>
  <si>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</si>
  <si>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</si>
  <si>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</si>
  <si>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</si>
  <si>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</si>
  <si>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</si>
  <si>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</si>
  <si>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</si>
  <si>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</si>
  <si>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</si>
  <si>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</si>
  <si>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</si>
  <si>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</si>
  <si>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</si>
  <si>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</si>
  <si>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</si>
  <si>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</si>
  <si>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</si>
  <si>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</si>
  <si>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</si>
  <si>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</si>
  <si>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</si>
  <si>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</si>
  <si>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</si>
  <si>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</si>
  <si>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</si>
  <si>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</si>
  <si>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</si>
  <si>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</si>
  <si>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</si>
  <si>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</si>
  <si>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</si>
  <si>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</si>
  <si>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</si>
  <si>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</si>
  <si>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</si>
  <si>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</si>
  <si>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</si>
  <si>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</si>
  <si>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</si>
  <si>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</si>
  <si>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</si>
  <si>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</si>
  <si>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</si>
  <si>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</si>
  <si>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</si>
  <si>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</si>
  <si>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</si>
  <si>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</si>
  <si>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</si>
  <si>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</si>
  <si>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</si>
  <si>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</si>
  <si>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</si>
  <si>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</si>
  <si>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</si>
  <si>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</si>
  <si>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</si>
  <si>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</si>
  <si>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</si>
  <si>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</si>
  <si>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</si>
  <si>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</si>
  <si>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</si>
  <si>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</si>
  <si>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</si>
  <si>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</si>
  <si>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</si>
  <si>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</si>
  <si>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</si>
  <si>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</si>
  <si>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</si>
  <si>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</si>
  <si>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</si>
  <si>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</si>
  <si>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</si>
  <si>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</si>
  <si>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</si>
  <si>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</si>
  <si>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</si>
  <si>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</si>
  <si>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</si>
  <si>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</si>
  <si>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</si>
  <si>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</si>
  <si>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</si>
  <si>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</si>
  <si>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</si>
  <si>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</si>
  <si>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</si>
  <si>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</si>
  <si>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</si>
  <si>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</si>
  <si>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</si>
  <si>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</si>
  <si>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</si>
  <si>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</si>
  <si>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</si>
  <si>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</si>
  <si>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</si>
  <si>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</si>
  <si>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</si>
  <si>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</si>
  <si>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</si>
  <si>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</si>
  <si>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</si>
  <si>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</si>
  <si>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</si>
  <si>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</si>
  <si>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</si>
  <si>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</si>
  <si>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</si>
  <si>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</si>
  <si>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</si>
  <si>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</si>
  <si>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</si>
  <si>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</si>
  <si>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</si>
  <si>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</si>
  <si>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</si>
  <si>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</si>
  <si>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</si>
  <si>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</si>
  <si>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</si>
  <si>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</si>
  <si>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</si>
  <si>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</si>
  <si>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</si>
  <si>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</si>
  <si>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</si>
  <si>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</si>
  <si>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</si>
  <si>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</si>
  <si>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</si>
  <si>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</si>
  <si>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</si>
  <si>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</si>
  <si>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</si>
  <si>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</si>
  <si>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</si>
  <si>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</si>
  <si>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</si>
  <si>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</si>
  <si>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</si>
  <si>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</si>
  <si>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</si>
  <si>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</si>
  <si>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</si>
  <si>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</si>
  <si>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</si>
  <si>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</si>
  <si>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</si>
  <si>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</si>
  <si>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</si>
  <si>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</si>
  <si>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</si>
  <si>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</si>
  <si>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</si>
  <si>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</si>
  <si>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</si>
  <si>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</si>
  <si>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</si>
  <si>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</si>
  <si>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</si>
  <si>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</si>
  <si>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</si>
  <si>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</si>
  <si>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</si>
  <si>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</si>
  <si>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</si>
  <si>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</si>
  <si>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</si>
  <si>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</si>
  <si>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</si>
  <si>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</si>
  <si>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</si>
  <si>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</si>
  <si>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</si>
  <si>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</si>
  <si>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</si>
  <si>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</si>
  <si>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</si>
  <si>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</si>
  <si>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</si>
  <si>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</si>
  <si>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</si>
  <si>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</si>
  <si>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</si>
  <si>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</si>
  <si>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</si>
  <si>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</si>
  <si>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</si>
  <si>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</si>
  <si>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</si>
  <si>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</si>
  <si>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</si>
  <si>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</si>
  <si>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</si>
  <si>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</si>
  <si>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</si>
  <si>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</si>
  <si>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</si>
  <si>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</si>
  <si>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</si>
  <si>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</si>
  <si>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</si>
  <si>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</si>
  <si>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</si>
  <si>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</si>
  <si>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</si>
  <si>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</si>
  <si>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</si>
  <si>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</si>
  <si>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</si>
  <si>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</si>
  <si>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</si>
  <si>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</si>
  <si>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</si>
  <si>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</si>
  <si>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</si>
  <si>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</si>
  <si>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</si>
  <si>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</si>
  <si>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</si>
  <si>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</si>
  <si>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</si>
  <si>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</si>
  <si>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</si>
  <si>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</si>
  <si>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</si>
  <si>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</si>
  <si>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</si>
  <si>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</si>
  <si>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</si>
  <si>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</si>
  <si>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</si>
  <si>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</si>
  <si>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</si>
  <si>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</si>
  <si>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</si>
  <si>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</si>
  <si>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</si>
  <si>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</si>
  <si>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</si>
  <si>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</si>
  <si>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</si>
  <si>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</si>
  <si>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</si>
  <si>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</si>
  <si>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</si>
  <si>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</si>
  <si>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</si>
  <si>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</si>
  <si>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</si>
  <si>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</si>
  <si>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</si>
  <si>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</si>
  <si>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</si>
  <si>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</si>
  <si>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</si>
  <si>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</si>
  <si>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</si>
  <si>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</si>
  <si>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</si>
  <si>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</si>
  <si>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</si>
  <si>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</si>
  <si>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</si>
  <si>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Will Lincoln run? Y or N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</si>
  <si>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</si>
  <si>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</si>
  <si>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</si>
  <si>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</si>
  <si>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</si>
  <si>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</si>
  <si>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</si>
  <si>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</si>
  <si>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</si>
  <si>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</si>
  <si>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</si>
  <si>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</si>
  <si>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</si>
  <si>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</si>
  <si>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</si>
  <si>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PARTLY CLOUDY.</t>
  </si>
  <si>
    <t>SUNNY. LIGHT EAST WINDS. OVERNIGHT…CLEAR. LIGHT WINDS.</t>
  </si>
  <si>
    <t>SUNNY AND HOT. A LITTLE COOLER NEAR THE LAKE. OVERNIGHT…CLEAR.</t>
  </si>
  <si>
    <t xml:space="preserve">MOSTLY SUNNY AND HOT. </t>
  </si>
  <si>
    <t>PARTLY SUNNY…HOT AND HUMID.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</si>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</sst>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8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0" fontId="28" fillId="5" borderId="84" xfId="0" applyFont="1" applyFill="1" applyBorder="1" applyAlignment="1">
      <alignment horizontal="left"/>
    </xf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4" fillId="6" borderId="175" xfId="0" applyFont="1" applyFill="1" applyBorder="1" applyAlignment="1">
      <alignment horizontal="left"/>
    </xf>
    <xf numFmtId="0" fontId="30" fillId="6" borderId="176" xfId="0" applyFont="1" applyFill="1" applyBorder="1" applyAlignment="1">
      <alignment horizontal="left"/>
    </xf>
    <xf numFmtId="0" fontId="28" fillId="6" borderId="176" xfId="0" quotePrefix="1" applyFont="1" applyFill="1" applyBorder="1" applyAlignment="1">
      <alignment horizontal="center"/>
    </xf>
    <xf numFmtId="0" fontId="6" fillId="5" borderId="176" xfId="0" applyFont="1" applyFill="1" applyBorder="1"/>
    <xf numFmtId="0" fontId="28" fillId="6" borderId="175" xfId="0" applyFont="1" applyFill="1" applyBorder="1" applyAlignment="1">
      <alignment horizontal="centerContinuous"/>
    </xf>
    <xf numFmtId="0" fontId="28" fillId="6" borderId="176" xfId="0" applyFont="1" applyFill="1" applyBorder="1" applyAlignment="1">
      <alignment horizontal="centerContinuous"/>
    </xf>
    <xf numFmtId="0" fontId="31" fillId="6" borderId="176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167" fontId="29" fillId="0" borderId="8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6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167" fontId="7" fillId="0" borderId="23" xfId="0" applyNumberFormat="1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48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48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48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49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49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49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06" t="s">
        <v>9</v>
      </c>
      <c r="B1" s="777"/>
    </row>
    <row r="2" spans="1:88">
      <c r="A2" s="1006" t="s">
        <v>9</v>
      </c>
      <c r="B2" t="s">
        <v>9</v>
      </c>
    </row>
    <row r="3" spans="1:88" ht="15.6" thickBot="1">
      <c r="A3" s="107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38"/>
      <c r="B4" s="777" t="s">
        <v>158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380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5" t="s">
        <v>621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562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562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42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683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560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560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158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562</v>
      </c>
    </row>
    <row r="26" spans="1:13">
      <c r="A26" t="s">
        <v>9</v>
      </c>
      <c r="B26" t="s">
        <v>9</v>
      </c>
      <c r="C26" t="s">
        <v>158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562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2" t="s">
        <v>576</v>
      </c>
      <c r="B1" s="801"/>
      <c r="C1" s="801"/>
      <c r="D1" s="801"/>
      <c r="E1" s="801"/>
      <c r="F1" s="801"/>
      <c r="G1" s="801" t="s">
        <v>130</v>
      </c>
      <c r="H1" s="843" t="str">
        <f>D3</f>
        <v>SAT</v>
      </c>
      <c r="I1" s="844">
        <f>D4</f>
        <v>37107</v>
      </c>
      <c r="J1" s="110"/>
    </row>
    <row r="2" spans="1:10" ht="24.9" customHeight="1">
      <c r="A2" s="804" t="s">
        <v>152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" customHeight="1" thickBot="1">
      <c r="A3" s="807"/>
      <c r="B3" s="805"/>
      <c r="C3" s="805"/>
      <c r="D3" s="808" t="str">
        <f t="shared" ref="D3:I3" si="0">CHOOSE(WEEKDAY(D4),"SUN","MON","TUE","WED","THU","FRI","SAT")</f>
        <v>SAT</v>
      </c>
      <c r="E3" s="808" t="str">
        <f t="shared" si="0"/>
        <v>SUN</v>
      </c>
      <c r="F3" s="808" t="str">
        <f t="shared" si="0"/>
        <v>MON</v>
      </c>
      <c r="G3" s="808" t="str">
        <f t="shared" si="0"/>
        <v>TUE</v>
      </c>
      <c r="H3" s="808" t="str">
        <f t="shared" si="0"/>
        <v>WED</v>
      </c>
      <c r="I3" s="809" t="str">
        <f t="shared" si="0"/>
        <v>THU</v>
      </c>
      <c r="J3" s="110"/>
    </row>
    <row r="4" spans="1:10" ht="24.9" customHeight="1" thickBot="1">
      <c r="A4" s="810" t="s">
        <v>153</v>
      </c>
      <c r="B4" s="811"/>
      <c r="C4" s="811"/>
      <c r="D4" s="812">
        <f>Weather_Input!A5</f>
        <v>37107</v>
      </c>
      <c r="E4" s="812">
        <f>Weather_Input!A6</f>
        <v>37108</v>
      </c>
      <c r="F4" s="812">
        <f>Weather_Input!A7</f>
        <v>37109</v>
      </c>
      <c r="G4" s="812">
        <f>Weather_Input!A8</f>
        <v>37110</v>
      </c>
      <c r="H4" s="812">
        <f>Weather_Input!A9</f>
        <v>37111</v>
      </c>
      <c r="I4" s="813">
        <f>Weather_Input!A10</f>
        <v>37112</v>
      </c>
      <c r="J4" s="110"/>
    </row>
    <row r="5" spans="1:10" s="111" customFormat="1" ht="24.9" customHeight="1" thickTop="1">
      <c r="A5" s="814" t="s">
        <v>132</v>
      </c>
      <c r="B5" s="805"/>
      <c r="C5" s="805" t="s">
        <v>133</v>
      </c>
      <c r="D5" s="845" t="str">
        <f>TEXT(Weather_Input!B5,"0")&amp;"/"&amp;TEXT(Weather_Input!C5,"0") &amp; "/" &amp; TEXT((Weather_Input!B5+Weather_Input!C5)/2,"0")</f>
        <v>86/66/76</v>
      </c>
      <c r="E5" s="845" t="str">
        <f>TEXT(Weather_Input!B6,"0")&amp;"/"&amp;TEXT(Weather_Input!C6,"0") &amp; "/" &amp; TEXT((Weather_Input!B6+Weather_Input!C6)/2,"0")</f>
        <v>92/70/81</v>
      </c>
      <c r="F5" s="845" t="str">
        <f>TEXT(Weather_Input!B7,"0")&amp;"/"&amp;TEXT(Weather_Input!C7,"0") &amp; "/" &amp; TEXT((Weather_Input!B7+Weather_Input!C7)/2,"0")</f>
        <v>92/72/82</v>
      </c>
      <c r="G5" s="845" t="str">
        <f>TEXT(Weather_Input!B8,"0")&amp;"/"&amp;TEXT(Weather_Input!C8,"0") &amp; "/" &amp; TEXT((Weather_Input!B8+Weather_Input!C8)/2,"0")</f>
        <v>93/74/84</v>
      </c>
      <c r="H5" s="845" t="str">
        <f>TEXT(Weather_Input!B9,"0")&amp;"/"&amp;TEXT(Weather_Input!C9,"0") &amp; "/" &amp; TEXT((Weather_Input!B9+Weather_Input!C9)/2,"0")</f>
        <v>93/72/83</v>
      </c>
      <c r="I5" s="846" t="str">
        <f>TEXT(Weather_Input!B10,"0")&amp;"/"&amp;TEXT(Weather_Input!C10,"0") &amp; "/" &amp; TEXT((Weather_Input!B10+Weather_Input!C10)/2,"0")</f>
        <v>93/72/83</v>
      </c>
      <c r="J5" s="110"/>
    </row>
    <row r="6" spans="1:10" ht="24.9" customHeight="1">
      <c r="A6" s="817" t="s">
        <v>134</v>
      </c>
      <c r="B6" s="805"/>
      <c r="C6" s="805"/>
      <c r="D6" s="815">
        <f ca="1">VLOOKUP(D4,NSG_Sendouts,CELL("Col",NSG_Deliveries!C5),FALSE)/1000</f>
        <v>28</v>
      </c>
      <c r="E6" s="815">
        <f ca="1">VLOOKUP(E4,NSG_Sendouts,CELL("Col",NSG_Deliveries!C6),FALSE)/1000</f>
        <v>29</v>
      </c>
      <c r="F6" s="815">
        <f ca="1">VLOOKUP(F4,NSG_Sendouts,CELL("Col",NSG_Deliveries!C7),FALSE)/1000</f>
        <v>32</v>
      </c>
      <c r="G6" s="815">
        <f ca="1">VLOOKUP(G4,NSG_Sendouts,CELL("Col",NSG_Deliveries!C8),FALSE)/1000</f>
        <v>32</v>
      </c>
      <c r="H6" s="815">
        <f ca="1">VLOOKUP(H4,NSG_Sendouts,CELL("Col",NSG_Deliveries!C9),FALSE)/1000</f>
        <v>32</v>
      </c>
      <c r="I6" s="820">
        <f ca="1">VLOOKUP(I4,NSG_Sendouts,CELL("Col",NSG_Deliveries!C10),FALSE)/1000</f>
        <v>32</v>
      </c>
      <c r="J6" s="111"/>
    </row>
    <row r="7" spans="1:10" ht="24.9" customHeight="1">
      <c r="A7" s="814" t="s">
        <v>138</v>
      </c>
      <c r="B7" s="805" t="s">
        <v>139</v>
      </c>
      <c r="C7" s="805" t="s">
        <v>58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" customHeight="1">
      <c r="A8" s="814"/>
      <c r="B8" s="805" t="s">
        <v>137</v>
      </c>
      <c r="C8" s="819" t="s">
        <v>87</v>
      </c>
      <c r="D8" s="815">
        <f>NSG_Requirements!J7/1000</f>
        <v>7</v>
      </c>
      <c r="E8" s="815">
        <f>NSG_Requirements!J8/1000</f>
        <v>7</v>
      </c>
      <c r="F8" s="815">
        <f>NSG_Requirements!J9/1000</f>
        <v>7</v>
      </c>
      <c r="G8" s="815">
        <f>NSG_Requirements!J10/1000</f>
        <v>7</v>
      </c>
      <c r="H8" s="815">
        <f>NSG_Requirements!J11/1000</f>
        <v>7</v>
      </c>
      <c r="I8" s="816">
        <f>NSG_Requirements!J12/1000</f>
        <v>7</v>
      </c>
      <c r="J8" s="110"/>
    </row>
    <row r="9" spans="1:10" ht="24.9" customHeight="1">
      <c r="A9" s="814"/>
      <c r="B9" s="805" t="s">
        <v>135</v>
      </c>
      <c r="C9" s="819" t="s">
        <v>87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" customHeight="1">
      <c r="A10" s="832" t="s">
        <v>154</v>
      </c>
      <c r="B10" s="833" t="s">
        <v>370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" customHeight="1" thickBot="1">
      <c r="A11" s="849" t="s">
        <v>143</v>
      </c>
      <c r="B11" s="839"/>
      <c r="C11" s="839"/>
      <c r="D11" s="824">
        <f t="shared" ref="D11:I11" ca="1" si="1">SUM(D6:D10)</f>
        <v>35</v>
      </c>
      <c r="E11" s="824">
        <f t="shared" ca="1" si="1"/>
        <v>36</v>
      </c>
      <c r="F11" s="824">
        <f t="shared" ca="1" si="1"/>
        <v>39</v>
      </c>
      <c r="G11" s="824">
        <f t="shared" ca="1" si="1"/>
        <v>39</v>
      </c>
      <c r="H11" s="824">
        <f t="shared" ca="1" si="1"/>
        <v>39</v>
      </c>
      <c r="I11" s="825">
        <f t="shared" ca="1" si="1"/>
        <v>39</v>
      </c>
      <c r="J11" s="110"/>
    </row>
    <row r="12" spans="1:10" ht="24.9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" customHeight="1" thickTop="1" thickBot="1">
      <c r="A13" s="853" t="s">
        <v>144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" customHeight="1" thickTop="1">
      <c r="A14" s="814" t="s">
        <v>678</v>
      </c>
      <c r="B14" s="805" t="s">
        <v>139</v>
      </c>
      <c r="C14" s="805" t="s">
        <v>155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" customHeight="1">
      <c r="A15" s="814"/>
      <c r="B15" s="805" t="s">
        <v>137</v>
      </c>
      <c r="C15" s="805" t="s">
        <v>146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" customHeight="1">
      <c r="A16" s="814"/>
      <c r="B16" s="805"/>
      <c r="C16" s="819" t="s">
        <v>743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" customHeight="1">
      <c r="A17" s="814"/>
      <c r="B17" s="805" t="s">
        <v>135</v>
      </c>
      <c r="C17" s="819" t="s">
        <v>744</v>
      </c>
      <c r="D17" s="815">
        <f>NSG_Supplies!F7/1000</f>
        <v>3.27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" customHeight="1">
      <c r="A18" s="814"/>
      <c r="B18" s="805" t="s">
        <v>81</v>
      </c>
      <c r="C18" s="805" t="s">
        <v>679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" customHeight="1">
      <c r="A19" s="814" t="s">
        <v>156</v>
      </c>
      <c r="B19" s="805" t="s">
        <v>135</v>
      </c>
      <c r="C19" s="1056" t="s">
        <v>680</v>
      </c>
      <c r="D19" s="815">
        <f>NSG_Supplies!Q7/1000</f>
        <v>24.728999999999999</v>
      </c>
      <c r="E19" s="815">
        <f>NSG_Supplies!Q8/1000</f>
        <v>24.728999999999999</v>
      </c>
      <c r="F19" s="815">
        <f>NSG_Supplies!Q9/1000</f>
        <v>24.728999999999999</v>
      </c>
      <c r="G19" s="815">
        <f>NSG_Supplies!Q10/1000</f>
        <v>24.728999999999999</v>
      </c>
      <c r="H19" s="815">
        <f>NSG_Supplies!Q11/1000</f>
        <v>24.728999999999999</v>
      </c>
      <c r="I19" s="816">
        <f>NSG_Supplies!Q12/1000</f>
        <v>24.728999999999999</v>
      </c>
      <c r="J19" s="110"/>
    </row>
    <row r="20" spans="1:13" ht="24.9" customHeight="1">
      <c r="A20" s="814"/>
      <c r="B20" s="805" t="s">
        <v>137</v>
      </c>
      <c r="C20" s="805" t="s">
        <v>568</v>
      </c>
      <c r="D20" s="815">
        <f>NSG_Supplies!P7/1000</f>
        <v>7</v>
      </c>
      <c r="E20" s="815">
        <f>NSG_Supplies!P8/1000</f>
        <v>7</v>
      </c>
      <c r="F20" s="815">
        <f>NSG_Supplies!P9/1000</f>
        <v>7</v>
      </c>
      <c r="G20" s="815">
        <f>NSG_Supplies!P10/1000</f>
        <v>7</v>
      </c>
      <c r="H20" s="815">
        <f>NSG_Supplies!P11/1000</f>
        <v>7</v>
      </c>
      <c r="I20" s="816">
        <f>NSG_Supplies!P12/1000</f>
        <v>7</v>
      </c>
      <c r="J20" s="110"/>
    </row>
    <row r="21" spans="1:13" ht="24.9" customHeight="1" thickBot="1">
      <c r="A21" s="1201" t="s">
        <v>149</v>
      </c>
      <c r="B21" s="1202"/>
      <c r="C21" s="1202"/>
      <c r="D21" s="1203">
        <f t="shared" ref="D21:I21" si="2">SUM(D14:D20)</f>
        <v>34.998999999999995</v>
      </c>
      <c r="E21" s="1203">
        <f t="shared" si="2"/>
        <v>31.728999999999999</v>
      </c>
      <c r="F21" s="1203">
        <f t="shared" si="2"/>
        <v>31.728999999999999</v>
      </c>
      <c r="G21" s="1203">
        <f t="shared" si="2"/>
        <v>31.728999999999999</v>
      </c>
      <c r="H21" s="1203">
        <f t="shared" si="2"/>
        <v>31.728999999999999</v>
      </c>
      <c r="I21" s="1204">
        <f t="shared" si="2"/>
        <v>31.728999999999999</v>
      </c>
      <c r="J21" s="110"/>
      <c r="K21" s="111"/>
      <c r="L21" s="93"/>
      <c r="M21" s="111"/>
    </row>
    <row r="22" spans="1:13" ht="24.9" customHeight="1">
      <c r="A22" s="854" t="s">
        <v>150</v>
      </c>
      <c r="B22" s="855"/>
      <c r="C22" s="855"/>
      <c r="D22" s="856">
        <f t="shared" ref="D22:I22" ca="1" si="3">IF(D21-D11&lt;0,0,D21-D11)</f>
        <v>0</v>
      </c>
      <c r="E22" s="856">
        <f t="shared" ca="1" si="3"/>
        <v>0</v>
      </c>
      <c r="F22" s="856">
        <f t="shared" ca="1" si="3"/>
        <v>0</v>
      </c>
      <c r="G22" s="856">
        <f t="shared" ca="1" si="3"/>
        <v>0</v>
      </c>
      <c r="H22" s="856">
        <f t="shared" ca="1" si="3"/>
        <v>0</v>
      </c>
      <c r="I22" s="857">
        <f t="shared" ca="1" si="3"/>
        <v>0</v>
      </c>
      <c r="J22" s="110"/>
      <c r="K22" s="111"/>
      <c r="L22" s="93"/>
      <c r="M22" s="111"/>
    </row>
    <row r="23" spans="1:13" ht="24.9" customHeight="1" thickBot="1">
      <c r="A23" s="858" t="s">
        <v>151</v>
      </c>
      <c r="B23" s="839"/>
      <c r="C23" s="839"/>
      <c r="D23" s="840">
        <f t="shared" ref="D23:I23" ca="1" si="4">IF(D11-D21&lt;0,0,D11-D21)</f>
        <v>1.0000000000047748E-3</v>
      </c>
      <c r="E23" s="840">
        <f t="shared" ca="1" si="4"/>
        <v>4.2710000000000008</v>
      </c>
      <c r="F23" s="840">
        <f t="shared" ca="1" si="4"/>
        <v>7.2710000000000008</v>
      </c>
      <c r="G23" s="840">
        <f t="shared" ca="1" si="4"/>
        <v>7.2710000000000008</v>
      </c>
      <c r="H23" s="840">
        <f t="shared" ca="1" si="4"/>
        <v>7.2710000000000008</v>
      </c>
      <c r="I23" s="841">
        <f t="shared" ca="1" si="4"/>
        <v>7.2710000000000008</v>
      </c>
      <c r="J23" s="110"/>
      <c r="K23" s="111"/>
      <c r="L23" s="111"/>
      <c r="M23" s="111"/>
    </row>
    <row r="24" spans="1:13" ht="24.9" customHeight="1" thickTop="1" thickBot="1">
      <c r="A24" s="1057" t="s">
        <v>681</v>
      </c>
      <c r="B24" s="1058"/>
      <c r="C24" s="1058"/>
      <c r="D24" s="1059">
        <f>NSG_Supplies!R7/1000</f>
        <v>14.739000000000001</v>
      </c>
      <c r="E24" s="1059">
        <f>NSG_Supplies!R8/1000</f>
        <v>14.739000000000001</v>
      </c>
      <c r="F24" s="1059">
        <f>NSG_Supplies!R9/1000</f>
        <v>14.739000000000001</v>
      </c>
      <c r="G24" s="1059">
        <f>NSG_Supplies!R10/1000</f>
        <v>14.739000000000001</v>
      </c>
      <c r="H24" s="1059">
        <f>NSG_Supplies!R11/1000</f>
        <v>14.739000000000001</v>
      </c>
      <c r="I24" s="1060">
        <f>NSG_Supplies!R12/1000</f>
        <v>14.739000000000001</v>
      </c>
    </row>
    <row r="25" spans="1:13" ht="24.9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" customHeight="1" thickTop="1" thickBot="1">
      <c r="A26" s="861" t="s">
        <v>157</v>
      </c>
      <c r="B26" s="862"/>
      <c r="C26" s="862"/>
      <c r="D26" s="863">
        <f>Weather_Input!D5</f>
        <v>7</v>
      </c>
      <c r="E26" s="863">
        <f>Weather_Input!D6</f>
        <v>8</v>
      </c>
      <c r="F26" s="863">
        <f>Weather_Input!D7</f>
        <v>10</v>
      </c>
      <c r="G26" s="864"/>
      <c r="H26" s="859"/>
      <c r="I26" s="859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A14" zoomScale="75" workbookViewId="0">
      <selection activeCell="A37" sqref="A37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01" t="s">
        <v>9</v>
      </c>
      <c r="B1" s="1098" t="s">
        <v>9</v>
      </c>
      <c r="C1" s="1099" t="s">
        <v>657</v>
      </c>
      <c r="D1" s="1100"/>
      <c r="E1" s="1101" t="s">
        <v>9</v>
      </c>
      <c r="F1" s="1102" t="s">
        <v>696</v>
      </c>
      <c r="G1" s="1103" t="s">
        <v>9</v>
      </c>
      <c r="H1" s="1104"/>
      <c r="I1" s="1146" t="s">
        <v>9</v>
      </c>
      <c r="J1" s="571"/>
      <c r="K1" s="571"/>
      <c r="L1" s="572" t="s">
        <v>159</v>
      </c>
      <c r="M1" s="1177">
        <f>Weather_Input!A5</f>
        <v>37107</v>
      </c>
      <c r="N1" s="1178" t="str">
        <f>CHOOSE(WEEKDAY(M1),"SUN","MON","TUE","WED","THU","FRI","SAT")</f>
        <v>SAT</v>
      </c>
      <c r="O1" s="576"/>
    </row>
    <row r="2" spans="1:17" ht="16.2" thickTop="1" thickBot="1">
      <c r="A2" s="416" t="s">
        <v>660</v>
      </c>
      <c r="B2" s="315">
        <f>PGL_Supplies!W7/1000</f>
        <v>0</v>
      </c>
      <c r="C2" s="8"/>
      <c r="D2" s="596"/>
      <c r="E2" s="551" t="s">
        <v>395</v>
      </c>
      <c r="F2" s="1078"/>
      <c r="G2" s="546" t="s">
        <v>9</v>
      </c>
      <c r="H2" s="1092" t="s">
        <v>9</v>
      </c>
      <c r="I2" s="250" t="s">
        <v>498</v>
      </c>
      <c r="J2" s="1119" t="s">
        <v>378</v>
      </c>
      <c r="K2" s="1123" t="s">
        <v>162</v>
      </c>
      <c r="L2" s="1124" t="s">
        <v>21</v>
      </c>
      <c r="M2" s="1123" t="s">
        <v>162</v>
      </c>
      <c r="N2" s="1119" t="s">
        <v>21</v>
      </c>
      <c r="O2" s="1125" t="s">
        <v>162</v>
      </c>
      <c r="Q2" s="1097" t="s">
        <v>9</v>
      </c>
    </row>
    <row r="3" spans="1:17" ht="15.6">
      <c r="A3" s="416" t="s">
        <v>691</v>
      </c>
      <c r="B3" s="1138">
        <f>PGL_Requirements!I7/1000</f>
        <v>5.3</v>
      </c>
      <c r="C3" s="931" t="s">
        <v>9</v>
      </c>
      <c r="D3" s="304"/>
      <c r="E3" s="551" t="s">
        <v>444</v>
      </c>
      <c r="F3" s="315">
        <f>PGL_Supplies!H7/1000</f>
        <v>20</v>
      </c>
      <c r="G3" s="379" t="s">
        <v>9</v>
      </c>
      <c r="H3" s="1092" t="s">
        <v>9</v>
      </c>
      <c r="I3" s="1147" t="s">
        <v>9</v>
      </c>
      <c r="J3" s="917">
        <f>Weather_Input!B5</f>
        <v>86</v>
      </c>
      <c r="K3" s="918">
        <f>Weather_Input!C5</f>
        <v>66</v>
      </c>
      <c r="L3" s="587" t="s">
        <v>9</v>
      </c>
      <c r="M3" s="260" t="s">
        <v>9</v>
      </c>
      <c r="N3" s="260"/>
      <c r="O3" s="258"/>
    </row>
    <row r="4" spans="1:17" ht="15.6" thickBot="1">
      <c r="A4" s="240" t="s">
        <v>693</v>
      </c>
      <c r="B4" s="1139">
        <v>0</v>
      </c>
      <c r="C4" s="119"/>
      <c r="D4" s="943"/>
      <c r="E4" s="520" t="s">
        <v>445</v>
      </c>
      <c r="F4" s="1172">
        <v>0</v>
      </c>
      <c r="G4" s="509" t="s">
        <v>9</v>
      </c>
      <c r="H4" s="1197"/>
      <c r="I4" t="s">
        <v>727</v>
      </c>
      <c r="J4" s="1010" t="s">
        <v>9</v>
      </c>
      <c r="K4" s="1216">
        <v>76.7</v>
      </c>
      <c r="L4" s="425"/>
      <c r="M4" s="1012"/>
      <c r="N4" s="425"/>
      <c r="O4" s="778"/>
    </row>
    <row r="5" spans="1:17" ht="16.2" thickBot="1">
      <c r="A5" s="1021" t="s">
        <v>3</v>
      </c>
      <c r="B5" s="315">
        <f>PGL_Supplies!X7/1000</f>
        <v>96.88</v>
      </c>
      <c r="C5" s="1013" t="s">
        <v>9</v>
      </c>
      <c r="D5" s="340"/>
      <c r="E5" s="1157" t="s">
        <v>421</v>
      </c>
      <c r="F5" s="937">
        <f>F3+F4</f>
        <v>20</v>
      </c>
      <c r="G5" s="549" t="s">
        <v>9</v>
      </c>
      <c r="H5" s="1186" t="s">
        <v>9</v>
      </c>
      <c r="I5" s="1148" t="s">
        <v>388</v>
      </c>
      <c r="J5" s="1049" t="s">
        <v>9</v>
      </c>
      <c r="K5" s="1217">
        <f>PGL_Deliveries!C5/1000</f>
        <v>168</v>
      </c>
      <c r="L5" s="585"/>
      <c r="M5" s="260"/>
      <c r="N5" s="585"/>
      <c r="O5" s="258"/>
    </row>
    <row r="6" spans="1:17" ht="16.2" thickBot="1">
      <c r="A6" s="542" t="s">
        <v>412</v>
      </c>
      <c r="B6" s="1016">
        <f>+B5-B3+B2-B4</f>
        <v>91.58</v>
      </c>
      <c r="C6" s="1017" t="s">
        <v>9</v>
      </c>
      <c r="D6" s="514"/>
      <c r="E6" s="618" t="s">
        <v>9</v>
      </c>
      <c r="F6" s="941" t="s">
        <v>35</v>
      </c>
      <c r="G6" s="942"/>
      <c r="H6" s="1093"/>
      <c r="I6" s="119" t="s">
        <v>675</v>
      </c>
      <c r="J6" s="1050"/>
      <c r="K6" s="1218">
        <f>PGL_Requirements!X7/1000</f>
        <v>0</v>
      </c>
      <c r="L6" s="1050"/>
      <c r="M6" s="1051"/>
      <c r="N6" s="119"/>
      <c r="O6" s="116"/>
    </row>
    <row r="7" spans="1:17" ht="16.2" thickBot="1">
      <c r="A7" s="317" t="s">
        <v>9</v>
      </c>
      <c r="B7" s="1014" t="s">
        <v>9</v>
      </c>
      <c r="C7" s="936" t="s">
        <v>66</v>
      </c>
      <c r="D7" s="1015"/>
      <c r="E7" s="416" t="s">
        <v>423</v>
      </c>
      <c r="F7" s="315">
        <f>PGL_Supplies!O7/1000</f>
        <v>0</v>
      </c>
      <c r="G7" s="372" t="s">
        <v>9</v>
      </c>
      <c r="H7" s="1086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563</v>
      </c>
      <c r="B8" s="315">
        <f>PGL_Requirements!T7/1000</f>
        <v>38.917999999999999</v>
      </c>
      <c r="C8" s="577"/>
      <c r="D8" s="304"/>
      <c r="E8" s="416" t="s">
        <v>424</v>
      </c>
      <c r="F8" s="379">
        <f>PGL_Requirements!E7/1000</f>
        <v>2.4990000000000001</v>
      </c>
      <c r="G8" s="372" t="s">
        <v>9</v>
      </c>
      <c r="H8" s="1086"/>
      <c r="I8" s="1001" t="s">
        <v>689</v>
      </c>
      <c r="J8" s="284" t="s">
        <v>9</v>
      </c>
      <c r="K8" s="1219">
        <f>B4</f>
        <v>0</v>
      </c>
      <c r="L8" s="602"/>
      <c r="M8" s="260"/>
      <c r="N8" s="602"/>
      <c r="O8" s="258" t="s">
        <v>9</v>
      </c>
    </row>
    <row r="9" spans="1:17">
      <c r="A9" s="416" t="s">
        <v>633</v>
      </c>
      <c r="B9" s="315">
        <f>PGL_Supplies!P7/1000</f>
        <v>0</v>
      </c>
      <c r="C9" s="304"/>
      <c r="D9" s="304"/>
      <c r="E9" s="416" t="s">
        <v>425</v>
      </c>
      <c r="F9" s="315">
        <f>PGL_Supplies!F7/1000</f>
        <v>0</v>
      </c>
      <c r="G9" s="315"/>
      <c r="H9" s="1086"/>
      <c r="I9" s="119" t="s">
        <v>657</v>
      </c>
      <c r="J9" s="1010"/>
      <c r="K9" s="1220">
        <f>+B6</f>
        <v>91.58</v>
      </c>
      <c r="L9" s="1010"/>
      <c r="M9" s="1012"/>
      <c r="N9" s="425"/>
      <c r="O9" s="276" t="s">
        <v>9</v>
      </c>
    </row>
    <row r="10" spans="1:17" ht="15.6" thickBot="1">
      <c r="A10" s="617" t="s">
        <v>619</v>
      </c>
      <c r="B10" s="315">
        <f>PGL_Supplies!Y7/1000</f>
        <v>40.417999999999999</v>
      </c>
      <c r="C10" s="119"/>
      <c r="D10" s="1009"/>
      <c r="E10" s="416" t="s">
        <v>716</v>
      </c>
      <c r="F10" s="945">
        <f>PGL_Supplies!AC7/1000</f>
        <v>2.4990000000000001</v>
      </c>
      <c r="G10" s="510"/>
      <c r="H10" s="1087"/>
      <c r="I10" s="1149" t="s">
        <v>709</v>
      </c>
      <c r="J10" s="273" t="s">
        <v>9</v>
      </c>
      <c r="K10" s="1219">
        <f>B11</f>
        <v>1.5</v>
      </c>
      <c r="L10" s="585"/>
      <c r="M10" s="597" t="s">
        <v>9</v>
      </c>
      <c r="N10" s="585"/>
      <c r="O10" s="276" t="s">
        <v>9</v>
      </c>
    </row>
    <row r="11" spans="1:17" ht="16.2" thickBot="1">
      <c r="A11" s="542" t="s">
        <v>412</v>
      </c>
      <c r="B11" s="549">
        <f>B10+B9-B8</f>
        <v>1.5</v>
      </c>
      <c r="C11" s="514"/>
      <c r="D11" s="514"/>
      <c r="E11" s="771" t="s">
        <v>513</v>
      </c>
      <c r="F11" s="946">
        <f>+F10+F9-F8+F7</f>
        <v>0</v>
      </c>
      <c r="G11" s="937" t="s">
        <v>9</v>
      </c>
      <c r="H11" s="515"/>
      <c r="I11" s="1149" t="s">
        <v>58</v>
      </c>
      <c r="J11" s="273" t="s">
        <v>9</v>
      </c>
      <c r="K11" s="1219">
        <f>B19</f>
        <v>-176.28</v>
      </c>
      <c r="L11" s="585"/>
      <c r="M11" s="260" t="s">
        <v>9</v>
      </c>
      <c r="N11" s="585"/>
      <c r="O11" s="258"/>
    </row>
    <row r="12" spans="1:17" ht="16.2" thickBot="1">
      <c r="A12" s="538" t="s">
        <v>9</v>
      </c>
      <c r="B12" s="543" t="s">
        <v>9</v>
      </c>
      <c r="C12" s="936" t="s">
        <v>58</v>
      </c>
      <c r="D12" s="541"/>
      <c r="E12" s="1141" t="s">
        <v>9</v>
      </c>
      <c r="F12" s="1140" t="s">
        <v>728</v>
      </c>
      <c r="G12" s="350"/>
      <c r="H12" s="1091"/>
      <c r="I12" s="1149" t="s">
        <v>710</v>
      </c>
      <c r="J12" s="273" t="s">
        <v>9</v>
      </c>
      <c r="K12" s="1219">
        <f>B28</f>
        <v>0</v>
      </c>
      <c r="L12" s="585"/>
      <c r="M12" s="260" t="s">
        <v>9</v>
      </c>
      <c r="N12" s="585"/>
      <c r="O12" s="258"/>
    </row>
    <row r="13" spans="1:17">
      <c r="A13" s="416" t="s">
        <v>70</v>
      </c>
      <c r="B13" s="315">
        <f>PGL_Requirements!O7/1000</f>
        <v>177</v>
      </c>
      <c r="C13" s="304"/>
      <c r="D13" s="532"/>
      <c r="E13" s="564" t="s">
        <v>453</v>
      </c>
      <c r="F13" s="1078" t="s">
        <v>9</v>
      </c>
      <c r="G13" s="557" t="s">
        <v>9</v>
      </c>
      <c r="H13" s="1094" t="s">
        <v>9</v>
      </c>
      <c r="I13" s="1149" t="s">
        <v>711</v>
      </c>
      <c r="J13" s="277" t="s">
        <v>9</v>
      </c>
      <c r="K13" s="1219">
        <f>B34</f>
        <v>223.06099999999998</v>
      </c>
      <c r="L13" s="585"/>
      <c r="M13" s="260" t="s">
        <v>9</v>
      </c>
      <c r="N13" s="585"/>
      <c r="O13" s="258"/>
    </row>
    <row r="14" spans="1:17">
      <c r="A14" s="416" t="s">
        <v>417</v>
      </c>
      <c r="B14" s="315">
        <f>PGL_Supplies!L7/1000</f>
        <v>0</v>
      </c>
      <c r="C14" s="304"/>
      <c r="D14" s="532"/>
      <c r="E14" s="352" t="s">
        <v>454</v>
      </c>
      <c r="F14" s="304"/>
      <c r="G14" s="523"/>
      <c r="H14" s="1095"/>
      <c r="I14" s="1149" t="s">
        <v>391</v>
      </c>
      <c r="J14" s="273" t="s">
        <v>9</v>
      </c>
      <c r="K14" s="1221">
        <f>F5</f>
        <v>20</v>
      </c>
      <c r="L14" s="585"/>
      <c r="M14" s="260" t="s">
        <v>9</v>
      </c>
      <c r="N14" s="585"/>
      <c r="O14" s="258"/>
    </row>
    <row r="15" spans="1:17" ht="16.2" thickBot="1">
      <c r="A15" s="416" t="s">
        <v>418</v>
      </c>
      <c r="B15" s="315">
        <f>SUM(PGL_Requirements!B7/1000)</f>
        <v>0</v>
      </c>
      <c r="C15" s="304"/>
      <c r="D15" s="1086"/>
      <c r="E15" s="1143" t="s">
        <v>620</v>
      </c>
      <c r="F15" s="944"/>
      <c r="G15" s="1050"/>
      <c r="H15" s="1110"/>
      <c r="I15" s="1149" t="s">
        <v>712</v>
      </c>
      <c r="J15" s="273" t="s">
        <v>158</v>
      </c>
      <c r="K15" s="1219">
        <f>F11</f>
        <v>0</v>
      </c>
      <c r="L15" s="585"/>
      <c r="M15" s="260" t="s">
        <v>9</v>
      </c>
      <c r="N15" s="585"/>
      <c r="O15" s="258"/>
    </row>
    <row r="16" spans="1:17" ht="16.2" thickBot="1">
      <c r="A16" s="416" t="s">
        <v>419</v>
      </c>
      <c r="B16" s="315">
        <f>PGL_Supplies!G7/1000</f>
        <v>1</v>
      </c>
      <c r="C16" s="304"/>
      <c r="D16" s="1086"/>
      <c r="E16" s="1144" t="s">
        <v>9</v>
      </c>
      <c r="F16" s="1105" t="s">
        <v>446</v>
      </c>
      <c r="G16" s="1187"/>
      <c r="H16" s="1145"/>
      <c r="I16" s="1149" t="s">
        <v>514</v>
      </c>
      <c r="J16" s="273" t="s">
        <v>158</v>
      </c>
      <c r="K16" s="1221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653</v>
      </c>
      <c r="B17" s="315">
        <f>PGL_Requirements!Q7/1000</f>
        <v>0.28000000000000003</v>
      </c>
      <c r="C17" s="304"/>
      <c r="D17" s="1086"/>
      <c r="E17" s="525" t="s">
        <v>447</v>
      </c>
      <c r="F17" s="545">
        <f>+PGL_Supplies!J7/1000</f>
        <v>0</v>
      </c>
      <c r="G17" s="1170" t="s">
        <v>9</v>
      </c>
      <c r="H17" s="1096" t="s">
        <v>9</v>
      </c>
      <c r="I17" s="1142" t="s">
        <v>515</v>
      </c>
      <c r="J17" s="298" t="s">
        <v>9</v>
      </c>
      <c r="K17" s="1222">
        <f>-PGL_Requirements!F7/1000</f>
        <v>-2.68</v>
      </c>
      <c r="L17" s="585"/>
      <c r="M17" s="260"/>
      <c r="N17" s="585"/>
      <c r="O17" s="258"/>
    </row>
    <row r="18" spans="1:15" ht="16.2" thickBot="1">
      <c r="A18" s="416" t="s">
        <v>654</v>
      </c>
      <c r="B18" s="315">
        <f>PGL_Requirements!P7/1000</f>
        <v>2.6549999999999998</v>
      </c>
      <c r="C18" s="340"/>
      <c r="D18" s="1087"/>
      <c r="E18" s="618" t="s">
        <v>9</v>
      </c>
      <c r="F18" s="1105" t="s">
        <v>697</v>
      </c>
      <c r="G18" s="942"/>
      <c r="H18" s="1093"/>
      <c r="I18" t="s">
        <v>726</v>
      </c>
      <c r="J18" s="1010"/>
      <c r="K18" s="1223">
        <f>-F19</f>
        <v>0</v>
      </c>
      <c r="L18" s="1010"/>
      <c r="M18" s="217"/>
      <c r="N18" s="1010"/>
      <c r="O18" s="778"/>
    </row>
    <row r="19" spans="1:15" ht="16.2" thickBot="1">
      <c r="A19" s="501" t="s">
        <v>421</v>
      </c>
      <c r="B19" s="1168">
        <f>-B13+B14+B16-B17-B15+B20+B21</f>
        <v>-176.28</v>
      </c>
      <c r="C19" s="503"/>
      <c r="D19" s="515"/>
      <c r="E19" s="1106" t="s">
        <v>698</v>
      </c>
      <c r="F19" s="1171">
        <f>PGL_Requirements!J7/1000</f>
        <v>0</v>
      </c>
      <c r="G19" s="999" t="s">
        <v>9</v>
      </c>
      <c r="H19" s="1107" t="s">
        <v>9</v>
      </c>
      <c r="I19" t="s">
        <v>516</v>
      </c>
      <c r="J19" s="1174"/>
      <c r="K19" s="1224">
        <f>-F24</f>
        <v>0</v>
      </c>
      <c r="L19" s="1174"/>
      <c r="M19" s="157"/>
      <c r="N19" s="1174"/>
      <c r="O19" s="1173"/>
    </row>
    <row r="20" spans="1:15" ht="16.2" thickBot="1">
      <c r="A20" s="323" t="s">
        <v>204</v>
      </c>
      <c r="B20" s="315">
        <v>0</v>
      </c>
      <c r="C20" s="506"/>
      <c r="D20" s="1088"/>
      <c r="E20" s="119"/>
      <c r="F20" s="119"/>
      <c r="G20" s="119"/>
      <c r="H20" s="1118"/>
      <c r="I20" s="1150" t="s">
        <v>620</v>
      </c>
      <c r="J20" s="600" t="s">
        <v>9</v>
      </c>
      <c r="K20" s="1225">
        <f>SUM(K8:K19)</f>
        <v>157.18099999999998</v>
      </c>
      <c r="L20" s="604" t="s">
        <v>9</v>
      </c>
      <c r="M20" s="494" t="s">
        <v>9</v>
      </c>
      <c r="N20" s="604" t="s">
        <v>9</v>
      </c>
      <c r="O20" s="605"/>
    </row>
    <row r="21" spans="1:15" ht="16.2" thickBot="1">
      <c r="A21" s="416" t="s">
        <v>202</v>
      </c>
      <c r="B21" s="1082">
        <v>0</v>
      </c>
      <c r="C21" s="533"/>
      <c r="D21" s="1089"/>
      <c r="E21" s="1108" t="s">
        <v>699</v>
      </c>
      <c r="F21" s="1139">
        <v>0</v>
      </c>
      <c r="G21" s="1011"/>
      <c r="H21" s="426"/>
      <c r="I21" s="480" t="s">
        <v>36</v>
      </c>
      <c r="J21" s="488" t="s">
        <v>9</v>
      </c>
      <c r="K21" s="920"/>
      <c r="L21" s="490"/>
      <c r="M21" s="490" t="s">
        <v>708</v>
      </c>
      <c r="N21" s="490"/>
      <c r="O21" s="921"/>
    </row>
    <row r="22" spans="1:15" ht="15.6" thickBot="1">
      <c r="A22" s="1083" t="s">
        <v>690</v>
      </c>
      <c r="B22" s="1070">
        <f>SUM(B4)</f>
        <v>0</v>
      </c>
      <c r="C22" s="1084"/>
      <c r="D22" s="1085"/>
      <c r="E22" s="1108" t="s">
        <v>700</v>
      </c>
      <c r="F22" s="1139">
        <v>0</v>
      </c>
      <c r="G22" s="1011"/>
      <c r="H22" s="426"/>
      <c r="I22" s="1149" t="s">
        <v>561</v>
      </c>
      <c r="J22" s="273" t="s">
        <v>9</v>
      </c>
      <c r="K22" s="1226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8" t="s">
        <v>67</v>
      </c>
      <c r="D23" s="1093"/>
      <c r="E23" s="1109" t="s">
        <v>701</v>
      </c>
      <c r="F23" s="1159">
        <v>0</v>
      </c>
      <c r="G23" s="944"/>
      <c r="H23" s="1110"/>
      <c r="I23" s="1149" t="s">
        <v>394</v>
      </c>
      <c r="J23" s="273" t="s">
        <v>9</v>
      </c>
      <c r="K23" s="1219">
        <f>K5+K6-K20</f>
        <v>10.819000000000017</v>
      </c>
      <c r="L23" s="257"/>
      <c r="M23" s="597" t="s">
        <v>9</v>
      </c>
      <c r="N23" s="257"/>
      <c r="O23" s="287"/>
    </row>
    <row r="24" spans="1:15" ht="16.2" thickBot="1">
      <c r="A24" s="416" t="s">
        <v>415</v>
      </c>
      <c r="B24" s="315">
        <f>PGL_Supplies!C7/1000</f>
        <v>0</v>
      </c>
      <c r="C24" s="343"/>
      <c r="D24" s="1086"/>
      <c r="E24" s="534" t="s">
        <v>702</v>
      </c>
      <c r="F24" s="1171">
        <f>PGL_Requirements!G7/1000*0.5</f>
        <v>0</v>
      </c>
      <c r="G24" s="999"/>
      <c r="H24" s="985"/>
      <c r="I24" s="1151" t="s">
        <v>395</v>
      </c>
      <c r="J24" s="273" t="s">
        <v>9</v>
      </c>
      <c r="K24" s="1219"/>
      <c r="L24" s="288" t="s">
        <v>9</v>
      </c>
      <c r="M24" s="922"/>
      <c r="N24" s="288" t="s">
        <v>9</v>
      </c>
      <c r="O24" s="287"/>
    </row>
    <row r="25" spans="1:15" ht="16.2" thickBot="1">
      <c r="A25" s="416" t="s">
        <v>694</v>
      </c>
      <c r="B25" s="939">
        <f>PGL_Supplies!C7/1000</f>
        <v>0</v>
      </c>
      <c r="C25" s="1167"/>
      <c r="D25" s="1086"/>
      <c r="E25" s="1111" t="s">
        <v>703</v>
      </c>
      <c r="F25" s="1160">
        <v>0</v>
      </c>
      <c r="G25" s="1112"/>
      <c r="H25" s="1113"/>
      <c r="I25" s="1149" t="s">
        <v>396</v>
      </c>
      <c r="J25" s="923" t="s">
        <v>9</v>
      </c>
      <c r="K25" s="1227">
        <f>SUM(B18+B20+B21)</f>
        <v>2.6549999999999998</v>
      </c>
      <c r="L25" s="924"/>
      <c r="M25" s="1185"/>
      <c r="N25" s="925" t="s">
        <v>9</v>
      </c>
      <c r="O25" s="251"/>
    </row>
    <row r="26" spans="1:15" ht="16.8" thickTop="1" thickBot="1">
      <c r="A26" s="416" t="s">
        <v>104</v>
      </c>
      <c r="B26" s="939">
        <f>PGL_Supplies!Z7/1000</f>
        <v>0</v>
      </c>
      <c r="C26" s="304"/>
      <c r="D26" s="1086"/>
      <c r="E26" s="119"/>
      <c r="F26" s="1025"/>
      <c r="G26" s="119"/>
      <c r="H26" s="158"/>
      <c r="I26" s="1152" t="s">
        <v>397</v>
      </c>
      <c r="J26" s="926" t="s">
        <v>9</v>
      </c>
      <c r="K26" s="1228">
        <f>SUM(K23:K25)</f>
        <v>13.474000000000016</v>
      </c>
      <c r="L26" s="926" t="s">
        <v>9</v>
      </c>
      <c r="M26" s="597"/>
      <c r="N26" s="927" t="s">
        <v>9</v>
      </c>
      <c r="O26" s="928" t="s">
        <v>9</v>
      </c>
    </row>
    <row r="27" spans="1:15" ht="15.75" customHeight="1" thickTop="1" thickBot="1">
      <c r="A27" s="416" t="s">
        <v>695</v>
      </c>
      <c r="B27" s="315">
        <f>PGL_Supplies!Q7/1000</f>
        <v>0</v>
      </c>
      <c r="C27" s="343"/>
      <c r="D27" s="1086"/>
      <c r="E27" s="1106" t="s">
        <v>704</v>
      </c>
      <c r="F27" s="1158"/>
      <c r="G27" s="999"/>
      <c r="H27" s="1107"/>
      <c r="I27" s="1153" t="s">
        <v>648</v>
      </c>
      <c r="J27" s="929"/>
      <c r="K27" s="1226">
        <f>SUM(-PGL_Supplies!L7/1000)</f>
        <v>0</v>
      </c>
      <c r="L27" s="1002"/>
      <c r="M27" s="1003"/>
      <c r="N27" s="497"/>
      <c r="O27" s="932"/>
    </row>
    <row r="28" spans="1:15" ht="16.2" thickBot="1">
      <c r="A28" s="542" t="s">
        <v>412</v>
      </c>
      <c r="B28" s="937">
        <f>-B24+B25+B26+B27</f>
        <v>0</v>
      </c>
      <c r="C28" s="938"/>
      <c r="D28" s="515"/>
      <c r="E28" s="119"/>
      <c r="F28" s="1025"/>
      <c r="G28" s="119"/>
      <c r="H28" s="158"/>
      <c r="I28" s="1149" t="s">
        <v>405</v>
      </c>
      <c r="J28" s="933"/>
      <c r="K28" s="1222">
        <f>PGL_Requirements!N7/1000</f>
        <v>8.3000000000000007</v>
      </c>
      <c r="L28" s="298"/>
      <c r="M28" s="919" t="s">
        <v>9</v>
      </c>
      <c r="N28" s="497"/>
      <c r="O28" s="930" t="s">
        <v>9</v>
      </c>
    </row>
    <row r="29" spans="1:15" ht="16.2" thickBot="1">
      <c r="A29" s="349" t="s">
        <v>9</v>
      </c>
      <c r="B29" s="1183" t="s">
        <v>390</v>
      </c>
      <c r="C29" s="350"/>
      <c r="D29" s="351"/>
      <c r="E29" s="1114" t="s">
        <v>438</v>
      </c>
      <c r="F29" s="1159"/>
      <c r="G29" s="944"/>
      <c r="H29" s="1115"/>
      <c r="I29" s="1149" t="s">
        <v>406</v>
      </c>
      <c r="J29" s="934"/>
      <c r="K29" s="1229">
        <f>-PGL_Supplies!K7/1000</f>
        <v>0</v>
      </c>
      <c r="L29" s="298"/>
      <c r="M29" s="931" t="s">
        <v>9</v>
      </c>
      <c r="N29" s="497"/>
      <c r="O29" s="935" t="s">
        <v>9</v>
      </c>
    </row>
    <row r="30" spans="1:15" ht="15.6" thickBot="1">
      <c r="A30" s="361" t="s">
        <v>449</v>
      </c>
      <c r="B30" s="379">
        <f>PGL_Requirements!D7/1000</f>
        <v>9.3000000000000007</v>
      </c>
      <c r="C30" s="523"/>
      <c r="D30" s="379" t="s">
        <v>9</v>
      </c>
      <c r="E30" s="1117" t="s">
        <v>705</v>
      </c>
      <c r="F30" s="1139"/>
      <c r="G30" s="1011"/>
      <c r="H30" s="1090"/>
      <c r="I30" s="1154" t="s">
        <v>183</v>
      </c>
      <c r="J30" s="1120"/>
      <c r="K30" s="1218">
        <f>-PGL_Supplies!AB7/1000</f>
        <v>-21.774000000000001</v>
      </c>
      <c r="L30" s="1121"/>
      <c r="M30" s="1024">
        <f>-PGL_Supplies!AB7/1000</f>
        <v>-21.774000000000001</v>
      </c>
      <c r="N30" s="1122"/>
      <c r="O30" s="1182">
        <f>-PGL_Supplies!AB7/1000</f>
        <v>-21.774000000000001</v>
      </c>
    </row>
    <row r="31" spans="1:15" ht="16.2" thickBot="1">
      <c r="A31" s="361" t="s">
        <v>450</v>
      </c>
      <c r="B31" s="939">
        <f>PGL_Supplies!D7/1000</f>
        <v>0</v>
      </c>
      <c r="C31" s="939" t="s">
        <v>9</v>
      </c>
      <c r="D31" s="940" t="s">
        <v>9</v>
      </c>
      <c r="E31" s="157" t="s">
        <v>706</v>
      </c>
      <c r="F31" s="1161"/>
      <c r="G31" s="1009"/>
      <c r="H31" s="1116"/>
      <c r="I31" s="320" t="s">
        <v>188</v>
      </c>
      <c r="J31" s="319"/>
      <c r="K31" s="1128"/>
      <c r="L31" s="1129"/>
      <c r="M31" s="322"/>
      <c r="N31" s="322"/>
      <c r="O31" s="322"/>
    </row>
    <row r="32" spans="1:15" ht="16.2" thickBot="1">
      <c r="A32" s="416" t="s">
        <v>104</v>
      </c>
      <c r="B32" s="939">
        <f>PGL_Supplies!AA7/1000+NSG_Supplies!M7/1000</f>
        <v>212.36099999999999</v>
      </c>
      <c r="C32" s="939" t="s">
        <v>9</v>
      </c>
      <c r="D32" s="940" t="s">
        <v>9</v>
      </c>
      <c r="E32" s="534" t="s">
        <v>707</v>
      </c>
      <c r="F32" s="1162"/>
      <c r="G32" s="421"/>
      <c r="H32" s="985"/>
      <c r="I32" s="1153" t="s">
        <v>429</v>
      </c>
      <c r="J32" s="506"/>
      <c r="K32" s="1189"/>
      <c r="L32" s="1169" t="s">
        <v>713</v>
      </c>
      <c r="M32" s="119"/>
      <c r="N32" s="1196"/>
      <c r="O32" s="1194"/>
    </row>
    <row r="33" spans="1:15" ht="15.6" thickBot="1">
      <c r="A33" s="1077" t="s">
        <v>558</v>
      </c>
      <c r="B33" s="939">
        <f>PGL_Supplies!R7/1000</f>
        <v>40</v>
      </c>
      <c r="C33" s="939" t="s">
        <v>9</v>
      </c>
      <c r="D33" s="943"/>
      <c r="E33" s="119"/>
      <c r="F33" s="119"/>
      <c r="G33" s="119"/>
      <c r="H33" s="158"/>
      <c r="I33" s="1155" t="s">
        <v>430</v>
      </c>
      <c r="J33" s="1193"/>
      <c r="K33" s="1190"/>
      <c r="L33" s="1130" t="s">
        <v>438</v>
      </c>
      <c r="M33" s="1012"/>
      <c r="N33" s="1010"/>
      <c r="O33" s="778"/>
    </row>
    <row r="34" spans="1:15" ht="16.2" thickBot="1">
      <c r="A34" s="1133" t="s">
        <v>616</v>
      </c>
      <c r="B34" s="1158">
        <f>-B30+B31+B32+B33*0.5</f>
        <v>223.06099999999998</v>
      </c>
      <c r="C34" s="999"/>
      <c r="D34" s="987" t="s">
        <v>9</v>
      </c>
      <c r="E34" s="1208" t="s">
        <v>715</v>
      </c>
      <c r="F34" s="119"/>
      <c r="G34" s="119"/>
      <c r="H34" s="158"/>
      <c r="I34" s="1156" t="s">
        <v>431</v>
      </c>
      <c r="J34" s="532"/>
      <c r="K34" s="1191"/>
      <c r="L34" s="1130" t="s">
        <v>439</v>
      </c>
      <c r="M34" s="1012"/>
      <c r="N34" s="1010"/>
      <c r="O34" s="778"/>
    </row>
    <row r="35" spans="1:15">
      <c r="A35" s="1072" t="s">
        <v>723</v>
      </c>
      <c r="B35" s="990"/>
      <c r="C35" s="990"/>
      <c r="D35" s="988" t="s">
        <v>9</v>
      </c>
      <c r="E35" s="1208" t="s">
        <v>762</v>
      </c>
      <c r="F35" s="119"/>
      <c r="G35" s="1277" t="str">
        <f>G3</f>
        <v xml:space="preserve"> </v>
      </c>
      <c r="H35" s="158"/>
      <c r="I35" s="1156" t="s">
        <v>432</v>
      </c>
      <c r="J35" s="532"/>
      <c r="K35" s="1190"/>
      <c r="L35" s="1131" t="s">
        <v>440</v>
      </c>
      <c r="M35" s="1012"/>
      <c r="N35" s="1010"/>
      <c r="O35" s="778"/>
    </row>
    <row r="36" spans="1:15">
      <c r="A36" s="1073" t="s">
        <v>724</v>
      </c>
      <c r="B36" s="315">
        <f>B34-B35-B37</f>
        <v>223.06099999999998</v>
      </c>
      <c r="C36" s="991" t="s">
        <v>9</v>
      </c>
      <c r="D36" s="989" t="s">
        <v>9</v>
      </c>
      <c r="E36" s="1208" t="s">
        <v>714</v>
      </c>
      <c r="F36" s="119"/>
      <c r="G36" s="119"/>
      <c r="H36" s="158"/>
      <c r="I36" s="1156" t="s">
        <v>433</v>
      </c>
      <c r="J36" s="532"/>
      <c r="K36" s="1190"/>
      <c r="L36" s="1131" t="s">
        <v>372</v>
      </c>
      <c r="M36" s="1012"/>
      <c r="N36" s="1010"/>
      <c r="O36" s="778"/>
    </row>
    <row r="37" spans="1:15">
      <c r="A37" s="1074" t="s">
        <v>725</v>
      </c>
      <c r="B37" s="1180">
        <f>F24</f>
        <v>0</v>
      </c>
      <c r="C37" s="1010"/>
      <c r="D37" s="1066" t="s">
        <v>9</v>
      </c>
      <c r="E37" s="119"/>
      <c r="F37" s="119"/>
      <c r="G37" s="119"/>
      <c r="H37" s="119"/>
      <c r="I37" s="1179" t="s">
        <v>434</v>
      </c>
      <c r="J37" s="532"/>
      <c r="K37" s="1190"/>
      <c r="L37" s="1132" t="s">
        <v>441</v>
      </c>
      <c r="M37" s="1012"/>
      <c r="N37" s="1010"/>
      <c r="O37" s="778"/>
    </row>
    <row r="38" spans="1:15">
      <c r="A38" s="1206" t="s">
        <v>761</v>
      </c>
      <c r="B38" s="1139" t="s">
        <v>9</v>
      </c>
      <c r="C38" s="1011"/>
      <c r="D38" s="943"/>
      <c r="E38" s="119"/>
      <c r="F38" s="119"/>
      <c r="G38" s="119"/>
      <c r="H38" s="119"/>
      <c r="I38" s="1175" t="s">
        <v>435</v>
      </c>
      <c r="J38" s="532"/>
      <c r="K38" s="1190"/>
      <c r="L38" s="577" t="s">
        <v>442</v>
      </c>
      <c r="M38" s="119"/>
      <c r="N38" s="1210"/>
      <c r="O38" s="1211"/>
    </row>
    <row r="39" spans="1:15" ht="16.2" thickBot="1">
      <c r="A39" s="1079" t="s">
        <v>2</v>
      </c>
      <c r="B39" s="1181">
        <f>B35+B36+B37</f>
        <v>223.06099999999998</v>
      </c>
      <c r="C39" s="1080"/>
      <c r="D39" s="1081" t="s">
        <v>9</v>
      </c>
      <c r="E39" s="119"/>
      <c r="F39" s="119"/>
      <c r="G39" s="119"/>
      <c r="H39" s="119"/>
      <c r="I39" s="1176" t="s">
        <v>436</v>
      </c>
      <c r="J39" s="567"/>
      <c r="K39" s="1192"/>
      <c r="L39" s="1212" t="s">
        <v>763</v>
      </c>
      <c r="M39" s="1051"/>
      <c r="N39" s="1213"/>
      <c r="O39" s="1195"/>
    </row>
    <row r="40" spans="1:15" ht="16.8" thickTop="1" thickBot="1">
      <c r="A40" s="1207" t="s">
        <v>9</v>
      </c>
      <c r="B40" s="427"/>
      <c r="C40" s="427"/>
      <c r="D40" s="427"/>
      <c r="E40" s="117"/>
      <c r="F40" s="117"/>
      <c r="G40" s="117"/>
      <c r="H40" s="117"/>
      <c r="I40" s="117"/>
      <c r="J40" s="947" t="s">
        <v>9</v>
      </c>
      <c r="K40" s="1134"/>
      <c r="L40" s="1209" t="s">
        <v>210</v>
      </c>
      <c r="M40" s="1214"/>
      <c r="N40" s="117" t="s">
        <v>9</v>
      </c>
      <c r="O40" s="1135"/>
    </row>
    <row r="41" spans="1:15" ht="15.6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6"/>
      <c r="K41" s="1136"/>
      <c r="L41" s="1137"/>
      <c r="M41" s="764"/>
      <c r="N41" s="764"/>
      <c r="O41" s="764"/>
    </row>
    <row r="42" spans="1:15">
      <c r="A42" s="1075"/>
      <c r="B42" s="119"/>
      <c r="C42" s="119"/>
      <c r="D42" s="1076"/>
      <c r="I42" s="119"/>
      <c r="J42" s="1126"/>
      <c r="K42" s="577"/>
      <c r="L42" s="1127"/>
    </row>
    <row r="43" spans="1:15">
      <c r="I43" s="119"/>
      <c r="J43" s="1126"/>
      <c r="K43" s="577"/>
      <c r="L43" s="1127"/>
    </row>
    <row r="44" spans="1:15">
      <c r="I44" s="119"/>
      <c r="J44" s="8"/>
      <c r="K44" s="8"/>
      <c r="L44" s="112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00" t="s">
        <v>9</v>
      </c>
      <c r="B1" s="619"/>
      <c r="C1" s="619" t="s">
        <v>9</v>
      </c>
      <c r="D1" s="620"/>
      <c r="E1" s="572" t="s">
        <v>159</v>
      </c>
      <c r="F1" s="572" t="str">
        <f>CHOOSE(WEEKDAY(G1),"SUN","MON","TUE","WED","THU","FRI","SAT")</f>
        <v>SAT</v>
      </c>
      <c r="G1" s="1184">
        <f>Weather_Input!A5</f>
        <v>37107</v>
      </c>
      <c r="H1" s="572" t="s">
        <v>244</v>
      </c>
      <c r="I1" s="576"/>
    </row>
    <row r="2" spans="1:9" ht="20.399999999999999">
      <c r="A2" s="621" t="s">
        <v>9</v>
      </c>
      <c r="B2" s="765" t="s">
        <v>510</v>
      </c>
      <c r="C2" s="908">
        <v>76.7</v>
      </c>
      <c r="D2" s="767" t="s">
        <v>511</v>
      </c>
      <c r="E2" s="766"/>
      <c r="F2" s="767" t="s">
        <v>512</v>
      </c>
      <c r="G2" s="766"/>
      <c r="H2" s="768" t="s">
        <v>464</v>
      </c>
      <c r="I2" s="624"/>
    </row>
    <row r="3" spans="1:9" ht="21">
      <c r="A3" s="992" t="s">
        <v>465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86</v>
      </c>
      <c r="C4" s="737">
        <f>Weather_Input!C5</f>
        <v>66</v>
      </c>
      <c r="D4" s="631"/>
      <c r="E4" s="632"/>
      <c r="F4" s="631"/>
      <c r="G4" s="632"/>
      <c r="H4" s="633"/>
      <c r="I4" s="634"/>
    </row>
    <row r="5" spans="1:9" ht="23.4" thickBot="1">
      <c r="A5" s="635" t="s">
        <v>134</v>
      </c>
      <c r="B5" s="636"/>
      <c r="C5" s="637">
        <f>NSG_Deliveries!C5/1000</f>
        <v>28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3.4" thickBot="1">
      <c r="A7" s="645" t="s">
        <v>84</v>
      </c>
      <c r="B7" s="636"/>
      <c r="C7" s="742">
        <f>C5-C9-C11-C12</f>
        <v>28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569</v>
      </c>
      <c r="B9" s="654"/>
      <c r="C9" s="1008">
        <f>B45</f>
        <v>0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2.8">
      <c r="A11" s="649" t="s">
        <v>466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2.8">
      <c r="A12" s="656" t="s">
        <v>467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95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105</v>
      </c>
      <c r="B14" s="665"/>
      <c r="C14" s="666"/>
      <c r="D14" s="665"/>
      <c r="E14" s="666"/>
      <c r="F14" s="665"/>
      <c r="G14" s="665"/>
      <c r="H14" s="667"/>
      <c r="I14" s="668"/>
    </row>
    <row r="15" spans="1:9" ht="23.4" thickBot="1">
      <c r="A15" s="669" t="s">
        <v>468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.6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3.4" thickBot="1">
      <c r="A17" s="675" t="s">
        <v>469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.6" thickBot="1">
      <c r="A18" s="681" t="s">
        <v>470</v>
      </c>
      <c r="B18" s="641"/>
      <c r="C18" s="642" t="s">
        <v>9</v>
      </c>
      <c r="D18" s="643"/>
      <c r="E18" s="642"/>
      <c r="F18" s="643"/>
      <c r="G18" s="490" t="s">
        <v>573</v>
      </c>
      <c r="H18" s="641"/>
      <c r="I18" s="795"/>
    </row>
    <row r="19" spans="1:9" ht="23.4" thickBot="1">
      <c r="A19" s="682" t="s">
        <v>397</v>
      </c>
      <c r="B19" s="683"/>
      <c r="C19" s="684">
        <f>C7+C12</f>
        <v>28</v>
      </c>
      <c r="D19" s="685"/>
      <c r="E19" s="686"/>
      <c r="F19" s="685"/>
      <c r="G19" s="685" t="s">
        <v>9</v>
      </c>
      <c r="H19" s="683"/>
      <c r="I19" s="687"/>
    </row>
    <row r="20" spans="1:9" ht="20.399999999999999">
      <c r="A20" s="688" t="s">
        <v>399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399999999999999">
      <c r="A21" s="692" t="s">
        <v>402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399999999999999">
      <c r="A22" s="692" t="s">
        <v>471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399999999999999">
      <c r="A23" s="688" t="s">
        <v>405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399999999999999">
      <c r="A24" s="688" t="s">
        <v>406</v>
      </c>
      <c r="B24" s="693"/>
      <c r="C24" s="690">
        <f>-NSG_Supplies!F7/1000</f>
        <v>-3.27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399999999999999">
      <c r="A25" s="688" t="s">
        <v>183</v>
      </c>
      <c r="B25" s="696"/>
      <c r="C25" s="690">
        <f>-NSG_Supplies!Q7/1000</f>
        <v>-24.728999999999999</v>
      </c>
      <c r="D25" s="697"/>
      <c r="E25" s="690">
        <f>-NSG_Supplies!Q7/1000</f>
        <v>-24.728999999999999</v>
      </c>
      <c r="F25" s="697"/>
      <c r="G25" s="690">
        <f>-NSG_Supplies!Q7/1000</f>
        <v>-24.728999999999999</v>
      </c>
      <c r="H25" s="696"/>
      <c r="I25" s="753">
        <f>-NSG_Supplies!Q7/1000</f>
        <v>-24.728999999999999</v>
      </c>
    </row>
    <row r="26" spans="1:9" ht="20.399999999999999">
      <c r="A26" s="688" t="s">
        <v>404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495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3.4" thickBot="1">
      <c r="A28" s="701"/>
      <c r="B28" s="702"/>
      <c r="C28" s="703" t="s">
        <v>466</v>
      </c>
      <c r="D28" s="702"/>
      <c r="E28" s="704"/>
      <c r="F28" s="702"/>
      <c r="G28" s="705" t="s">
        <v>9</v>
      </c>
      <c r="H28" s="702"/>
      <c r="I28" s="706"/>
    </row>
    <row r="29" spans="1:9" ht="21">
      <c r="A29" s="759" t="s">
        <v>409</v>
      </c>
      <c r="B29" s="739">
        <f>NSG_Requirements!O7/1000</f>
        <v>0</v>
      </c>
      <c r="C29" s="708" t="s">
        <v>9</v>
      </c>
      <c r="D29" s="709"/>
      <c r="E29" s="710"/>
      <c r="F29" s="711" t="s">
        <v>269</v>
      </c>
      <c r="G29" s="712"/>
      <c r="H29" s="712"/>
      <c r="I29" s="713"/>
    </row>
    <row r="30" spans="1:9" ht="20.399999999999999">
      <c r="A30" s="760" t="s">
        <v>496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399999999999999">
      <c r="A31" s="760" t="s">
        <v>497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399999999999999">
      <c r="A32" s="759" t="s">
        <v>472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399999999999999">
      <c r="A33" s="759" t="s">
        <v>86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399999999999999">
      <c r="A34" s="760" t="s">
        <v>484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399999999999999">
      <c r="A35" s="760" t="s">
        <v>485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104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.6" thickBot="1">
      <c r="A37" s="720" t="s">
        <v>473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3.4" thickBot="1">
      <c r="A38" s="701"/>
      <c r="B38" s="702"/>
      <c r="C38" s="796" t="s">
        <v>574</v>
      </c>
      <c r="D38" s="702"/>
      <c r="E38" s="704"/>
      <c r="F38" s="622"/>
      <c r="G38" s="694"/>
      <c r="H38" s="694"/>
      <c r="I38" s="713"/>
    </row>
    <row r="39" spans="1:9" ht="20.399999999999999">
      <c r="A39" s="688" t="s">
        <v>474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399999999999999">
      <c r="A40" s="688" t="s">
        <v>475</v>
      </c>
      <c r="B40" s="787">
        <f>NSG_Requirements!J7/1000</f>
        <v>7</v>
      </c>
      <c r="C40" s="697"/>
      <c r="D40" s="715"/>
      <c r="E40" s="698"/>
      <c r="F40" s="622"/>
      <c r="G40" s="694"/>
      <c r="H40" s="694"/>
      <c r="I40" s="713"/>
    </row>
    <row r="41" spans="1:9" ht="20.399999999999999">
      <c r="A41" s="688" t="s">
        <v>476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399999999999999">
      <c r="A42" s="688" t="s">
        <v>477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399999999999999">
      <c r="A43" s="688" t="s">
        <v>478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570</v>
      </c>
      <c r="B44" s="788">
        <f>NSG_Supplies!P7/1000</f>
        <v>7</v>
      </c>
      <c r="C44" s="622"/>
      <c r="D44" s="725"/>
      <c r="E44" s="726"/>
      <c r="F44" s="622"/>
      <c r="G44" s="694"/>
      <c r="H44" s="694"/>
      <c r="I44" s="713"/>
    </row>
    <row r="45" spans="1:9" ht="21.6" thickBot="1">
      <c r="A45" s="720" t="s">
        <v>473</v>
      </c>
      <c r="B45" s="789">
        <f>B44+B41-B40</f>
        <v>0</v>
      </c>
      <c r="C45" s="728"/>
      <c r="D45" s="727"/>
      <c r="E45" s="729"/>
      <c r="F45" s="622"/>
      <c r="G45" s="694"/>
      <c r="H45" s="694"/>
      <c r="I45" s="713"/>
    </row>
    <row r="46" spans="1:9" ht="23.4" thickBot="1">
      <c r="A46" s="701"/>
      <c r="B46" s="702"/>
      <c r="C46" s="703" t="s">
        <v>67</v>
      </c>
      <c r="D46" s="702"/>
      <c r="E46" s="704"/>
      <c r="F46" s="622"/>
      <c r="G46" s="694"/>
      <c r="H46" s="694"/>
      <c r="I46" s="713"/>
    </row>
    <row r="47" spans="1:9" ht="20.399999999999999">
      <c r="A47" s="688" t="s">
        <v>479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399999999999999">
      <c r="A48" s="688" t="s">
        <v>480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399999999999999">
      <c r="A49" s="688" t="s">
        <v>86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104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3.4" thickBot="1">
      <c r="A51" s="701"/>
      <c r="B51" s="702"/>
      <c r="C51" s="703" t="s">
        <v>481</v>
      </c>
      <c r="D51" s="702"/>
      <c r="E51" s="704"/>
      <c r="F51" s="622"/>
      <c r="G51" s="694"/>
      <c r="H51" s="694"/>
      <c r="I51" s="713"/>
    </row>
    <row r="52" spans="1:9" ht="20.399999999999999">
      <c r="A52" s="732" t="s">
        <v>482</v>
      </c>
      <c r="B52" s="733"/>
      <c r="C52" s="622"/>
      <c r="D52" s="723"/>
      <c r="E52" s="724"/>
      <c r="F52" s="622"/>
      <c r="G52" s="694"/>
      <c r="H52" s="694"/>
      <c r="I52" s="713"/>
    </row>
    <row r="53" spans="1:9" ht="21.6" thickBot="1">
      <c r="A53" s="735" t="s">
        <v>483</v>
      </c>
      <c r="B53" s="744"/>
      <c r="C53" s="745"/>
      <c r="D53" s="746"/>
      <c r="E53" s="747"/>
      <c r="F53" s="736"/>
      <c r="G53" s="748"/>
      <c r="H53" s="994"/>
      <c r="I53" s="993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159</v>
      </c>
      <c r="F1" s="445">
        <f>Weather_Input!A5</f>
        <v>37107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499</v>
      </c>
      <c r="C3" s="436">
        <v>44</v>
      </c>
      <c r="D3" s="250"/>
      <c r="E3" s="250"/>
      <c r="F3" s="436" t="s">
        <v>365</v>
      </c>
      <c r="G3" s="436"/>
      <c r="H3" s="252" t="s">
        <v>160</v>
      </c>
      <c r="I3" s="251"/>
    </row>
    <row r="4" spans="1:9" ht="17.100000000000001" customHeight="1">
      <c r="A4" s="253" t="s">
        <v>161</v>
      </c>
      <c r="B4" s="253" t="s">
        <v>161</v>
      </c>
      <c r="C4" s="254" t="s">
        <v>162</v>
      </c>
      <c r="D4" s="254" t="s">
        <v>21</v>
      </c>
      <c r="E4" s="254" t="s">
        <v>162</v>
      </c>
      <c r="F4" s="254" t="s">
        <v>21</v>
      </c>
      <c r="G4" s="254" t="s">
        <v>162</v>
      </c>
      <c r="H4" s="254" t="s">
        <v>21</v>
      </c>
      <c r="I4" s="255" t="s">
        <v>162</v>
      </c>
    </row>
    <row r="5" spans="1:9" ht="17.100000000000001" customHeight="1">
      <c r="A5" s="256" t="s">
        <v>163</v>
      </c>
      <c r="B5" s="257">
        <f>Weather_Input!B5</f>
        <v>86</v>
      </c>
      <c r="C5" s="257">
        <f>Weather_Input!C5</f>
        <v>66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164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165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166</v>
      </c>
      <c r="B8" s="264">
        <f>PGL_Deliveries!C5/1000</f>
        <v>168</v>
      </c>
      <c r="C8" s="265">
        <f>NSG_Deliveries!C5/1000</f>
        <v>28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81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66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167</v>
      </c>
      <c r="B11" s="273">
        <f>+B54</f>
        <v>131.536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168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72</v>
      </c>
      <c r="B13" s="273">
        <f>PGL_Supplies!H7/1000</f>
        <v>20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169</v>
      </c>
      <c r="B14" s="277">
        <f>+B72</f>
        <v>-80.12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170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171</v>
      </c>
      <c r="B16" s="273">
        <f>PGL_Requirements!F7/1000</f>
        <v>2.68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172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368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59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173</v>
      </c>
      <c r="B20" s="273" t="e">
        <f>B8+B18+B19</f>
        <v>#REF!</v>
      </c>
      <c r="C20" s="286">
        <f>C8+C18+C19</f>
        <v>28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174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175</v>
      </c>
      <c r="B22" s="273">
        <f>+B44</f>
        <v>2.6549999999999998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176</v>
      </c>
      <c r="B23" s="291" t="e">
        <f>B20+B21+B22</f>
        <v>#REF!</v>
      </c>
      <c r="C23" s="292">
        <f>C20</f>
        <v>28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177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178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179</v>
      </c>
      <c r="B27" s="301">
        <f>PGL_Requirements!Q7/1000</f>
        <v>0.28000000000000003</v>
      </c>
      <c r="C27" s="301">
        <f>NSG_Requirements!P7/1000</f>
        <v>0</v>
      </c>
      <c r="D27" s="301">
        <f>PGL_Requirements!Q7/1000</f>
        <v>0.28000000000000003</v>
      </c>
      <c r="E27" s="301">
        <f>NSG_Requirements!P7/1000</f>
        <v>0</v>
      </c>
      <c r="F27" s="301">
        <f>PGL_Requirements!Q7/1000</f>
        <v>0.28000000000000003</v>
      </c>
      <c r="G27" s="301">
        <f>NSG_Requirements!P7/1000</f>
        <v>0</v>
      </c>
      <c r="H27" s="302">
        <f>+B27</f>
        <v>0.28000000000000003</v>
      </c>
      <c r="I27" s="303">
        <f>+C27</f>
        <v>0</v>
      </c>
    </row>
    <row r="28" spans="1:9" ht="17.100000000000001" customHeight="1">
      <c r="A28" s="313" t="s">
        <v>180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181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374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182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183</v>
      </c>
      <c r="B32" s="306">
        <f>-PGL_Supplies!AB7/1000</f>
        <v>-21.774000000000001</v>
      </c>
      <c r="C32" s="306">
        <f>-NSG_Supplies!Q7/1000</f>
        <v>-24.728999999999999</v>
      </c>
      <c r="D32" s="306">
        <f>B32</f>
        <v>-21.774000000000001</v>
      </c>
      <c r="E32" s="306">
        <f>C32</f>
        <v>-24.728999999999999</v>
      </c>
      <c r="F32" s="306">
        <f>B32</f>
        <v>-21.774000000000001</v>
      </c>
      <c r="G32" s="306">
        <f>C32</f>
        <v>-24.728999999999999</v>
      </c>
      <c r="H32" s="311">
        <f>B32</f>
        <v>-21.774000000000001</v>
      </c>
      <c r="I32" s="312">
        <f>C32</f>
        <v>-24.728999999999999</v>
      </c>
    </row>
    <row r="33" spans="1:9" ht="17.100000000000001" customHeight="1">
      <c r="A33" s="310" t="s">
        <v>362</v>
      </c>
      <c r="B33" s="306">
        <f>-PGL_Supplies!W7/1000</f>
        <v>0</v>
      </c>
      <c r="C33" s="306">
        <f>-NSG_Supplies!R7/1000</f>
        <v>-14.739000000000001</v>
      </c>
      <c r="D33" s="306">
        <f>B33</f>
        <v>0</v>
      </c>
      <c r="E33" s="306">
        <f>C33</f>
        <v>-14.739000000000001</v>
      </c>
      <c r="F33" s="306">
        <f>B33</f>
        <v>0</v>
      </c>
      <c r="G33" s="306">
        <f>C33</f>
        <v>-14.739000000000001</v>
      </c>
      <c r="H33" s="311">
        <f>B33</f>
        <v>0</v>
      </c>
      <c r="I33" s="312">
        <f>C33</f>
        <v>-14.739000000000001</v>
      </c>
    </row>
    <row r="34" spans="1:9" ht="17.100000000000001" customHeight="1">
      <c r="A34" s="300" t="s">
        <v>184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185</v>
      </c>
      <c r="B35" s="301">
        <f>PGL_Requirements!N7/1000</f>
        <v>8.3000000000000007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186</v>
      </c>
      <c r="B36" s="306">
        <f>-PGL_Supplies!K7/1000</f>
        <v>0</v>
      </c>
      <c r="C36" s="306">
        <f>-NSG_Supplies!F7/1000</f>
        <v>-3.27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375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187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382</v>
      </c>
      <c r="C39" s="468"/>
      <c r="D39" s="469"/>
      <c r="E39" s="319"/>
      <c r="F39" s="320" t="s">
        <v>188</v>
      </c>
      <c r="G39" s="319"/>
      <c r="H39" s="321"/>
      <c r="I39" s="322"/>
    </row>
    <row r="40" spans="1:9" ht="17.100000000000001" customHeight="1">
      <c r="A40" s="323" t="s">
        <v>189</v>
      </c>
      <c r="B40" s="306">
        <f>PGL_Requirements!O7/1000</f>
        <v>177</v>
      </c>
      <c r="C40" s="306" t="s">
        <v>9</v>
      </c>
      <c r="D40" s="387"/>
      <c r="E40" s="324"/>
      <c r="F40" s="325" t="s">
        <v>190</v>
      </c>
      <c r="G40" s="304"/>
      <c r="H40" s="326"/>
      <c r="I40" s="327"/>
    </row>
    <row r="41" spans="1:9" ht="17.100000000000001" customHeight="1">
      <c r="A41" s="323" t="s">
        <v>191</v>
      </c>
      <c r="B41" s="315">
        <f>PGL_Supplies!L7/1000</f>
        <v>0</v>
      </c>
      <c r="C41" s="306" t="s">
        <v>9</v>
      </c>
      <c r="D41" s="304"/>
      <c r="E41" s="324"/>
      <c r="F41" s="328" t="s">
        <v>192</v>
      </c>
      <c r="G41" s="304"/>
      <c r="H41" s="308"/>
      <c r="I41" s="327"/>
    </row>
    <row r="42" spans="1:9" ht="17.100000000000001" customHeight="1">
      <c r="A42" s="323" t="s">
        <v>193</v>
      </c>
      <c r="B42" s="306">
        <f>PGL_Requirements!B7/1000</f>
        <v>0</v>
      </c>
      <c r="C42" s="306" t="s">
        <v>9</v>
      </c>
      <c r="D42" s="304"/>
      <c r="E42" s="324"/>
      <c r="F42" s="328" t="s">
        <v>194</v>
      </c>
      <c r="G42" s="304"/>
      <c r="H42" s="308"/>
      <c r="I42" s="327"/>
    </row>
    <row r="43" spans="1:9" ht="17.100000000000001" customHeight="1">
      <c r="A43" s="323" t="s">
        <v>195</v>
      </c>
      <c r="B43" s="306">
        <f>PGL_Supplies!G7/1000</f>
        <v>1</v>
      </c>
      <c r="C43" s="304"/>
      <c r="D43" s="304"/>
      <c r="E43" s="324"/>
      <c r="F43" s="329" t="s">
        <v>196</v>
      </c>
      <c r="G43" s="304"/>
      <c r="H43" s="308"/>
      <c r="I43" s="327"/>
    </row>
    <row r="44" spans="1:9" ht="17.100000000000001" customHeight="1">
      <c r="A44" s="323" t="s">
        <v>175</v>
      </c>
      <c r="B44" s="330">
        <f>+B48+B47+B45</f>
        <v>2.6549999999999998</v>
      </c>
      <c r="C44" s="331"/>
      <c r="D44" s="304"/>
      <c r="E44" s="324"/>
      <c r="F44" s="328" t="s">
        <v>197</v>
      </c>
      <c r="G44" s="304"/>
      <c r="H44" s="308"/>
      <c r="I44" s="327"/>
    </row>
    <row r="45" spans="1:9" ht="17.100000000000001" customHeight="1">
      <c r="A45" s="323" t="s">
        <v>198</v>
      </c>
      <c r="B45" s="306">
        <f>PGL_Requirements!P7/1000</f>
        <v>2.6549999999999998</v>
      </c>
      <c r="C45" s="304"/>
      <c r="D45" s="304"/>
      <c r="E45" s="324"/>
      <c r="F45" s="333" t="s">
        <v>199</v>
      </c>
      <c r="G45" s="304"/>
      <c r="H45" s="308"/>
      <c r="I45" s="327"/>
    </row>
    <row r="46" spans="1:9" ht="17.100000000000001" customHeight="1">
      <c r="A46" s="313" t="s">
        <v>200</v>
      </c>
      <c r="B46" s="306">
        <f>+B47+B43+B41</f>
        <v>1</v>
      </c>
      <c r="C46" s="304"/>
      <c r="D46" s="304"/>
      <c r="E46" s="324"/>
      <c r="F46" s="328" t="s">
        <v>201</v>
      </c>
      <c r="G46" s="304"/>
      <c r="H46" s="308"/>
      <c r="I46" s="327"/>
    </row>
    <row r="47" spans="1:9" ht="17.100000000000001" customHeight="1">
      <c r="A47" s="323" t="s">
        <v>202</v>
      </c>
      <c r="B47" s="332">
        <v>0</v>
      </c>
      <c r="C47" s="304"/>
      <c r="D47" s="304"/>
      <c r="E47" s="324"/>
      <c r="F47" s="328" t="s">
        <v>203</v>
      </c>
      <c r="G47" s="304"/>
      <c r="H47" s="308"/>
      <c r="I47" s="327"/>
    </row>
    <row r="48" spans="1:9" ht="17.100000000000001" customHeight="1" thickBot="1">
      <c r="A48" s="416" t="s">
        <v>204</v>
      </c>
      <c r="B48" s="334">
        <v>0</v>
      </c>
      <c r="C48" s="335"/>
      <c r="D48" s="335"/>
      <c r="E48" s="336"/>
      <c r="F48" s="329" t="s">
        <v>205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350</v>
      </c>
      <c r="C49" s="338"/>
      <c r="D49" s="338"/>
      <c r="E49" s="338" t="s">
        <v>9</v>
      </c>
      <c r="F49" s="339" t="s">
        <v>206</v>
      </c>
      <c r="G49" s="340"/>
      <c r="H49" s="341"/>
      <c r="I49" s="327"/>
    </row>
    <row r="50" spans="1:9" ht="17.100000000000001" customHeight="1">
      <c r="A50" s="323" t="s">
        <v>379</v>
      </c>
      <c r="B50" s="315">
        <f>PGL_Supplies!U7/1000+PGL_Supplies!C7/1000</f>
        <v>136.83600000000001</v>
      </c>
      <c r="C50" s="304"/>
      <c r="D50" s="304"/>
      <c r="E50" s="304"/>
      <c r="F50" s="310" t="s">
        <v>371</v>
      </c>
      <c r="G50" s="342"/>
      <c r="H50" s="343"/>
      <c r="I50" s="327"/>
    </row>
    <row r="51" spans="1:9" ht="17.100000000000001" customHeight="1">
      <c r="A51" s="323" t="s">
        <v>207</v>
      </c>
      <c r="B51" s="315">
        <f>PGL_Supplies!Z7/1000</f>
        <v>0</v>
      </c>
      <c r="C51" s="331"/>
      <c r="D51" s="304"/>
      <c r="E51" s="304"/>
      <c r="F51" s="344" t="s">
        <v>208</v>
      </c>
      <c r="G51" s="342"/>
      <c r="H51" s="308"/>
      <c r="I51" s="327"/>
    </row>
    <row r="52" spans="1:9" ht="17.100000000000001" customHeight="1" thickBot="1">
      <c r="A52" s="323" t="s">
        <v>351</v>
      </c>
      <c r="B52" s="315">
        <f>NSG_Supplies!N7/1000+PGL_Supplies!O7/1000</f>
        <v>0</v>
      </c>
      <c r="C52" s="304"/>
      <c r="D52" s="304"/>
      <c r="E52" s="304"/>
      <c r="F52" s="345" t="s">
        <v>209</v>
      </c>
      <c r="G52" s="346"/>
      <c r="H52" s="347"/>
      <c r="I52" s="327"/>
    </row>
    <row r="53" spans="1:9" ht="17.100000000000001" customHeight="1">
      <c r="A53" s="361" t="s">
        <v>219</v>
      </c>
      <c r="B53" s="315">
        <f>PGL_Requirements!I7/1000+NSG_Requirements!E7/1000</f>
        <v>5.3</v>
      </c>
      <c r="C53" s="304"/>
      <c r="D53" s="304"/>
      <c r="E53" s="304"/>
      <c r="F53" s="339" t="s">
        <v>210</v>
      </c>
      <c r="G53" s="348"/>
      <c r="H53" s="331"/>
      <c r="I53" s="327"/>
    </row>
    <row r="54" spans="1:9" ht="17.100000000000001" customHeight="1" thickBot="1">
      <c r="A54" s="313" t="s">
        <v>211</v>
      </c>
      <c r="B54" s="367">
        <f>SUM(B50+B51+B52-B53)</f>
        <v>131.536</v>
      </c>
      <c r="C54" s="315"/>
      <c r="D54" s="304"/>
      <c r="E54" s="304"/>
      <c r="F54" s="349" t="s">
        <v>212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66</v>
      </c>
      <c r="C55" s="338"/>
      <c r="D55" s="338"/>
      <c r="E55" s="338"/>
      <c r="F55" s="352" t="s">
        <v>213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362</v>
      </c>
      <c r="B56" s="315">
        <f>PGL_Supplies!T7/1000</f>
        <v>0</v>
      </c>
      <c r="C56" s="304"/>
      <c r="D56" s="304"/>
      <c r="E56" s="304"/>
      <c r="F56" s="352" t="s">
        <v>214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463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215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216</v>
      </c>
      <c r="B58" s="315">
        <f>PGL_Requirements!T7/1000</f>
        <v>38.917999999999999</v>
      </c>
      <c r="C58" s="304"/>
      <c r="D58" s="304"/>
      <c r="E58" s="304"/>
      <c r="F58" s="352" t="s">
        <v>217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218</v>
      </c>
      <c r="B59" s="315">
        <f>PGL_Supplies!P7/1000</f>
        <v>0</v>
      </c>
      <c r="C59" s="304"/>
      <c r="D59" s="304"/>
      <c r="E59" s="304"/>
      <c r="F59" s="358" t="s">
        <v>219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219</v>
      </c>
      <c r="B60" s="315">
        <f>PGL_Requirements!H7/1000</f>
        <v>0</v>
      </c>
      <c r="C60" s="304"/>
      <c r="D60" s="304"/>
      <c r="E60" s="304"/>
      <c r="F60" s="362" t="s">
        <v>220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384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221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211</v>
      </c>
      <c r="B62" s="367" t="e">
        <f>B56+B57-B58+B59-B60+B61</f>
        <v>#REF!</v>
      </c>
      <c r="C62" s="368"/>
      <c r="D62" s="368"/>
      <c r="E62" s="368"/>
      <c r="F62" s="369" t="s">
        <v>222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381</v>
      </c>
      <c r="D63" s="338"/>
      <c r="E63" s="466" t="s">
        <v>9</v>
      </c>
      <c r="F63" s="339" t="s">
        <v>223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362</v>
      </c>
      <c r="B64" s="315">
        <f>PGL_Supplies!X7/1000</f>
        <v>96.88</v>
      </c>
      <c r="C64" s="304"/>
      <c r="D64" s="304"/>
      <c r="E64" s="371"/>
      <c r="F64" s="349" t="s">
        <v>224</v>
      </c>
      <c r="G64" s="350"/>
      <c r="H64" s="350"/>
      <c r="I64" s="351"/>
    </row>
    <row r="65" spans="1:10" ht="17.100000000000001" customHeight="1">
      <c r="A65" s="323" t="s">
        <v>462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225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226</v>
      </c>
      <c r="B66" s="315">
        <f>PGL_Supplies!AD7/1000</f>
        <v>0</v>
      </c>
      <c r="C66" s="372" t="s">
        <v>9</v>
      </c>
      <c r="D66" s="304"/>
      <c r="E66" s="373"/>
      <c r="F66" s="375" t="s">
        <v>227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228</v>
      </c>
      <c r="B67" s="379">
        <f>PGL_Requirements!S7/1000</f>
        <v>0</v>
      </c>
      <c r="C67" s="380" t="s">
        <v>9</v>
      </c>
      <c r="D67" s="304"/>
      <c r="E67" s="373"/>
      <c r="F67" s="375" t="s">
        <v>229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230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219</v>
      </c>
      <c r="B69" s="379">
        <f>PGL_Requirements!M7/1000</f>
        <v>0</v>
      </c>
      <c r="C69" s="380" t="s">
        <v>9</v>
      </c>
      <c r="D69" s="304"/>
      <c r="E69" s="474"/>
      <c r="F69" s="386" t="s">
        <v>231</v>
      </c>
      <c r="G69" s="376" t="s">
        <v>9</v>
      </c>
      <c r="H69" s="387" t="s">
        <v>367</v>
      </c>
      <c r="I69" s="373"/>
    </row>
    <row r="70" spans="1:10" ht="17.100000000000001" customHeight="1">
      <c r="A70" s="323" t="s">
        <v>232</v>
      </c>
      <c r="B70" s="379">
        <f>PGL_Requirements!O7/1000</f>
        <v>177</v>
      </c>
      <c r="C70" s="380" t="s">
        <v>9</v>
      </c>
      <c r="D70" s="304"/>
      <c r="E70" s="373"/>
      <c r="F70" s="386" t="s">
        <v>233</v>
      </c>
      <c r="G70" s="376" t="s">
        <v>9</v>
      </c>
      <c r="H70" s="415" t="s">
        <v>234</v>
      </c>
      <c r="I70" s="414"/>
    </row>
    <row r="71" spans="1:10" ht="17.100000000000001" customHeight="1">
      <c r="A71" s="323" t="s">
        <v>235</v>
      </c>
      <c r="B71" s="379">
        <f>PGL_Requirements!E7/1000</f>
        <v>2.4990000000000001</v>
      </c>
      <c r="C71" s="372" t="s">
        <v>9</v>
      </c>
      <c r="D71" s="304"/>
      <c r="E71" s="373"/>
      <c r="F71" s="375" t="s">
        <v>236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211</v>
      </c>
      <c r="B72" s="391">
        <f>+B65+B64+B66+B68-B67-B69-B70</f>
        <v>-80.12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237</v>
      </c>
      <c r="B73" s="350"/>
      <c r="C73" s="351"/>
      <c r="D73" s="331"/>
      <c r="E73" s="331"/>
      <c r="F73" s="413" t="s">
        <v>238</v>
      </c>
      <c r="G73" s="396" t="str">
        <f>CHOOSE(WEEKDAY(H73),"SUN","MON","TUE","WED","THU","FRI","SAT")</f>
        <v>SAT</v>
      </c>
      <c r="H73" s="397">
        <f>Weather_Input!A5</f>
        <v>37107</v>
      </c>
      <c r="I73" s="398"/>
    </row>
    <row r="74" spans="1:10" ht="17.100000000000001" customHeight="1">
      <c r="A74" s="374" t="s">
        <v>239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240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241</v>
      </c>
      <c r="B76" s="335"/>
      <c r="C76" s="336"/>
      <c r="D76" s="402" t="s">
        <v>242</v>
      </c>
      <c r="E76" s="403"/>
      <c r="F76" s="404" t="s">
        <v>243</v>
      </c>
      <c r="G76" s="405"/>
      <c r="H76" s="406" t="s">
        <v>244</v>
      </c>
      <c r="I76" s="407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0" t="s">
        <v>389</v>
      </c>
      <c r="B90" s="571"/>
      <c r="C90" s="571"/>
      <c r="D90" s="571"/>
      <c r="E90" s="572" t="s">
        <v>159</v>
      </c>
      <c r="F90" s="573">
        <f>Weather_Input!L5</f>
        <v>1</v>
      </c>
      <c r="G90" s="574" t="s">
        <v>9</v>
      </c>
      <c r="H90" s="575"/>
      <c r="I90" s="576"/>
    </row>
    <row r="91" spans="1:9" ht="15.6">
      <c r="A91" s="249"/>
      <c r="B91" s="592" t="s">
        <v>386</v>
      </c>
      <c r="C91" s="260" t="s">
        <v>9</v>
      </c>
      <c r="D91" s="584" t="s">
        <v>457</v>
      </c>
      <c r="E91" s="591"/>
      <c r="F91" s="589" t="s">
        <v>458</v>
      </c>
      <c r="G91" s="590"/>
      <c r="H91" s="588" t="s">
        <v>160</v>
      </c>
      <c r="I91" s="251"/>
    </row>
    <row r="92" spans="1:9" ht="15">
      <c r="A92" s="476" t="s">
        <v>387</v>
      </c>
      <c r="B92" s="583" t="s">
        <v>378</v>
      </c>
      <c r="C92" s="252" t="s">
        <v>162</v>
      </c>
      <c r="D92" s="583" t="s">
        <v>21</v>
      </c>
      <c r="E92" s="252" t="s">
        <v>162</v>
      </c>
      <c r="F92" s="586" t="s">
        <v>21</v>
      </c>
      <c r="G92" s="252" t="s">
        <v>162</v>
      </c>
      <c r="H92" s="583" t="s">
        <v>21</v>
      </c>
      <c r="I92" s="477" t="s">
        <v>162</v>
      </c>
    </row>
    <row r="93" spans="1:9" ht="15.6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2" thickBot="1">
      <c r="A94" s="249" t="s">
        <v>388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2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168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66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58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67</v>
      </c>
      <c r="B99" s="273" t="s">
        <v>9</v>
      </c>
      <c r="C99" s="606">
        <f>B141</f>
        <v>-5163.1639999999998</v>
      </c>
      <c r="D99" s="603"/>
      <c r="E99" s="260"/>
      <c r="F99" s="585"/>
      <c r="G99" s="260"/>
      <c r="H99" s="585"/>
      <c r="I99" s="258"/>
    </row>
    <row r="100" spans="1:9" ht="15">
      <c r="A100" s="476" t="s">
        <v>390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391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158</v>
      </c>
      <c r="C102" s="606">
        <f>B162</f>
        <v>96.88</v>
      </c>
      <c r="D102" s="585"/>
      <c r="E102" s="260"/>
      <c r="F102" s="585"/>
      <c r="G102" s="260"/>
      <c r="H102" s="585"/>
      <c r="I102" s="258"/>
    </row>
    <row r="103" spans="1:9" ht="15">
      <c r="A103" s="476" t="s">
        <v>95</v>
      </c>
      <c r="B103" s="273" t="s">
        <v>9</v>
      </c>
      <c r="C103" s="606">
        <f>PGL_Requirements!F7/1000</f>
        <v>2.68</v>
      </c>
      <c r="D103" s="603"/>
      <c r="E103" s="260"/>
      <c r="F103" s="585"/>
      <c r="G103" s="260"/>
      <c r="H103" s="585"/>
      <c r="I103" s="258"/>
    </row>
    <row r="104" spans="1:9" ht="15.6" thickBot="1">
      <c r="A104" s="283" t="s">
        <v>105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2" thickBot="1">
      <c r="A105" s="599" t="s">
        <v>392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2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393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394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395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6">
      <c r="A110" s="495" t="s">
        <v>396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2" thickBot="1">
      <c r="A111" s="496" t="s">
        <v>397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398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6">
      <c r="A113" s="416" t="s">
        <v>399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6">
      <c r="A114" s="323" t="s">
        <v>400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401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402</v>
      </c>
      <c r="B116" s="410">
        <f>-PGL_Supplies!Y7/1000</f>
        <v>-40.417999999999999</v>
      </c>
      <c r="C116" s="410">
        <f>-NSG_Supplies!V7/1000</f>
        <v>0</v>
      </c>
      <c r="D116" s="306">
        <f>-PGL_Supplies!Y7/1000</f>
        <v>-40.417999999999999</v>
      </c>
      <c r="E116" s="306">
        <f>-NSG_Supplies!V7/1000</f>
        <v>0</v>
      </c>
      <c r="F116" s="306">
        <f>-PGL_Supplies!Y7/1000</f>
        <v>-40.417999999999999</v>
      </c>
      <c r="G116" s="306">
        <f>-NSG_Supplies!V7/1000</f>
        <v>0</v>
      </c>
      <c r="H116" s="311">
        <f>-PGL_Supplies!Y7/1000</f>
        <v>-40.417999999999999</v>
      </c>
      <c r="I116" s="312">
        <f>-NSG_Supplies!V7/1000</f>
        <v>0</v>
      </c>
    </row>
    <row r="117" spans="1:9" ht="15">
      <c r="A117" s="416" t="s">
        <v>403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6">
      <c r="A118" s="416" t="s">
        <v>405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406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183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6">
      <c r="A121" s="416" t="s">
        <v>404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6">
      <c r="A122" s="416" t="s">
        <v>407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408</v>
      </c>
      <c r="B123" s="306">
        <f>-PGL_Supplies!W7/1000</f>
        <v>0</v>
      </c>
      <c r="C123" s="306">
        <f>-NSG_Supplies!R7/1000</f>
        <v>-14.739000000000001</v>
      </c>
      <c r="D123" s="304"/>
      <c r="E123" s="304"/>
      <c r="F123" s="304"/>
      <c r="G123" s="304"/>
      <c r="H123" s="308"/>
      <c r="I123" s="309"/>
    </row>
    <row r="124" spans="1:9" ht="16.2" thickBot="1">
      <c r="A124" s="317" t="s">
        <v>9</v>
      </c>
      <c r="B124" s="470" t="s">
        <v>9</v>
      </c>
      <c r="C124" s="499" t="s">
        <v>66</v>
      </c>
      <c r="D124" s="469"/>
      <c r="E124" s="319"/>
      <c r="F124" s="320" t="s">
        <v>188</v>
      </c>
      <c r="G124" s="319"/>
      <c r="H124" s="321"/>
      <c r="I124" s="322"/>
    </row>
    <row r="125" spans="1:9" ht="15">
      <c r="A125" s="416" t="s">
        <v>409</v>
      </c>
      <c r="B125" s="306">
        <f>PGL_Requirements!T7/1000</f>
        <v>38.917999999999999</v>
      </c>
      <c r="F125" s="525" t="s">
        <v>9</v>
      </c>
      <c r="G125" s="526"/>
      <c r="H125" s="593"/>
      <c r="I125" s="327"/>
    </row>
    <row r="126" spans="1:9" ht="15">
      <c r="A126" s="416" t="s">
        <v>366</v>
      </c>
      <c r="B126" s="315">
        <f>PGL_Supplies!P7/1000</f>
        <v>0</v>
      </c>
      <c r="C126" s="306" t="s">
        <v>9</v>
      </c>
      <c r="D126" s="304"/>
      <c r="E126" s="324"/>
      <c r="F126" s="416" t="s">
        <v>429</v>
      </c>
      <c r="G126" s="527"/>
      <c r="H126" s="532"/>
      <c r="I126" s="327"/>
    </row>
    <row r="127" spans="1:9" ht="15">
      <c r="A127" s="416" t="s">
        <v>459</v>
      </c>
      <c r="B127" s="306">
        <f>PGL_Requirements!N7/1000</f>
        <v>8.3000000000000007</v>
      </c>
      <c r="C127" s="306" t="s">
        <v>9</v>
      </c>
      <c r="D127" s="304"/>
      <c r="E127" s="324"/>
      <c r="F127" s="416" t="s">
        <v>430</v>
      </c>
      <c r="G127" s="527"/>
      <c r="H127" s="308"/>
      <c r="I127" s="327"/>
    </row>
    <row r="128" spans="1:9" ht="15">
      <c r="A128" s="416" t="s">
        <v>399</v>
      </c>
      <c r="B128" s="306">
        <f>PGL_Requirements!H7/1000</f>
        <v>0</v>
      </c>
      <c r="C128" s="306" t="s">
        <v>9</v>
      </c>
      <c r="D128" s="304"/>
      <c r="E128" s="324"/>
      <c r="F128" s="416" t="s">
        <v>431</v>
      </c>
      <c r="G128" s="527"/>
      <c r="H128" s="308"/>
      <c r="I128" s="327"/>
    </row>
    <row r="129" spans="1:9" ht="15">
      <c r="A129" s="416" t="s">
        <v>410</v>
      </c>
      <c r="B129" s="306" t="e">
        <f>PGL_Requirements!#REF!/1000</f>
        <v>#REF!</v>
      </c>
      <c r="C129" s="304"/>
      <c r="D129" s="304"/>
      <c r="E129" s="324"/>
      <c r="F129" s="416" t="s">
        <v>432</v>
      </c>
      <c r="G129" s="527"/>
      <c r="H129" s="308"/>
      <c r="I129" s="327"/>
    </row>
    <row r="130" spans="1:9" ht="15">
      <c r="A130" s="416" t="s">
        <v>411</v>
      </c>
      <c r="B130" s="306">
        <f>PGL_Requirements!Z7/1000</f>
        <v>0</v>
      </c>
      <c r="C130" s="577"/>
      <c r="D130" s="304"/>
      <c r="E130" s="324"/>
      <c r="F130" s="416" t="s">
        <v>433</v>
      </c>
      <c r="G130" s="527"/>
      <c r="H130" s="308"/>
      <c r="I130" s="327"/>
    </row>
    <row r="131" spans="1:9" ht="15">
      <c r="A131" s="408" t="s">
        <v>104</v>
      </c>
      <c r="B131" s="315">
        <f>PGL_Supplies!Y7/1000</f>
        <v>40.417999999999999</v>
      </c>
      <c r="C131" s="304"/>
      <c r="D131" s="304"/>
      <c r="E131" s="324"/>
      <c r="F131" s="361" t="s">
        <v>434</v>
      </c>
      <c r="G131" s="527"/>
      <c r="H131" s="308"/>
      <c r="I131" s="327"/>
    </row>
    <row r="132" spans="1:9" ht="15.6" thickBot="1">
      <c r="A132" s="416" t="s">
        <v>362</v>
      </c>
      <c r="B132" s="315">
        <f>PGL_Supplies!T7/1000</f>
        <v>0</v>
      </c>
      <c r="C132" s="340"/>
      <c r="D132" s="340"/>
      <c r="E132" s="537"/>
      <c r="F132" s="416" t="s">
        <v>435</v>
      </c>
      <c r="G132" s="527"/>
      <c r="H132" s="308"/>
      <c r="I132" s="327"/>
    </row>
    <row r="133" spans="1:9" ht="16.2" thickBot="1">
      <c r="A133" s="542" t="s">
        <v>412</v>
      </c>
      <c r="B133" s="549" t="e">
        <f>B126+B127+B130+B131+B132-B125-B128-B129</f>
        <v>#REF!</v>
      </c>
      <c r="C133" s="514"/>
      <c r="D133" s="514"/>
      <c r="E133" s="504"/>
      <c r="F133" s="416" t="s">
        <v>436</v>
      </c>
      <c r="G133" s="527"/>
      <c r="H133" s="308"/>
      <c r="I133" s="327"/>
    </row>
    <row r="134" spans="1:9" ht="16.2" thickBot="1">
      <c r="A134" s="538" t="s">
        <v>9</v>
      </c>
      <c r="B134" s="539" t="s">
        <v>9</v>
      </c>
      <c r="C134" s="540" t="s">
        <v>67</v>
      </c>
      <c r="D134" s="541"/>
      <c r="E134" s="541" t="s">
        <v>9</v>
      </c>
      <c r="F134" s="529" t="s">
        <v>437</v>
      </c>
      <c r="G134" s="528"/>
      <c r="H134" s="308"/>
      <c r="I134" s="327"/>
    </row>
    <row r="135" spans="1:9" ht="15">
      <c r="A135" s="416" t="s">
        <v>399</v>
      </c>
      <c r="B135" s="132">
        <f>PGL_Requirements!I7</f>
        <v>5300</v>
      </c>
      <c r="C135" s="8"/>
      <c r="D135" s="8"/>
      <c r="E135" s="8"/>
      <c r="F135" s="530" t="s">
        <v>438</v>
      </c>
      <c r="G135" s="528"/>
      <c r="H135" s="341"/>
      <c r="I135" s="327"/>
    </row>
    <row r="136" spans="1:9" ht="15">
      <c r="A136" s="416" t="s">
        <v>413</v>
      </c>
      <c r="B136" s="315">
        <f>NSG_Supplies!N7/1011</f>
        <v>0</v>
      </c>
      <c r="C136" s="304"/>
      <c r="D136" s="304"/>
      <c r="E136" s="304"/>
      <c r="F136" s="416" t="s">
        <v>439</v>
      </c>
      <c r="G136" s="527"/>
      <c r="H136" s="343"/>
      <c r="I136" s="327"/>
    </row>
    <row r="137" spans="1:9" ht="15">
      <c r="A137" s="416" t="s">
        <v>414</v>
      </c>
      <c r="B137" s="315">
        <f>PGL_Supplies!Z7/1000</f>
        <v>0</v>
      </c>
      <c r="C137" s="577"/>
      <c r="D137" s="304"/>
      <c r="E137" s="304"/>
      <c r="F137" s="416" t="s">
        <v>440</v>
      </c>
      <c r="G137" s="527"/>
      <c r="H137" s="308"/>
      <c r="I137" s="327"/>
    </row>
    <row r="138" spans="1:9" ht="15">
      <c r="A138" s="416" t="s">
        <v>415</v>
      </c>
      <c r="B138" s="132">
        <f>PGL_Requirements!C7</f>
        <v>0</v>
      </c>
      <c r="C138" s="304"/>
      <c r="D138" s="304"/>
      <c r="E138" s="304"/>
      <c r="F138" s="416" t="s">
        <v>372</v>
      </c>
      <c r="G138" s="527"/>
      <c r="H138" s="343"/>
      <c r="I138" s="327"/>
    </row>
    <row r="139" spans="1:9" ht="15">
      <c r="A139" s="416" t="s">
        <v>416</v>
      </c>
      <c r="B139" s="315">
        <f>PGL_Supplies!C7/1000</f>
        <v>0</v>
      </c>
      <c r="C139" s="304"/>
      <c r="D139" s="304"/>
      <c r="E139" s="304"/>
      <c r="F139" s="361" t="s">
        <v>441</v>
      </c>
      <c r="G139" s="531"/>
      <c r="H139" s="522"/>
      <c r="I139" s="327"/>
    </row>
    <row r="140" spans="1:9" ht="15.6" thickBot="1">
      <c r="A140" s="416" t="s">
        <v>362</v>
      </c>
      <c r="B140" s="315">
        <f>PGL_Supplies!U7/1000</f>
        <v>136.83600000000001</v>
      </c>
      <c r="C140" s="340"/>
      <c r="D140" s="340"/>
      <c r="E140" s="340"/>
      <c r="F140" s="361" t="s">
        <v>442</v>
      </c>
      <c r="G140" s="531"/>
      <c r="H140" s="533"/>
      <c r="I140" s="327"/>
    </row>
    <row r="141" spans="1:9" ht="16.2" thickBot="1">
      <c r="A141" s="542" t="s">
        <v>412</v>
      </c>
      <c r="B141" s="544">
        <f>-B135+B136+B137-B138+B139+B140</f>
        <v>-5163.1639999999998</v>
      </c>
      <c r="C141" s="545"/>
      <c r="D141" s="514"/>
      <c r="E141" s="515"/>
      <c r="F141" s="534" t="s">
        <v>210</v>
      </c>
      <c r="G141" s="535"/>
      <c r="H141" s="536"/>
      <c r="I141" s="327"/>
    </row>
    <row r="142" spans="1:9" ht="16.2" thickBot="1">
      <c r="A142" s="538" t="s">
        <v>9</v>
      </c>
      <c r="B142" s="543" t="s">
        <v>9</v>
      </c>
      <c r="C142" s="540" t="s">
        <v>58</v>
      </c>
      <c r="D142" s="541"/>
      <c r="E142" s="541"/>
      <c r="F142" s="511" t="s">
        <v>9</v>
      </c>
      <c r="G142" s="512" t="s">
        <v>443</v>
      </c>
      <c r="H142" s="512" t="s">
        <v>9</v>
      </c>
      <c r="I142" s="351"/>
    </row>
    <row r="143" spans="1:9" ht="15">
      <c r="A143" s="416" t="s">
        <v>70</v>
      </c>
      <c r="B143" s="315">
        <f>PGL_Requirements!O7/1000</f>
        <v>177</v>
      </c>
      <c r="C143" s="304"/>
      <c r="D143" s="304"/>
      <c r="E143" s="304"/>
      <c r="F143" s="551" t="s">
        <v>395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417</v>
      </c>
      <c r="B144" s="315">
        <f>PGL_Supplies!L7/1000</f>
        <v>0</v>
      </c>
      <c r="C144" s="304"/>
      <c r="D144" s="304"/>
      <c r="E144" s="304"/>
      <c r="F144" s="352" t="s">
        <v>444</v>
      </c>
      <c r="G144" s="304"/>
      <c r="H144" s="379" t="s">
        <v>9</v>
      </c>
      <c r="I144" s="357">
        <f>NSG_Supplies!N7/1000</f>
        <v>0</v>
      </c>
    </row>
    <row r="145" spans="1:9" ht="15.6" thickBot="1">
      <c r="A145" s="416" t="s">
        <v>418</v>
      </c>
      <c r="B145" s="315">
        <f>PGL_Requirements!B7/1000</f>
        <v>0</v>
      </c>
      <c r="C145" s="304"/>
      <c r="D145" s="304"/>
      <c r="E145" s="304"/>
      <c r="F145" s="520" t="s">
        <v>445</v>
      </c>
      <c r="G145" s="346"/>
      <c r="H145" s="509" t="s">
        <v>9</v>
      </c>
      <c r="I145" s="398"/>
    </row>
    <row r="146" spans="1:9" ht="15.6" thickBot="1">
      <c r="A146" s="416" t="s">
        <v>419</v>
      </c>
      <c r="B146" s="315">
        <f>PGL_Supplies!G7/1000</f>
        <v>1</v>
      </c>
      <c r="C146" s="304"/>
      <c r="D146" s="304"/>
      <c r="E146" s="304"/>
      <c r="F146" s="548" t="s">
        <v>421</v>
      </c>
      <c r="G146" s="514"/>
      <c r="H146" s="549" t="s">
        <v>9</v>
      </c>
      <c r="I146" s="550" t="e">
        <f>PGL_Requirements!#REF!/1000</f>
        <v>#REF!</v>
      </c>
    </row>
    <row r="147" spans="1:9" ht="16.2" thickBot="1">
      <c r="A147" s="361" t="s">
        <v>396</v>
      </c>
      <c r="B147" s="315" t="s">
        <v>9</v>
      </c>
      <c r="C147" s="304"/>
      <c r="D147" s="304"/>
      <c r="E147" s="304"/>
      <c r="F147" s="349" t="s">
        <v>446</v>
      </c>
      <c r="G147" s="350"/>
      <c r="H147" s="350"/>
      <c r="I147" s="351"/>
    </row>
    <row r="148" spans="1:9" ht="15.6" thickBot="1">
      <c r="A148" s="416" t="s">
        <v>420</v>
      </c>
      <c r="B148" s="315">
        <f>PGL_Requirements!P7/1000</f>
        <v>2.6549999999999998</v>
      </c>
      <c r="C148" s="340"/>
      <c r="D148" s="340"/>
      <c r="E148" s="340"/>
      <c r="F148" s="525" t="s">
        <v>447</v>
      </c>
      <c r="G148" s="526"/>
      <c r="H148" s="552" t="s">
        <v>9</v>
      </c>
      <c r="I148" s="553">
        <f>+NSG_Supplies!Y7/1000</f>
        <v>0</v>
      </c>
    </row>
    <row r="149" spans="1:9" ht="16.2" thickBot="1">
      <c r="A149" s="501" t="s">
        <v>421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6" thickBot="1">
      <c r="A150" s="416" t="s">
        <v>204</v>
      </c>
      <c r="B150" s="505">
        <f>PGL_Deliveries!AG5</f>
        <v>13373</v>
      </c>
      <c r="C150" s="506"/>
      <c r="D150" s="506"/>
      <c r="E150" s="507"/>
      <c r="F150" s="548" t="s">
        <v>421</v>
      </c>
      <c r="G150" s="514"/>
      <c r="H150" s="549" t="s">
        <v>9</v>
      </c>
      <c r="I150" s="550" t="e">
        <f>PGL_Requirements!#REF!/1000</f>
        <v>#REF!</v>
      </c>
    </row>
    <row r="151" spans="1:9" ht="16.2" thickBot="1">
      <c r="A151" s="416" t="s">
        <v>202</v>
      </c>
      <c r="B151" s="505">
        <f>PGL_Deliveries!AI5</f>
        <v>0</v>
      </c>
      <c r="C151" s="368"/>
      <c r="D151" s="368"/>
      <c r="E151" s="368"/>
      <c r="F151" s="349" t="s">
        <v>390</v>
      </c>
      <c r="G151" s="350"/>
      <c r="H151" s="350"/>
      <c r="I151" s="351"/>
    </row>
    <row r="152" spans="1:9" ht="16.2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448</v>
      </c>
      <c r="G152" s="526"/>
      <c r="H152" s="557"/>
      <c r="I152" s="379">
        <f>PGL_Requirements!S7/1000</f>
        <v>0</v>
      </c>
    </row>
    <row r="153" spans="1:9" ht="15">
      <c r="A153" s="416" t="s">
        <v>422</v>
      </c>
      <c r="B153" s="379">
        <f>PGL_Requirements!M7/1000</f>
        <v>0</v>
      </c>
      <c r="C153" s="304"/>
      <c r="D153" s="304"/>
      <c r="E153" s="371"/>
      <c r="F153" s="521" t="s">
        <v>449</v>
      </c>
      <c r="G153" s="528"/>
      <c r="H153" s="523"/>
      <c r="I153" s="379">
        <f>PGL_Requirements!S7/1000</f>
        <v>0</v>
      </c>
    </row>
    <row r="154" spans="1:9" ht="15">
      <c r="A154" s="416" t="s">
        <v>423</v>
      </c>
      <c r="B154" s="315">
        <f>PGL_Supplies!AD7/1000</f>
        <v>0</v>
      </c>
      <c r="C154" s="372" t="s">
        <v>9</v>
      </c>
      <c r="D154" s="304"/>
      <c r="E154" s="373"/>
      <c r="F154" s="520" t="s">
        <v>450</v>
      </c>
      <c r="G154" s="527"/>
      <c r="H154" s="523"/>
      <c r="I154" s="315">
        <f>PGL_Supplies!AK7/1000</f>
        <v>0</v>
      </c>
    </row>
    <row r="155" spans="1:9" ht="15">
      <c r="A155" s="416" t="s">
        <v>424</v>
      </c>
      <c r="B155" s="379">
        <f>PGL_Requirements!E7/1000</f>
        <v>2.4990000000000001</v>
      </c>
      <c r="C155" s="372" t="s">
        <v>9</v>
      </c>
      <c r="D155" s="304"/>
      <c r="E155" s="373"/>
      <c r="F155" s="416" t="s">
        <v>104</v>
      </c>
      <c r="G155" s="556"/>
      <c r="H155" s="523"/>
      <c r="I155" s="315">
        <f>PGL_Supplies!AK8/1000</f>
        <v>0</v>
      </c>
    </row>
    <row r="156" spans="1:9" ht="15.6" thickBot="1">
      <c r="A156" s="416" t="s">
        <v>425</v>
      </c>
      <c r="B156" s="315">
        <f>PGL_Supplies!F7/1000</f>
        <v>0</v>
      </c>
      <c r="C156" s="380" t="s">
        <v>9</v>
      </c>
      <c r="D156" s="304"/>
      <c r="E156" s="373"/>
      <c r="F156" s="361" t="s">
        <v>362</v>
      </c>
      <c r="G156" s="556"/>
      <c r="H156" s="533"/>
      <c r="I156" s="315">
        <f>PGL_Supplies!AK9/1000</f>
        <v>0</v>
      </c>
    </row>
    <row r="157" spans="1:9" ht="15.6">
      <c r="A157" s="416" t="s">
        <v>426</v>
      </c>
      <c r="B157" s="379">
        <f>PGL_Requirements!S7/1000</f>
        <v>0</v>
      </c>
      <c r="C157" s="372" t="s">
        <v>9</v>
      </c>
      <c r="D157" s="304"/>
      <c r="E157" s="373"/>
      <c r="F157" s="558" t="s">
        <v>451</v>
      </c>
      <c r="G157" s="559"/>
      <c r="H157" s="557"/>
      <c r="I157" s="560">
        <v>0</v>
      </c>
    </row>
    <row r="158" spans="1:9" ht="15.6" thickBot="1">
      <c r="A158" s="416" t="s">
        <v>427</v>
      </c>
      <c r="B158" s="315">
        <f>PGL_Supplies!N7/1000</f>
        <v>0</v>
      </c>
      <c r="C158" s="380" t="s">
        <v>9</v>
      </c>
      <c r="D158" s="304"/>
      <c r="E158" s="474"/>
      <c r="F158" s="561" t="s">
        <v>452</v>
      </c>
      <c r="G158" s="383"/>
      <c r="H158" s="562"/>
      <c r="I158" s="563">
        <v>0</v>
      </c>
    </row>
    <row r="159" spans="1:9" ht="16.2" thickBot="1">
      <c r="A159" s="416" t="s">
        <v>104</v>
      </c>
      <c r="B159" s="315">
        <f>PGL_Supplies!AC7/1000</f>
        <v>2.4990000000000001</v>
      </c>
      <c r="C159" s="380" t="s">
        <v>9</v>
      </c>
      <c r="D159" s="304"/>
      <c r="E159" s="373"/>
      <c r="F159" s="511" t="s">
        <v>237</v>
      </c>
      <c r="G159" s="512"/>
      <c r="H159" s="513"/>
      <c r="I159" s="351"/>
    </row>
    <row r="160" spans="1:9" ht="15.6" thickBot="1">
      <c r="A160" s="416" t="s">
        <v>362</v>
      </c>
      <c r="B160" s="594">
        <f>PGL_Supplies!X7/1000</f>
        <v>96.88</v>
      </c>
      <c r="C160" s="510" t="s">
        <v>9</v>
      </c>
      <c r="D160" s="340"/>
      <c r="E160" s="508"/>
      <c r="F160" s="564" t="s">
        <v>453</v>
      </c>
      <c r="G160" s="524" t="s">
        <v>9</v>
      </c>
      <c r="H160" s="506"/>
      <c r="I160" s="569"/>
    </row>
    <row r="161" spans="1:9" ht="16.2" thickBot="1">
      <c r="A161" s="578" t="s">
        <v>428</v>
      </c>
      <c r="B161" s="596"/>
      <c r="C161" s="516" t="s">
        <v>9</v>
      </c>
      <c r="D161" s="517"/>
      <c r="E161" s="518"/>
      <c r="F161" s="547" t="s">
        <v>454</v>
      </c>
      <c r="G161" s="340"/>
      <c r="H161" s="567"/>
      <c r="I161" s="568" t="s">
        <v>9</v>
      </c>
    </row>
    <row r="162" spans="1:9" ht="16.2" thickBot="1">
      <c r="A162" s="390" t="s">
        <v>421</v>
      </c>
      <c r="B162" s="595">
        <f>B154+B156+B158+B159+B160-B153-B155-B157-B161</f>
        <v>96.88</v>
      </c>
      <c r="C162" s="391"/>
      <c r="D162" s="392"/>
      <c r="E162" s="519"/>
      <c r="F162" s="565" t="s">
        <v>241</v>
      </c>
      <c r="G162" s="514"/>
      <c r="H162" s="503"/>
      <c r="I162" s="566"/>
    </row>
    <row r="163" spans="1:9" ht="12" thickBot="1">
      <c r="A163" s="579"/>
      <c r="B163" s="580" t="s">
        <v>455</v>
      </c>
      <c r="C163" s="580"/>
      <c r="D163" s="580" t="s">
        <v>456</v>
      </c>
      <c r="E163" s="580"/>
      <c r="F163" s="580"/>
      <c r="G163" s="580"/>
      <c r="H163" s="581" t="s">
        <v>244</v>
      </c>
      <c r="I163" s="582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1" t="s">
        <v>245</v>
      </c>
      <c r="B2" s="191" t="s">
        <v>245</v>
      </c>
      <c r="C2" s="191" t="s">
        <v>245</v>
      </c>
      <c r="D2" s="191" t="s">
        <v>245</v>
      </c>
      <c r="E2" s="191" t="s">
        <v>245</v>
      </c>
      <c r="F2" s="191" t="s">
        <v>245</v>
      </c>
      <c r="G2" s="191" t="s">
        <v>245</v>
      </c>
      <c r="H2" s="191" t="s">
        <v>245</v>
      </c>
      <c r="I2" s="191" t="s">
        <v>245</v>
      </c>
      <c r="J2" s="6"/>
    </row>
    <row r="14" spans="1:10" ht="30">
      <c r="A14" s="191" t="s">
        <v>252</v>
      </c>
      <c r="B14" s="191" t="s">
        <v>252</v>
      </c>
      <c r="C14" s="191" t="s">
        <v>252</v>
      </c>
      <c r="D14" s="191" t="s">
        <v>252</v>
      </c>
      <c r="E14" s="191" t="s">
        <v>252</v>
      </c>
      <c r="F14" s="191" t="s">
        <v>252</v>
      </c>
      <c r="G14" s="191" t="s">
        <v>252</v>
      </c>
      <c r="H14" s="191" t="s">
        <v>252</v>
      </c>
      <c r="I14" s="191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1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2" t="s">
        <v>246</v>
      </c>
      <c r="D5" s="122" t="s">
        <v>352</v>
      </c>
      <c r="F5" s="192" t="s">
        <v>247</v>
      </c>
      <c r="G5" s="122" t="s">
        <v>353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354</v>
      </c>
    </row>
    <row r="9" spans="1:10">
      <c r="D9" s="122" t="s">
        <v>356</v>
      </c>
      <c r="G9" s="122" t="s">
        <v>355</v>
      </c>
    </row>
    <row r="10" spans="1:10">
      <c r="D10" s="122" t="s">
        <v>357</v>
      </c>
    </row>
    <row r="11" spans="1:10" ht="15.6">
      <c r="D11" s="192" t="s">
        <v>250</v>
      </c>
    </row>
    <row r="12" spans="1:10" ht="15.6">
      <c r="D12" s="192" t="s">
        <v>251</v>
      </c>
    </row>
    <row r="14" spans="1:10" ht="30">
      <c r="A14" s="191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0"/>
      <c r="D17" s="6"/>
      <c r="E17" s="6"/>
      <c r="F17" s="6"/>
      <c r="G17" s="6"/>
      <c r="H17" s="6"/>
      <c r="I17" s="6"/>
    </row>
    <row r="18" spans="2:9" ht="15.6">
      <c r="B18" s="190" t="s">
        <v>255</v>
      </c>
      <c r="C18" s="190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89" t="s">
        <v>361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256</v>
      </c>
      <c r="D22" s="163">
        <f ca="1">NOW()</f>
        <v>37108.164959490743</v>
      </c>
      <c r="F22" s="161" t="s">
        <v>257</v>
      </c>
      <c r="G22" s="186">
        <f ca="1">NOW()</f>
        <v>37108.164959490743</v>
      </c>
    </row>
    <row r="24" spans="2:9">
      <c r="B24" s="161" t="s">
        <v>258</v>
      </c>
      <c r="D24" s="221" t="s">
        <v>376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4" t="s">
        <v>9</v>
      </c>
      <c r="C26" s="161" t="s">
        <v>261</v>
      </c>
    </row>
    <row r="27" spans="2:9" ht="15.6" thickBot="1">
      <c r="B27" s="204" t="s">
        <v>9</v>
      </c>
      <c r="C27" s="161" t="s">
        <v>262</v>
      </c>
    </row>
    <row r="28" spans="2:9" ht="15.6" thickBot="1">
      <c r="B28" s="204" t="s">
        <v>377</v>
      </c>
      <c r="C28" s="122" t="s">
        <v>358</v>
      </c>
    </row>
    <row r="29" spans="2:9">
      <c r="B29" t="s">
        <v>9</v>
      </c>
      <c r="C29" s="161" t="s">
        <v>359</v>
      </c>
    </row>
    <row r="30" spans="2:9">
      <c r="C30" s="161" t="s">
        <v>9</v>
      </c>
    </row>
    <row r="32" spans="2:9">
      <c r="B32" s="161" t="s">
        <v>263</v>
      </c>
      <c r="E32" s="433">
        <v>35915</v>
      </c>
    </row>
    <row r="34" spans="2:8" ht="15.6">
      <c r="B34" s="161" t="s">
        <v>264</v>
      </c>
      <c r="E34" s="185">
        <v>0</v>
      </c>
      <c r="F34" t="s">
        <v>265</v>
      </c>
    </row>
    <row r="36" spans="2:8" ht="15.6">
      <c r="B36" s="161" t="s">
        <v>266</v>
      </c>
      <c r="E36" s="185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5">
        <v>0</v>
      </c>
      <c r="G38" t="s">
        <v>265</v>
      </c>
    </row>
    <row r="39" spans="2:8" ht="15.6">
      <c r="E39" s="163">
        <f>+E38+1</f>
        <v>35917</v>
      </c>
      <c r="F39" s="185">
        <v>0</v>
      </c>
      <c r="G39" t="s">
        <v>265</v>
      </c>
    </row>
    <row r="40" spans="2:8" ht="15.6">
      <c r="E40" s="163">
        <f>+E39+1</f>
        <v>35918</v>
      </c>
      <c r="F40" s="185">
        <v>0</v>
      </c>
      <c r="G40" t="s">
        <v>265</v>
      </c>
    </row>
    <row r="41" spans="2:8" ht="15.6">
      <c r="E41" s="163">
        <f>+E40+1</f>
        <v>35919</v>
      </c>
      <c r="F41" s="185">
        <v>0</v>
      </c>
      <c r="G41" t="s">
        <v>265</v>
      </c>
    </row>
    <row r="42" spans="2:8" ht="15.6">
      <c r="E42" s="163">
        <f>+E41+1</f>
        <v>35920</v>
      </c>
      <c r="F42" s="185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269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360</v>
      </c>
      <c r="D49" s="184"/>
    </row>
    <row r="50" spans="2:4">
      <c r="B50" s="183"/>
      <c r="C50" s="182" t="s">
        <v>270</v>
      </c>
    </row>
    <row r="51" spans="2:4">
      <c r="B51" s="183"/>
      <c r="C51" s="182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37107</v>
      </c>
      <c r="C5" s="15"/>
      <c r="D5" s="22" t="s">
        <v>275</v>
      </c>
      <c r="E5" s="23">
        <f>Weather_Input!B5</f>
        <v>86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66</v>
      </c>
      <c r="F6" s="24" t="s">
        <v>278</v>
      </c>
      <c r="G6" s="25">
        <f>Weather_Input!F5</f>
        <v>0</v>
      </c>
      <c r="H6" s="26" t="s">
        <v>279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76</v>
      </c>
      <c r="F7" s="24" t="s">
        <v>281</v>
      </c>
      <c r="G7" s="25">
        <f>Weather_Input!G5</f>
        <v>0</v>
      </c>
      <c r="H7" s="26" t="s">
        <v>281</v>
      </c>
      <c r="I7" s="120">
        <f ca="1">G7-(VLOOKUP(B5,DD_Normal_Data,CELL("Col",D4),FALSE))</f>
        <v>0</v>
      </c>
      <c r="J7" s="120"/>
    </row>
    <row r="8" spans="1:109" ht="15">
      <c r="A8" s="18"/>
      <c r="B8" s="20"/>
      <c r="C8" s="15"/>
      <c r="D8" s="32" t="str">
        <f>IF(Weather_Input!I5=""," ",Weather_Input!I5)</f>
        <v>SUNNY. LIGHT EAST WINDS. OVERNIGHT…CLEAR. LIGHT WINDS.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37108</v>
      </c>
      <c r="C10" s="15"/>
      <c r="D10" s="150" t="s">
        <v>275</v>
      </c>
      <c r="E10" s="23">
        <f>Weather_Input!B6</f>
        <v>92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70</v>
      </c>
      <c r="F11" s="24" t="s">
        <v>278</v>
      </c>
      <c r="G11" s="25">
        <f>IF(DAY(B10)=1,G10,G6+G10)</f>
        <v>0</v>
      </c>
      <c r="H11" s="30" t="s">
        <v>279</v>
      </c>
      <c r="I11" s="27">
        <f ca="1">G11-(VLOOKUP(B10,DD_Normal_Data,CELL("Col",C12),FALSE))</f>
        <v>0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81</v>
      </c>
      <c r="F12" s="24" t="s">
        <v>281</v>
      </c>
      <c r="G12" s="25">
        <f>IF(AND(DAY(B10)=1,MONTH(B10)=8),G10,G7+G10)</f>
        <v>0</v>
      </c>
      <c r="H12" s="26" t="s">
        <v>281</v>
      </c>
      <c r="I12" s="27">
        <f ca="1">G12-(VLOOKUP(B10,DD_Normal_Data,CELL("Col",D9),FALSE))</f>
        <v>0</v>
      </c>
    </row>
    <row r="13" spans="1:109" ht="15">
      <c r="A13" s="18"/>
      <c r="B13" s="21"/>
      <c r="C13" s="15"/>
      <c r="D13" s="32" t="str">
        <f>IF(Weather_Input!I6=""," ",Weather_Input!I6)</f>
        <v>SUNNY AND HOT. A LITTLE COOLER NEAR THE LAKE. OVERNIGHT…CLEAR.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37109</v>
      </c>
      <c r="C15" s="15"/>
      <c r="D15" s="22" t="s">
        <v>275</v>
      </c>
      <c r="E15" s="23">
        <f>Weather_Input!B7</f>
        <v>92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72</v>
      </c>
      <c r="F16" s="24" t="s">
        <v>278</v>
      </c>
      <c r="G16" s="25">
        <f>IF(DAY(B15)=1,G15,G11+G15)</f>
        <v>0</v>
      </c>
      <c r="H16" s="30" t="s">
        <v>279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82</v>
      </c>
      <c r="F17" s="24" t="s">
        <v>281</v>
      </c>
      <c r="G17" s="25">
        <f>IF(AND(DAY(B15)=1,MONTH(B15)=8),G15,G12+G15)</f>
        <v>0</v>
      </c>
      <c r="H17" s="26" t="s">
        <v>281</v>
      </c>
      <c r="I17" s="27">
        <f ca="1">G17-(VLOOKUP(B15,DD_Normal_Data,CELL("Col",D14),FALSE))</f>
        <v>0</v>
      </c>
    </row>
    <row r="18" spans="1:109" ht="15">
      <c r="A18" s="18"/>
      <c r="B18" s="20"/>
      <c r="C18" s="15"/>
      <c r="D18" s="32" t="str">
        <f>IF(Weather_Input!I7=""," ",Weather_Input!I7)</f>
        <v xml:space="preserve">MOSTLY SUNNY AND HOT.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37110</v>
      </c>
      <c r="C20" s="15"/>
      <c r="D20" s="22" t="s">
        <v>275</v>
      </c>
      <c r="E20" s="23">
        <f>Weather_Input!B8</f>
        <v>93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74</v>
      </c>
      <c r="F21" s="24" t="s">
        <v>278</v>
      </c>
      <c r="G21" s="25">
        <f>IF(DAY(B20)=1,G20,G16+G20)</f>
        <v>0</v>
      </c>
      <c r="H21" s="30" t="s">
        <v>279</v>
      </c>
      <c r="I21" s="27">
        <f ca="1">G21-(VLOOKUP(B20,DD_Normal_Data,CELL("Col",C22),FALSE))</f>
        <v>0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83.5</v>
      </c>
      <c r="F22" s="24" t="s">
        <v>281</v>
      </c>
      <c r="G22" s="25">
        <f>IF(AND(DAY(B20)=1,MONTH(B20)=8),G20,G17+G20)</f>
        <v>0</v>
      </c>
      <c r="H22" s="26" t="s">
        <v>281</v>
      </c>
      <c r="I22" s="27">
        <f ca="1">G22-(VLOOKUP(B20,DD_Normal_Data,CELL("Col",D19),FALSE))</f>
        <v>0</v>
      </c>
    </row>
    <row r="23" spans="1:109" ht="15">
      <c r="A23" s="18"/>
      <c r="B23" s="21"/>
      <c r="C23" s="15"/>
      <c r="D23" s="32" t="str">
        <f>IF(Weather_Input!I8=""," ",Weather_Input!I8)</f>
        <v>PARTLY SUNNY…HOT AND HUMID.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37111</v>
      </c>
      <c r="C25" s="15"/>
      <c r="D25" s="22" t="s">
        <v>275</v>
      </c>
      <c r="E25" s="23">
        <f>Weather_Input!B9</f>
        <v>93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72</v>
      </c>
      <c r="F26" s="24" t="s">
        <v>278</v>
      </c>
      <c r="G26" s="25">
        <f>IF(DAY(B25)=1,G25,G21+G25)</f>
        <v>0</v>
      </c>
      <c r="H26" s="30" t="s">
        <v>279</v>
      </c>
      <c r="I26" s="27">
        <f ca="1">G26-(VLOOKUP(B25,DD_Normal_Data,CELL("Col",C27),FALSE))</f>
        <v>0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82.5</v>
      </c>
      <c r="F27" s="24" t="s">
        <v>281</v>
      </c>
      <c r="G27" s="25">
        <f>IF(AND(DAY(B25)=1,MONTH(B25)=8),G25,G22+G25)</f>
        <v>0</v>
      </c>
      <c r="H27" s="26" t="s">
        <v>281</v>
      </c>
      <c r="I27" s="27">
        <f ca="1">G27-(VLOOKUP(B25,DD_Normal_Data,CELL("Col",D24),FALSE))</f>
        <v>0</v>
      </c>
    </row>
    <row r="28" spans="1:109" ht="15">
      <c r="A28" s="18"/>
      <c r="B28" s="20"/>
      <c r="C28" s="15"/>
      <c r="D28" s="32" t="str">
        <f>IF(Weather_Input!I9=""," ",Weather_Input!I9)</f>
        <v>PARTLY CLOUDY.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37112</v>
      </c>
      <c r="C30" s="15"/>
      <c r="D30" s="22" t="s">
        <v>275</v>
      </c>
      <c r="E30" s="23">
        <f>Weather_Input!B10</f>
        <v>93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72</v>
      </c>
      <c r="F31" s="24" t="s">
        <v>278</v>
      </c>
      <c r="G31" s="25">
        <f>IF(DAY(B30)=1,G30,G26+G30)</f>
        <v>0</v>
      </c>
      <c r="H31" s="30" t="s">
        <v>279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82.5</v>
      </c>
      <c r="F32" s="24" t="s">
        <v>281</v>
      </c>
      <c r="G32" s="25">
        <f>IF(AND(DAY(B30)=1,MONTH(B30)=8),G30,G27+G30)</f>
        <v>0</v>
      </c>
      <c r="H32" s="26" t="s">
        <v>281</v>
      </c>
      <c r="I32" s="27">
        <f ca="1">G32-(VLOOKUP(B30,DD_Normal_Data,CELL("Col",D29),FALSE))</f>
        <v>0</v>
      </c>
    </row>
    <row r="33" spans="1:9" ht="15">
      <c r="A33" s="15"/>
      <c r="B33" s="34"/>
      <c r="C33" s="15"/>
      <c r="D33" s="32" t="str">
        <f>IF(Weather_Input!I10=""," ",Weather_Input!I10)</f>
        <v>PARTLY CLOUDY.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37107</v>
      </c>
      <c r="C36" s="89">
        <f>B10</f>
        <v>37108</v>
      </c>
      <c r="D36" s="89">
        <f>B15</f>
        <v>37109</v>
      </c>
      <c r="E36" s="89">
        <f xml:space="preserve">       B20</f>
        <v>37110</v>
      </c>
      <c r="F36" s="89">
        <f>B25</f>
        <v>37111</v>
      </c>
      <c r="G36" s="89">
        <f>B30</f>
        <v>37112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168</v>
      </c>
      <c r="C37" s="41">
        <f ca="1">(VLOOKUP(C36,PGL_Sendouts,(CELL("COL",PGL_Deliveries!C7))))/1000</f>
        <v>180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195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195</v>
      </c>
      <c r="H37" s="14"/>
      <c r="I37" s="15"/>
    </row>
    <row r="38" spans="1:9" ht="15">
      <c r="A38" s="15" t="s">
        <v>286</v>
      </c>
      <c r="B38" s="41">
        <f>PGL_6_Day_Report!D25</f>
        <v>414.93200000000002</v>
      </c>
      <c r="C38" s="41">
        <f>PGL_6_Day_Report!E25</f>
        <v>421.01099999999997</v>
      </c>
      <c r="D38" s="41">
        <f>PGL_6_Day_Report!F25</f>
        <v>486.22999999999996</v>
      </c>
      <c r="E38" s="41">
        <f>PGL_6_Day_Report!G25</f>
        <v>357.67999999999995</v>
      </c>
      <c r="F38" s="41">
        <f>PGL_6_Day_Report!H25</f>
        <v>357.67999999999995</v>
      </c>
      <c r="G38" s="41">
        <f>PGL_6_Day_Report!I25</f>
        <v>357.67999999999995</v>
      </c>
      <c r="H38" s="14"/>
      <c r="I38" s="15"/>
    </row>
    <row r="39" spans="1:9" ht="15">
      <c r="A39" s="42" t="s">
        <v>104</v>
      </c>
      <c r="B39" s="41">
        <f>SUM(PGL_Supplies!Y7:AD7)/1000</f>
        <v>277.05200000000002</v>
      </c>
      <c r="C39" s="41">
        <f>SUM(PGL_Supplies!Y8:AD8)/1000</f>
        <v>277.05200000000002</v>
      </c>
      <c r="D39" s="41">
        <f>SUM(PGL_Supplies!Y9:AD9)/1000</f>
        <v>287.02300000000002</v>
      </c>
      <c r="E39" s="41">
        <f>SUM(PGL_Supplies!Y10:AD10)/1000</f>
        <v>292.02300000000002</v>
      </c>
      <c r="F39" s="41">
        <f>SUM(PGL_Supplies!Y11:AD11)/1000</f>
        <v>292.02300000000002</v>
      </c>
      <c r="G39" s="41">
        <f>SUM(PGL_Supplies!Y12:AD12)/1000</f>
        <v>292.02300000000002</v>
      </c>
      <c r="H39" s="14"/>
      <c r="I39" s="15"/>
    </row>
    <row r="40" spans="1:9" ht="15">
      <c r="A40" s="42" t="s">
        <v>287</v>
      </c>
      <c r="B40" s="41" t="e">
        <f>(PGL_Supplies!M7+PGL_Supplies!#REF!+PGL_Supplies!N7+PGL_Supplies!P7+PGL_Supplies!Q7)/1000</f>
        <v>#REF!</v>
      </c>
      <c r="C40" s="41" t="e">
        <f>(PGL_Supplies!M8+PGL_Supplies!#REF!+PGL_Supplies!N8+PGL_Supplies!P8+PGL_Supplies!Q8)/1000</f>
        <v>#REF!</v>
      </c>
      <c r="D40" s="41" t="e">
        <f>(PGL_Supplies!M9+PGL_Supplies!#REF!+PGL_Supplies!N9+PGL_Supplies!P9+PGL_Supplies!Q9)/1000</f>
        <v>#REF!</v>
      </c>
      <c r="E40" s="41" t="e">
        <f>(PGL_Supplies!M10+PGL_Supplies!#REF!+PGL_Supplies!N10+PGL_Supplies!P10+PGL_Supplies!Q10)/1000</f>
        <v>#REF!</v>
      </c>
      <c r="F40" s="41" t="e">
        <f>(PGL_Supplies!M11+PGL_Supplies!#REF!+PGL_Supplies!N11+PGL_Supplies!P11+PGL_Supplies!Q11)/1000</f>
        <v>#REF!</v>
      </c>
      <c r="G40" s="41" t="e">
        <f>(PGL_Supplies!M12+PGL_Supplies!#REF!+PGL_Supplies!N12+PGL_Supplies!P12+PGL_Supplies!Q12)/1000</f>
        <v>#REF!</v>
      </c>
      <c r="H40" s="14"/>
      <c r="I40" s="15"/>
    </row>
    <row r="41" spans="1:9" ht="15">
      <c r="A41" s="45" t="s">
        <v>288</v>
      </c>
      <c r="B41" s="41">
        <f>SUM(PGL_Requirements!Q7:T7)/1000</f>
        <v>39.198</v>
      </c>
      <c r="C41" s="41">
        <f>SUM(PGL_Requirements!Q7:T7)/1000</f>
        <v>39.198</v>
      </c>
      <c r="D41" s="41">
        <f>SUM(PGL_Requirements!Q7:T7)/1000</f>
        <v>39.198</v>
      </c>
      <c r="E41" s="41">
        <f>SUM(PGL_Requirements!Q7:T7)/1000</f>
        <v>39.198</v>
      </c>
      <c r="F41" s="41">
        <f>SUM(PGL_Requirements!Q7:T7)/1000</f>
        <v>39.198</v>
      </c>
      <c r="G41" s="41">
        <f>SUM(PGL_Requirements!Q7:T7)/1000</f>
        <v>39.198</v>
      </c>
      <c r="H41" s="14"/>
      <c r="I41" s="15"/>
    </row>
    <row r="42" spans="1:9" ht="15">
      <c r="A42" s="15" t="s">
        <v>127</v>
      </c>
      <c r="B42" s="41">
        <f>PGL_Supplies!U7/1000</f>
        <v>136.83600000000001</v>
      </c>
      <c r="C42" s="41">
        <f>PGL_Supplies!U8/1000</f>
        <v>136.83600000000001</v>
      </c>
      <c r="D42" s="41">
        <f>PGL_Supplies!U9/1000</f>
        <v>136.83600000000001</v>
      </c>
      <c r="E42" s="41">
        <f>PGL_Supplies!U10/1000</f>
        <v>136.83600000000001</v>
      </c>
      <c r="F42" s="41">
        <f>PGL_Supplies!U11/1000</f>
        <v>136.83600000000001</v>
      </c>
      <c r="G42" s="41">
        <f>PGL_Supplies!U12/1000</f>
        <v>136.83600000000001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37107</v>
      </c>
      <c r="C44" s="89">
        <f t="shared" si="0"/>
        <v>37108</v>
      </c>
      <c r="D44" s="89">
        <f t="shared" si="0"/>
        <v>37109</v>
      </c>
      <c r="E44" s="89">
        <f t="shared" si="0"/>
        <v>37110</v>
      </c>
      <c r="F44" s="89">
        <f t="shared" si="0"/>
        <v>37111</v>
      </c>
      <c r="G44" s="89">
        <f t="shared" si="0"/>
        <v>37112</v>
      </c>
      <c r="H44" s="14"/>
      <c r="I44" s="15"/>
    </row>
    <row r="45" spans="1:9" ht="15">
      <c r="A45" s="15" t="s">
        <v>54</v>
      </c>
      <c r="B45" s="41">
        <f ca="1">NSG_6_Day_Report!D6</f>
        <v>28</v>
      </c>
      <c r="C45" s="41">
        <f ca="1">NSG_6_Day_Report!E6</f>
        <v>29</v>
      </c>
      <c r="D45" s="41">
        <f ca="1">NSG_6_Day_Report!F6</f>
        <v>32</v>
      </c>
      <c r="E45" s="41">
        <f ca="1">NSG_6_Day_Report!G6</f>
        <v>32</v>
      </c>
      <c r="F45" s="41">
        <f ca="1">NSG_6_Day_Report!H6</f>
        <v>32</v>
      </c>
      <c r="G45" s="41">
        <f ca="1">NSG_6_Day_Report!I6</f>
        <v>32</v>
      </c>
      <c r="H45" s="14"/>
      <c r="I45" s="15"/>
    </row>
    <row r="46" spans="1:9" ht="15">
      <c r="A46" s="42" t="s">
        <v>286</v>
      </c>
      <c r="B46" s="41">
        <f ca="1">NSG_6_Day_Report!D11</f>
        <v>35</v>
      </c>
      <c r="C46" s="41">
        <f ca="1">NSG_6_Day_Report!E11</f>
        <v>36</v>
      </c>
      <c r="D46" s="41">
        <f ca="1">NSG_6_Day_Report!F11</f>
        <v>39</v>
      </c>
      <c r="E46" s="41">
        <f ca="1">NSG_6_Day_Report!G11</f>
        <v>39</v>
      </c>
      <c r="F46" s="41">
        <f ca="1">NSG_6_Day_Report!H11</f>
        <v>39</v>
      </c>
      <c r="G46" s="41">
        <f ca="1">NSG_6_Day_Report!I11</f>
        <v>39</v>
      </c>
      <c r="H46" s="14"/>
      <c r="I46" s="15"/>
    </row>
    <row r="47" spans="1:9" ht="15">
      <c r="A47" s="42" t="s">
        <v>104</v>
      </c>
      <c r="B47" s="41">
        <f>SUM(NSG_Supplies!O7:Q7)/1000</f>
        <v>31.728999999999999</v>
      </c>
      <c r="C47" s="41">
        <f>SUM(NSG_Supplies!O8:Q8)/1000</f>
        <v>31.728999999999999</v>
      </c>
      <c r="D47" s="41">
        <f>SUM(NSG_Supplies!O9:Q9)/1000</f>
        <v>31.728999999999999</v>
      </c>
      <c r="E47" s="41">
        <f>SUM(NSG_Supplies!O10:Q10)/1000</f>
        <v>31.728999999999999</v>
      </c>
      <c r="F47" s="41">
        <f>SUM(NSG_Supplies!O11:Q11)/1000</f>
        <v>31.728999999999999</v>
      </c>
      <c r="G47" s="41">
        <f>SUM(NSG_Supplies!O12:Q12)/1000</f>
        <v>31.728999999999999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14.739000000000001</v>
      </c>
      <c r="C50" s="41">
        <f>NSG_Supplies!R8/1000</f>
        <v>14.739000000000001</v>
      </c>
      <c r="D50" s="41">
        <f>NSG_Supplies!R9/1000</f>
        <v>14.739000000000001</v>
      </c>
      <c r="E50" s="41">
        <f>NSG_Supplies!R10/1000</f>
        <v>14.739000000000001</v>
      </c>
      <c r="F50" s="41">
        <f>NSG_Supplies!R11/1000</f>
        <v>14.739000000000001</v>
      </c>
      <c r="G50" s="41">
        <f>NSG_Supplies!R12/1000</f>
        <v>14.739000000000001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37107</v>
      </c>
      <c r="C52" s="89">
        <f t="shared" si="1"/>
        <v>37108</v>
      </c>
      <c r="D52" s="89">
        <f t="shared" si="1"/>
        <v>37109</v>
      </c>
      <c r="E52" s="89">
        <f t="shared" si="1"/>
        <v>37110</v>
      </c>
      <c r="F52" s="89">
        <f t="shared" si="1"/>
        <v>37111</v>
      </c>
      <c r="G52" s="89">
        <f t="shared" si="1"/>
        <v>37112</v>
      </c>
      <c r="H52" s="14"/>
      <c r="I52" s="15"/>
    </row>
    <row r="53" spans="1:9" ht="15">
      <c r="A53" s="92" t="s">
        <v>290</v>
      </c>
      <c r="B53" s="41">
        <f>PGL_Requirements!O7/1000</f>
        <v>177</v>
      </c>
      <c r="C53" s="41">
        <f>PGL_Requirements!O8/1000</f>
        <v>160</v>
      </c>
      <c r="D53" s="41">
        <f>PGL_Requirements!O9/1000</f>
        <v>160</v>
      </c>
      <c r="E53" s="41">
        <f>PGL_Requirements!O10/1000</f>
        <v>160</v>
      </c>
      <c r="F53" s="41">
        <f>PGL_Requirements!O11/1000</f>
        <v>160</v>
      </c>
      <c r="G53" s="41">
        <f>PGL_Requirements!O12/1000</f>
        <v>160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4" t="s">
        <v>649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3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27"/>
    </row>
    <row r="3" spans="1:8" ht="16.2" thickBot="1">
      <c r="A3" s="96" t="s">
        <v>296</v>
      </c>
    </row>
    <row r="4" spans="1:8">
      <c r="A4" s="97"/>
      <c r="B4" s="1028" t="str">
        <f>Six_Day_Summary!A10</f>
        <v>Sunday</v>
      </c>
      <c r="C4" s="1029" t="str">
        <f>Six_Day_Summary!A15</f>
        <v>Monday</v>
      </c>
      <c r="D4" s="1029" t="str">
        <f>Six_Day_Summary!A20</f>
        <v>Tuesday</v>
      </c>
      <c r="E4" s="1029" t="str">
        <f>Six_Day_Summary!A25</f>
        <v>Wednesday</v>
      </c>
      <c r="F4" s="1030" t="str">
        <f>Six_Day_Summary!A30</f>
        <v>Thursday</v>
      </c>
      <c r="G4" s="98"/>
    </row>
    <row r="5" spans="1:8">
      <c r="A5" s="101" t="s">
        <v>297</v>
      </c>
      <c r="B5" s="1031">
        <f>Weather_Input!A6</f>
        <v>37108</v>
      </c>
      <c r="C5" s="1032">
        <f>Weather_Input!A7</f>
        <v>37109</v>
      </c>
      <c r="D5" s="1032">
        <f>Weather_Input!A8</f>
        <v>37110</v>
      </c>
      <c r="E5" s="1032">
        <f>Weather_Input!A9</f>
        <v>37111</v>
      </c>
      <c r="F5" s="1033">
        <f>Weather_Input!A10</f>
        <v>37112</v>
      </c>
      <c r="G5" s="98"/>
    </row>
    <row r="6" spans="1:8">
      <c r="A6" s="98" t="s">
        <v>298</v>
      </c>
      <c r="B6" s="1034">
        <f>PGL_Supplies!AB8/1000+PGL_Supplies!K8/1000-PGL_Requirements!N8/1000-PGL_Requirements!S8/1000+B8</f>
        <v>10.774000000000001</v>
      </c>
      <c r="C6" s="1034">
        <f>PGL_Supplies!AB9/1000+PGL_Supplies!K9/1000-PGL_Requirements!N9/1000+C15-PGL_Requirements!S9/1000</f>
        <v>21.774000000000001</v>
      </c>
      <c r="D6" s="1034">
        <f>PGL_Supplies!AB10/1000+PGL_Supplies!K10/1000-PGL_Requirements!N10/1000+D15-PGL_Requirements!S10/1000</f>
        <v>21.774000000000001</v>
      </c>
      <c r="E6" s="1034">
        <f>PGL_Supplies!AB11/1000+PGL_Supplies!K11/1000-PGL_Requirements!N11/1000+E15-PGL_Requirements!S11/1000</f>
        <v>21.774000000000001</v>
      </c>
      <c r="F6" s="1035">
        <f>PGL_Supplies!AB12/1000+PGL_Supplies!K12/1000-PGL_Requirements!N12/1000+F15-PGL_Requirements!S12/1000</f>
        <v>21.774000000000001</v>
      </c>
      <c r="G6" s="98"/>
      <c r="H6" t="s">
        <v>9</v>
      </c>
    </row>
    <row r="7" spans="1:8">
      <c r="A7" s="98" t="s">
        <v>299</v>
      </c>
      <c r="B7" s="1034">
        <f>PGL_Supplies!M8/1000</f>
        <v>0</v>
      </c>
      <c r="C7" s="1034">
        <f>PGL_Supplies!M9/1000</f>
        <v>0</v>
      </c>
      <c r="D7" s="1034">
        <f>PGL_Supplies!M10/1000</f>
        <v>0</v>
      </c>
      <c r="E7" s="1034">
        <f>PGL_Supplies!M11/1000</f>
        <v>0</v>
      </c>
      <c r="F7" s="1036">
        <f>PGL_Supplies!M12/1000</f>
        <v>0</v>
      </c>
      <c r="G7" s="98"/>
    </row>
    <row r="8" spans="1:8">
      <c r="A8" s="98" t="s">
        <v>300</v>
      </c>
      <c r="B8" s="1034">
        <v>0</v>
      </c>
      <c r="C8" s="1034">
        <v>0</v>
      </c>
      <c r="D8" s="1034">
        <v>0</v>
      </c>
      <c r="E8" s="1034">
        <v>0</v>
      </c>
      <c r="F8" s="1036">
        <v>0</v>
      </c>
      <c r="G8" s="98"/>
    </row>
    <row r="9" spans="1:8">
      <c r="A9" s="98" t="s">
        <v>301</v>
      </c>
      <c r="B9" s="1034">
        <v>0</v>
      </c>
      <c r="C9" s="1034">
        <v>0</v>
      </c>
      <c r="D9" s="1034">
        <v>0</v>
      </c>
      <c r="E9" s="1034">
        <v>0</v>
      </c>
      <c r="F9" s="1036">
        <v>0</v>
      </c>
      <c r="G9" s="98"/>
    </row>
    <row r="10" spans="1:8">
      <c r="A10" s="99"/>
      <c r="B10" s="1037"/>
      <c r="C10" s="1037"/>
      <c r="D10" s="1037"/>
      <c r="E10" s="1037"/>
      <c r="F10" s="1038"/>
      <c r="G10" s="98"/>
    </row>
    <row r="11" spans="1:8">
      <c r="A11" s="98" t="s">
        <v>302</v>
      </c>
      <c r="B11" s="1034">
        <v>0</v>
      </c>
      <c r="C11" s="1034">
        <v>0</v>
      </c>
      <c r="D11" s="1034">
        <v>0</v>
      </c>
      <c r="E11" s="1034">
        <v>0</v>
      </c>
      <c r="F11" s="1036">
        <v>0</v>
      </c>
      <c r="G11" s="98"/>
      <c r="H11" s="119" t="s">
        <v>9</v>
      </c>
    </row>
    <row r="12" spans="1:8">
      <c r="A12" s="98" t="s">
        <v>303</v>
      </c>
      <c r="B12" s="1034">
        <f>PGL_Requirements!R8/1000</f>
        <v>0</v>
      </c>
      <c r="C12" s="1034">
        <f>PGL_Requirements!R9/1000</f>
        <v>0</v>
      </c>
      <c r="D12" s="1034">
        <f>PGL_Requirements!R10/1000</f>
        <v>0</v>
      </c>
      <c r="E12" s="1034">
        <f>PGL_Requirements!R11/1000</f>
        <v>0</v>
      </c>
      <c r="F12" s="1036">
        <f>PGL_Requirements!R12/1000</f>
        <v>0</v>
      </c>
      <c r="G12" s="98"/>
    </row>
    <row r="13" spans="1:8">
      <c r="A13" s="98" t="s">
        <v>304</v>
      </c>
      <c r="B13" s="1034">
        <v>0</v>
      </c>
      <c r="C13" s="1034">
        <v>0</v>
      </c>
      <c r="D13" s="1034">
        <v>0</v>
      </c>
      <c r="E13" s="1034">
        <v>0</v>
      </c>
      <c r="F13" s="1036">
        <v>0</v>
      </c>
      <c r="G13" s="98"/>
    </row>
    <row r="14" spans="1:8">
      <c r="A14" s="98" t="s">
        <v>175</v>
      </c>
      <c r="B14" s="1034">
        <v>0</v>
      </c>
      <c r="C14" s="1040"/>
      <c r="D14" s="1040"/>
      <c r="E14" s="1040"/>
      <c r="F14" s="1036"/>
      <c r="G14" s="98"/>
    </row>
    <row r="15" spans="1:8">
      <c r="A15" s="98" t="s">
        <v>635</v>
      </c>
      <c r="B15" s="1039">
        <v>0</v>
      </c>
      <c r="C15" s="1039">
        <v>0</v>
      </c>
      <c r="D15" s="1039">
        <v>0</v>
      </c>
      <c r="E15" s="1039">
        <v>0</v>
      </c>
      <c r="F15" s="1067">
        <v>0</v>
      </c>
      <c r="G15" s="119"/>
    </row>
    <row r="16" spans="1:8">
      <c r="A16" s="98" t="s">
        <v>305</v>
      </c>
      <c r="B16" s="1039">
        <v>0</v>
      </c>
      <c r="C16" s="1040"/>
      <c r="D16" s="1040"/>
      <c r="E16" s="1040"/>
      <c r="F16" s="1036"/>
      <c r="G16" s="98"/>
    </row>
    <row r="17" spans="1:7" ht="15.6" thickBot="1">
      <c r="A17" s="100" t="s">
        <v>686</v>
      </c>
      <c r="B17" s="1041">
        <v>0</v>
      </c>
      <c r="C17" s="1042"/>
      <c r="D17" s="1042"/>
      <c r="E17" s="1042"/>
      <c r="F17" s="1043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44" t="str">
        <f t="shared" ref="B21:F22" si="0">B4</f>
        <v>Sunday</v>
      </c>
      <c r="C21" s="1044" t="str">
        <f t="shared" si="0"/>
        <v>Monday</v>
      </c>
      <c r="D21" s="1044" t="str">
        <f t="shared" si="0"/>
        <v>Tuesday</v>
      </c>
      <c r="E21" s="1044" t="str">
        <f t="shared" si="0"/>
        <v>Wednesday</v>
      </c>
      <c r="F21" s="1045" t="str">
        <f t="shared" si="0"/>
        <v>Thursday</v>
      </c>
      <c r="G21" s="98"/>
    </row>
    <row r="22" spans="1:7">
      <c r="A22" s="105" t="s">
        <v>297</v>
      </c>
      <c r="B22" s="1046">
        <f t="shared" si="0"/>
        <v>37108</v>
      </c>
      <c r="C22" s="1046">
        <f t="shared" si="0"/>
        <v>37109</v>
      </c>
      <c r="D22" s="1046">
        <f t="shared" si="0"/>
        <v>37110</v>
      </c>
      <c r="E22" s="1046">
        <f t="shared" si="0"/>
        <v>37111</v>
      </c>
      <c r="F22" s="1047">
        <f t="shared" si="0"/>
        <v>37112</v>
      </c>
      <c r="G22" s="98"/>
    </row>
    <row r="23" spans="1:7">
      <c r="A23" s="98" t="s">
        <v>298</v>
      </c>
      <c r="B23" s="1040">
        <f>NSG_Supplies!Q8/1000+NSG_Supplies!F8/1000-NSG_Requirements!H8/1000</f>
        <v>24.728999999999999</v>
      </c>
      <c r="C23" s="1040">
        <f>NSG_Supplies!Q9/1000+NSG_Supplies!F9/1000-NSG_Requirements!H9/1000</f>
        <v>24.728999999999999</v>
      </c>
      <c r="D23" s="1040">
        <f>NSG_Supplies!Q10/1000+NSG_Supplies!F10/1000-NSG_Requirements!H10/1000</f>
        <v>24.728999999999999</v>
      </c>
      <c r="E23" s="1040">
        <f>NSG_Supplies!Q12/1000+NSG_Supplies!F11/1000-NSG_Requirements!H11/1000</f>
        <v>24.728999999999999</v>
      </c>
      <c r="F23" s="1035">
        <f>NSG_Supplies!Q12/1000+NSG_Supplies!F12/1000-NSG_Requirements!H12/1000</f>
        <v>24.728999999999999</v>
      </c>
      <c r="G23" s="98"/>
    </row>
    <row r="24" spans="1:7">
      <c r="A24" s="98" t="s">
        <v>307</v>
      </c>
      <c r="B24" s="1040">
        <f>NSG_Supplies!G8/1000</f>
        <v>0</v>
      </c>
      <c r="C24" s="1040">
        <f>NSG_Supplies!G9/1000</f>
        <v>0</v>
      </c>
      <c r="D24" s="1040">
        <f>NSG_Supplies!G10/1000</f>
        <v>0</v>
      </c>
      <c r="E24" s="1040">
        <f>NSG_Supplies!G11/1000</f>
        <v>0</v>
      </c>
      <c r="F24" s="1036">
        <f>NSG_Supplies!G12/1000</f>
        <v>0</v>
      </c>
      <c r="G24" s="98"/>
    </row>
    <row r="25" spans="1:7">
      <c r="A25" s="98" t="s">
        <v>299</v>
      </c>
      <c r="B25" s="1040">
        <f>NSG_Supplies!H8/1000</f>
        <v>0</v>
      </c>
      <c r="C25" s="1040">
        <f>NSG_Supplies!H9/1000</f>
        <v>0</v>
      </c>
      <c r="D25" s="1040">
        <f>NSG_Supplies!H10/1000</f>
        <v>0</v>
      </c>
      <c r="E25" s="1040">
        <f>NSG_Supplies!H11/1000</f>
        <v>0</v>
      </c>
      <c r="F25" s="1036">
        <f>NSG_Supplies!H12/1000</f>
        <v>0</v>
      </c>
      <c r="G25" s="98"/>
    </row>
    <row r="26" spans="1:7">
      <c r="A26" s="102" t="s">
        <v>300</v>
      </c>
      <c r="B26" s="1040">
        <f>NSG_Supplies!I8/1000</f>
        <v>0</v>
      </c>
      <c r="C26" s="1040">
        <f>NSG_Supplies!I9/1000</f>
        <v>0</v>
      </c>
      <c r="D26" s="1040">
        <f>NSG_Supplies!I10/1000</f>
        <v>0</v>
      </c>
      <c r="E26" s="1040">
        <f>NSG_Supplies!I11/1000</f>
        <v>0</v>
      </c>
      <c r="F26" s="1036">
        <f>NSG_Supplies!I12/1000</f>
        <v>0</v>
      </c>
      <c r="G26" s="98"/>
    </row>
    <row r="27" spans="1:7">
      <c r="A27" s="98" t="s">
        <v>301</v>
      </c>
      <c r="B27" s="1040">
        <f>NSG_Supplies!J8/1000</f>
        <v>0</v>
      </c>
      <c r="C27" s="1040">
        <f>NSG_Supplies!J9/1000</f>
        <v>0</v>
      </c>
      <c r="D27" s="1040">
        <f>NSG_Supplies!J10/1000</f>
        <v>0</v>
      </c>
      <c r="E27" s="1040">
        <f>NSG_Supplies!J11/1000</f>
        <v>0</v>
      </c>
      <c r="F27" s="1036">
        <f>NSG_Supplies!J12/1000</f>
        <v>0</v>
      </c>
      <c r="G27" s="98"/>
    </row>
    <row r="28" spans="1:7">
      <c r="A28" s="98" t="s">
        <v>308</v>
      </c>
      <c r="B28" s="1040" t="s">
        <v>9</v>
      </c>
      <c r="C28" s="1040"/>
      <c r="D28" s="1040"/>
      <c r="E28" s="1040"/>
      <c r="F28" s="1036"/>
      <c r="G28" s="98"/>
    </row>
    <row r="29" spans="1:7">
      <c r="A29" s="99"/>
      <c r="B29" s="1037"/>
      <c r="C29" s="1037"/>
      <c r="D29" s="1037"/>
      <c r="E29" s="1037"/>
      <c r="F29" s="1038"/>
      <c r="G29" s="98"/>
    </row>
    <row r="30" spans="1:7">
      <c r="A30" s="98" t="s">
        <v>302</v>
      </c>
      <c r="B30" s="1040">
        <f>NSG_Requirements!P8/1000</f>
        <v>0</v>
      </c>
      <c r="C30" s="1040">
        <f>NSG_Requirements!P9/1000</f>
        <v>0</v>
      </c>
      <c r="D30" s="1040">
        <f>NSG_Requirements!P10/1000</f>
        <v>0</v>
      </c>
      <c r="E30" s="1040">
        <f>NSG_Requirements!P11/1000</f>
        <v>0</v>
      </c>
      <c r="F30" s="1036">
        <f>NSG_Supplies!J12/1000</f>
        <v>0</v>
      </c>
      <c r="G30" s="98"/>
    </row>
    <row r="31" spans="1:7">
      <c r="A31" s="98" t="s">
        <v>303</v>
      </c>
      <c r="B31" s="1040">
        <f>NSG_Requirements!R8/1000</f>
        <v>0</v>
      </c>
      <c r="C31" s="1040">
        <f>NSG_Requirements!R9/1000</f>
        <v>0</v>
      </c>
      <c r="D31" s="1040">
        <f>NSG_Requirements!R10/1000</f>
        <v>0</v>
      </c>
      <c r="E31" s="1040">
        <f>NSG_Requirements!R11/1000</f>
        <v>0</v>
      </c>
      <c r="F31" s="1036">
        <f>NSG_Supplies!L12/1000</f>
        <v>0</v>
      </c>
      <c r="G31" s="98"/>
    </row>
    <row r="32" spans="1:7">
      <c r="A32" s="98" t="s">
        <v>304</v>
      </c>
      <c r="B32" s="1040">
        <f>NSG_Requirements!Q8/1000</f>
        <v>0</v>
      </c>
      <c r="C32" s="1040">
        <f>NSG_Requirements!Q9/1000</f>
        <v>0</v>
      </c>
      <c r="D32" s="1040">
        <f>NSG_Requirements!Q10/1000</f>
        <v>0</v>
      </c>
      <c r="E32" s="1040">
        <f>NSG_Requirements!Q11/1000</f>
        <v>0</v>
      </c>
      <c r="F32" s="1036">
        <f>NSG_Requirements!Q12/1000</f>
        <v>0</v>
      </c>
      <c r="G32" s="98"/>
    </row>
    <row r="33" spans="1:7" ht="15.6" thickBot="1">
      <c r="A33" s="100" t="s">
        <v>309</v>
      </c>
      <c r="B33" s="1042">
        <f>NSG_Requirements!L8/1000</f>
        <v>0</v>
      </c>
      <c r="C33" s="1042">
        <f>NSG_Requirements!L9/1000</f>
        <v>0</v>
      </c>
      <c r="D33" s="1042">
        <f>NSG_Requirements!L10/1000</f>
        <v>0</v>
      </c>
      <c r="E33" s="1042">
        <f>NSG_Requirements!L11/1000</f>
        <v>0</v>
      </c>
      <c r="F33" s="1043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38"/>
      <c r="B1" s="1230" t="s">
        <v>765</v>
      </c>
      <c r="C1" s="1231">
        <f>Weather_Input!A6</f>
        <v>37108</v>
      </c>
      <c r="D1" s="1232" t="s">
        <v>766</v>
      </c>
      <c r="E1" s="1233"/>
      <c r="F1" s="1234"/>
      <c r="G1" s="421"/>
      <c r="H1" s="421"/>
      <c r="I1" s="985"/>
    </row>
    <row r="2" spans="1:11" ht="15.75" customHeight="1" thickBot="1">
      <c r="A2" s="424"/>
      <c r="B2" s="1235" t="s">
        <v>767</v>
      </c>
      <c r="E2" s="158"/>
      <c r="I2" s="158"/>
    </row>
    <row r="3" spans="1:11" ht="15.75" customHeight="1" thickTop="1">
      <c r="B3" s="169" t="s">
        <v>104</v>
      </c>
      <c r="C3" s="1236">
        <f>NSG_Supplies!P8/1000</f>
        <v>7</v>
      </c>
      <c r="E3" s="158"/>
      <c r="F3" s="1237" t="s">
        <v>155</v>
      </c>
      <c r="G3" s="764"/>
      <c r="H3" s="1238" t="s">
        <v>768</v>
      </c>
      <c r="I3" s="1239" t="s">
        <v>769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5">
        <f>NSG_Supplies!E8/1000</f>
        <v>0</v>
      </c>
      <c r="D4" s="132">
        <f>NSG_Requirements!J8/1000</f>
        <v>7</v>
      </c>
      <c r="E4" s="1240"/>
      <c r="F4" s="169" t="s">
        <v>770</v>
      </c>
      <c r="G4" s="60"/>
      <c r="H4" s="151">
        <f>PGL_Requirements!O8/1000</f>
        <v>160</v>
      </c>
      <c r="I4" s="173">
        <f>AVERAGE(H4/1.025)</f>
        <v>156.09756097560978</v>
      </c>
      <c r="J4" t="s">
        <v>9</v>
      </c>
    </row>
    <row r="5" spans="1:11" ht="15.75" customHeight="1" thickTop="1" thickBot="1">
      <c r="B5" s="1241" t="s">
        <v>771</v>
      </c>
      <c r="C5" s="1242">
        <f>C3+C4-D4</f>
        <v>0</v>
      </c>
      <c r="D5" s="427"/>
      <c r="E5" s="1243">
        <f>AVERAGE(C5/24)</f>
        <v>0</v>
      </c>
      <c r="F5" s="167" t="s">
        <v>417</v>
      </c>
      <c r="G5" s="205">
        <f>PGL_Supplies!L8/1000</f>
        <v>0</v>
      </c>
      <c r="H5" s="165"/>
      <c r="I5" s="1244">
        <f>AVERAGE(G5/1.025)</f>
        <v>0</v>
      </c>
      <c r="K5" t="s">
        <v>9</v>
      </c>
    </row>
    <row r="6" spans="1:11" ht="15.75" customHeight="1" thickTop="1" thickBot="1">
      <c r="B6" s="1245" t="s">
        <v>772</v>
      </c>
      <c r="C6" s="1246"/>
      <c r="D6" s="119"/>
      <c r="E6" s="1247"/>
      <c r="F6" t="s">
        <v>773</v>
      </c>
      <c r="G6" s="1246">
        <f>AVERAGE(H4/24)</f>
        <v>6.666666666666667</v>
      </c>
      <c r="H6" s="421"/>
      <c r="I6" s="985"/>
    </row>
    <row r="7" spans="1:11" ht="15.75" customHeight="1">
      <c r="B7" s="169" t="s">
        <v>774</v>
      </c>
      <c r="C7" s="151">
        <f>NSG_Supplies!K8/1000</f>
        <v>0</v>
      </c>
      <c r="D7" s="60"/>
      <c r="E7" s="1248"/>
      <c r="F7" s="1235" t="s">
        <v>775</v>
      </c>
      <c r="G7" s="1249"/>
      <c r="H7" s="60"/>
      <c r="I7" s="158"/>
    </row>
    <row r="8" spans="1:11" ht="15.75" customHeight="1">
      <c r="B8" s="169" t="s">
        <v>492</v>
      </c>
      <c r="C8" s="151">
        <f>PGL_Requirements!V8/1000</f>
        <v>0</v>
      </c>
      <c r="D8" s="60"/>
      <c r="E8" s="1248"/>
      <c r="F8" s="169" t="s">
        <v>776</v>
      </c>
      <c r="G8" s="151">
        <f>PGL_Supplies!R8/1000*0.5</f>
        <v>20</v>
      </c>
      <c r="H8" s="60"/>
      <c r="I8" s="158"/>
    </row>
    <row r="9" spans="1:11" ht="15.75" customHeight="1" thickBot="1">
      <c r="B9" s="169" t="s">
        <v>777</v>
      </c>
      <c r="C9" s="151">
        <f>NSG_Requirements!B8/1000</f>
        <v>0</v>
      </c>
      <c r="D9" s="60"/>
      <c r="E9" s="1248"/>
      <c r="F9" s="1" t="s">
        <v>778</v>
      </c>
      <c r="G9" s="151">
        <f>PGL_Supplies!T8/1000</f>
        <v>0</v>
      </c>
      <c r="I9" s="158"/>
    </row>
    <row r="10" spans="1:11" ht="15.75" customHeight="1" thickTop="1" thickBot="1">
      <c r="B10" s="1241" t="s">
        <v>779</v>
      </c>
      <c r="C10" s="1242">
        <f>C7+C8-C9</f>
        <v>0</v>
      </c>
      <c r="D10" s="427"/>
      <c r="E10" s="1243">
        <f>AVERAGE(C10/24)</f>
        <v>0</v>
      </c>
      <c r="F10" s="169" t="s">
        <v>414</v>
      </c>
      <c r="G10" s="151">
        <f>PGL_Supplies!AA8/1000</f>
        <v>212.36099999999999</v>
      </c>
      <c r="H10" s="151" t="s">
        <v>9</v>
      </c>
      <c r="I10" s="158"/>
    </row>
    <row r="11" spans="1:11" ht="15.75" customHeight="1" thickTop="1">
      <c r="A11" t="s">
        <v>9</v>
      </c>
      <c r="B11" s="1250" t="s">
        <v>662</v>
      </c>
      <c r="C11" s="151">
        <f>PGL_Supplies!X8/1000</f>
        <v>96.88</v>
      </c>
      <c r="D11" s="764"/>
      <c r="E11" s="1251"/>
      <c r="F11" s="1252" t="s">
        <v>780</v>
      </c>
      <c r="G11" s="1253">
        <f>G8+G10</f>
        <v>232.36099999999999</v>
      </c>
      <c r="H11" s="425"/>
      <c r="I11" s="426"/>
    </row>
    <row r="12" spans="1:11" ht="15.75" customHeight="1">
      <c r="B12" s="240" t="s">
        <v>781</v>
      </c>
      <c r="C12" s="151">
        <v>0</v>
      </c>
      <c r="D12" s="119"/>
      <c r="E12" s="158"/>
      <c r="F12" s="170" t="s">
        <v>782</v>
      </c>
      <c r="G12" s="151">
        <f>PGL_Supplies!D8/1000</f>
        <v>0</v>
      </c>
      <c r="H12" s="60"/>
      <c r="I12" s="1248"/>
    </row>
    <row r="13" spans="1:11" ht="15.75" customHeight="1" thickBot="1">
      <c r="B13" s="240" t="s">
        <v>663</v>
      </c>
      <c r="C13" s="119"/>
      <c r="D13" s="151">
        <f>PGL_Requirements!I8/1000</f>
        <v>0</v>
      </c>
      <c r="E13" s="158"/>
      <c r="F13" s="170" t="s">
        <v>783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4" t="s">
        <v>784</v>
      </c>
      <c r="C14" s="1242">
        <f>C11-D13</f>
        <v>96.88</v>
      </c>
      <c r="D14" s="427"/>
      <c r="E14" s="1243">
        <f>AVERAGE(C14/24)</f>
        <v>4.0366666666666662</v>
      </c>
      <c r="F14" s="1255" t="s">
        <v>785</v>
      </c>
      <c r="G14" s="1242">
        <v>0</v>
      </c>
      <c r="H14" s="427"/>
      <c r="I14" s="1243">
        <f>AVERAGE(G14/24)</f>
        <v>0</v>
      </c>
    </row>
    <row r="15" spans="1:11" ht="15.75" customHeight="1" thickTop="1" thickBot="1">
      <c r="B15" s="169" t="s">
        <v>786</v>
      </c>
      <c r="C15" s="151">
        <f>PGL_Supplies!Y8/1000</f>
        <v>40.417999999999999</v>
      </c>
      <c r="D15" s="60"/>
      <c r="E15" s="158"/>
      <c r="F15" s="1255" t="s">
        <v>787</v>
      </c>
      <c r="G15" s="1253">
        <f>SUM(G11)-G16-G17-H13</f>
        <v>201.53299999999999</v>
      </c>
      <c r="H15" s="427" t="s">
        <v>9</v>
      </c>
      <c r="I15" s="1243">
        <f>AVERAGE(G15/24)</f>
        <v>8.3972083333333334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39.417999999999999</v>
      </c>
      <c r="E16" s="158"/>
      <c r="F16" s="1255" t="s">
        <v>788</v>
      </c>
      <c r="G16" s="1242">
        <f>PGL_Requirements!G8/1000</f>
        <v>10.827999999999999</v>
      </c>
      <c r="H16" s="1242" t="s">
        <v>9</v>
      </c>
      <c r="I16" s="1243">
        <f>AVERAGE(G16/24)</f>
        <v>0.45116666666666666</v>
      </c>
    </row>
    <row r="17" spans="1:9" ht="15.75" customHeight="1" thickTop="1" thickBot="1">
      <c r="B17" s="1252" t="s">
        <v>780</v>
      </c>
      <c r="C17" s="1253">
        <f>SUM(C15:C16)-SUM(D15:D16)</f>
        <v>1</v>
      </c>
      <c r="D17" s="425"/>
      <c r="E17" s="426"/>
      <c r="F17" s="1256" t="s">
        <v>789</v>
      </c>
      <c r="G17" s="1242">
        <f>PGL_Requirements!J8/1000</f>
        <v>20</v>
      </c>
      <c r="H17" s="1257"/>
      <c r="I17" s="1258">
        <f>AVERAGE(G17/24)</f>
        <v>0.83333333333333337</v>
      </c>
    </row>
    <row r="18" spans="1:9" ht="15.75" customHeight="1">
      <c r="B18" s="1259"/>
      <c r="C18" s="1260"/>
      <c r="D18" s="612"/>
      <c r="E18" s="1261"/>
      <c r="F18" s="1262" t="s">
        <v>790</v>
      </c>
      <c r="G18" s="60" t="s">
        <v>9</v>
      </c>
      <c r="H18" s="60"/>
      <c r="I18" s="158"/>
    </row>
    <row r="19" spans="1:9" ht="15.75" customHeight="1" thickBot="1">
      <c r="B19" s="1259"/>
      <c r="C19" s="612"/>
      <c r="D19" s="1260"/>
      <c r="E19" s="1261"/>
      <c r="F19" s="167" t="s">
        <v>791</v>
      </c>
      <c r="G19" s="165"/>
      <c r="H19" s="205">
        <v>0</v>
      </c>
      <c r="I19" s="429"/>
    </row>
    <row r="20" spans="1:9" ht="15.75" customHeight="1" thickTop="1" thickBot="1">
      <c r="B20" s="1241" t="s">
        <v>792</v>
      </c>
      <c r="C20" s="1242">
        <f>C17+C18-D19</f>
        <v>1</v>
      </c>
      <c r="D20" s="1263" t="s">
        <v>9</v>
      </c>
      <c r="E20" s="1243">
        <f>AVERAGE(C20/24)</f>
        <v>4.1666666666666664E-2</v>
      </c>
      <c r="F20" s="126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793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2.4990000000000001</v>
      </c>
      <c r="H21" s="151" t="s">
        <v>9</v>
      </c>
      <c r="I21" s="158"/>
    </row>
    <row r="22" spans="1:9" ht="15.75" customHeight="1">
      <c r="B22" s="1252" t="s">
        <v>780</v>
      </c>
      <c r="C22" s="1253">
        <f>SUM(C21:C21)-SUM(D21)</f>
        <v>0</v>
      </c>
      <c r="D22" s="425"/>
      <c r="E22" s="426"/>
      <c r="F22" s="1252" t="s">
        <v>780</v>
      </c>
      <c r="G22" s="1253">
        <f>G21</f>
        <v>2.4990000000000001</v>
      </c>
      <c r="H22" s="425"/>
      <c r="I22" s="426"/>
    </row>
    <row r="23" spans="1:9" ht="15.75" customHeight="1">
      <c r="B23" s="169" t="s">
        <v>794</v>
      </c>
      <c r="C23" s="151">
        <f>PGL_Supplies!C8/1000</f>
        <v>0</v>
      </c>
      <c r="D23" s="60"/>
      <c r="E23" s="158"/>
      <c r="F23" s="169" t="s">
        <v>795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796</v>
      </c>
      <c r="C24" s="60">
        <v>0</v>
      </c>
      <c r="D24" s="151">
        <f>PGL_Requirements!C8/1000</f>
        <v>0</v>
      </c>
      <c r="E24" s="158"/>
      <c r="F24" s="169" t="s">
        <v>797</v>
      </c>
      <c r="G24" s="60"/>
      <c r="H24" s="151">
        <f>PGL_Requirements!E8/1000</f>
        <v>2.4990000000000001</v>
      </c>
      <c r="I24" s="158"/>
    </row>
    <row r="25" spans="1:9" ht="15.75" customHeight="1" thickTop="1" thickBot="1">
      <c r="B25" s="1241" t="s">
        <v>798</v>
      </c>
      <c r="C25" s="1242">
        <f>C22+C23-D24</f>
        <v>0</v>
      </c>
      <c r="D25" s="427"/>
      <c r="E25" s="1243">
        <f>AVERAGE(C25/24)</f>
        <v>0</v>
      </c>
      <c r="F25" s="534" t="s">
        <v>799</v>
      </c>
      <c r="G25" s="866">
        <f>G22+G23-H24+G20</f>
        <v>0</v>
      </c>
      <c r="H25" s="421"/>
      <c r="I25" s="1265">
        <f>AVERAGE(G25/24)</f>
        <v>0</v>
      </c>
    </row>
    <row r="26" spans="1:9" ht="15.75" customHeight="1" thickTop="1">
      <c r="B26" t="s">
        <v>800</v>
      </c>
    </row>
    <row r="27" spans="1:9" ht="15.75" customHeight="1">
      <c r="B27" t="s">
        <v>801</v>
      </c>
    </row>
    <row r="28" spans="1:9" ht="15.75" customHeight="1">
      <c r="A28" t="s">
        <v>9</v>
      </c>
      <c r="B28" s="772" t="s">
        <v>802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575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53" customWidth="1"/>
    <col min="2" max="2" width="8.08984375" style="953" customWidth="1"/>
    <col min="3" max="3" width="7.90625" style="953" customWidth="1"/>
    <col min="4" max="4" width="5.90625" style="953" customWidth="1"/>
    <col min="5" max="5" width="4.453125" style="953" customWidth="1"/>
    <col min="6" max="6" width="5.1796875" style="953" customWidth="1"/>
    <col min="7" max="7" width="9" style="953" customWidth="1"/>
    <col min="8" max="11" width="8.90625" style="953"/>
    <col min="12" max="12" width="14.90625" style="953" customWidth="1"/>
    <col min="13" max="13" width="5.6328125" style="953" customWidth="1"/>
    <col min="14" max="16384" width="8.90625" style="953"/>
  </cols>
  <sheetData>
    <row r="1" spans="1:22" ht="20.399999999999999">
      <c r="A1" s="894"/>
      <c r="B1" s="890"/>
      <c r="C1" s="901" t="s">
        <v>579</v>
      </c>
      <c r="D1" s="898"/>
      <c r="E1" s="898" t="s">
        <v>580</v>
      </c>
      <c r="F1" s="898"/>
      <c r="G1" s="951" t="s">
        <v>310</v>
      </c>
      <c r="H1" s="952">
        <f>Weather_Input!A6</f>
        <v>37108</v>
      </c>
      <c r="I1" s="887"/>
      <c r="J1" s="889"/>
      <c r="K1" s="889"/>
    </row>
    <row r="2" spans="1:22" ht="16.5" customHeight="1">
      <c r="A2" s="907" t="s">
        <v>607</v>
      </c>
      <c r="C2" s="954">
        <v>390</v>
      </c>
      <c r="F2" s="955">
        <v>393</v>
      </c>
      <c r="H2" s="889"/>
      <c r="I2" s="887" t="s">
        <v>609</v>
      </c>
      <c r="J2" s="909">
        <f>NSG_Supplies!P8/1000</f>
        <v>7</v>
      </c>
    </row>
    <row r="3" spans="1:22" ht="16.5" customHeight="1">
      <c r="A3" s="956">
        <f>PGL_Supplies!I8/1000</f>
        <v>0</v>
      </c>
      <c r="C3" s="953" t="s">
        <v>9</v>
      </c>
      <c r="G3" s="887"/>
      <c r="H3" s="889"/>
    </row>
    <row r="4" spans="1:22" ht="16.5" customHeight="1">
      <c r="A4" s="897" t="s">
        <v>581</v>
      </c>
      <c r="G4" s="915"/>
      <c r="H4" s="889"/>
      <c r="I4" s="887"/>
      <c r="J4" s="887" t="s">
        <v>605</v>
      </c>
      <c r="K4" s="909">
        <f>Billy_Sheet!C5</f>
        <v>0</v>
      </c>
      <c r="N4" s="909"/>
    </row>
    <row r="5" spans="1:22" ht="16.5" customHeight="1">
      <c r="A5" s="957">
        <f>PGL_Supplies!J7/1000</f>
        <v>0</v>
      </c>
      <c r="B5" s="958"/>
      <c r="G5" s="890"/>
      <c r="H5" s="909"/>
      <c r="U5" s="889"/>
      <c r="V5" s="889"/>
    </row>
    <row r="6" spans="1:22" ht="16.5" customHeight="1">
      <c r="A6" s="896" t="s">
        <v>577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" customHeight="1">
      <c r="A8" s="887" t="s">
        <v>72</v>
      </c>
      <c r="G8" s="890"/>
      <c r="H8" s="887" t="s">
        <v>164</v>
      </c>
      <c r="I8" s="887"/>
      <c r="K8" s="887"/>
      <c r="L8" s="887"/>
      <c r="N8" s="887"/>
      <c r="O8" s="887"/>
      <c r="U8" s="889"/>
      <c r="V8" s="909"/>
    </row>
    <row r="9" spans="1:22" ht="14.4" customHeight="1">
      <c r="A9" s="909">
        <f>PGL_Supplies!H8/1000</f>
        <v>20</v>
      </c>
      <c r="H9" s="909">
        <f>NSG_Supplies!Q8/1000+NSG_Supplies!F8/1000-NSG_Requirements!H8/1000</f>
        <v>24.728999999999999</v>
      </c>
      <c r="I9" s="959"/>
      <c r="K9" s="887" t="s">
        <v>611</v>
      </c>
      <c r="L9" s="909">
        <f>NSG_Deliveries!C6/1000</f>
        <v>29</v>
      </c>
      <c r="N9" s="887"/>
      <c r="O9" s="909"/>
      <c r="U9" s="889"/>
      <c r="V9" s="909"/>
    </row>
    <row r="10" spans="1:22" ht="18" customHeight="1">
      <c r="A10" s="887" t="s">
        <v>66</v>
      </c>
      <c r="H10" s="916" t="s">
        <v>610</v>
      </c>
      <c r="U10" s="889"/>
      <c r="V10" s="909"/>
    </row>
    <row r="11" spans="1:22" ht="14.4" customHeight="1">
      <c r="A11" s="909">
        <f>Billy_Sheet!C17</f>
        <v>1</v>
      </c>
      <c r="B11" s="959"/>
      <c r="H11" s="909">
        <f>NSG_Supplies!T8/1000</f>
        <v>0</v>
      </c>
      <c r="K11" s="890" t="s">
        <v>612</v>
      </c>
      <c r="L11" s="915">
        <f>SUM(K4+K17+K19+H11+H9-L9)</f>
        <v>-4.2710000000000008</v>
      </c>
      <c r="N11" s="890"/>
      <c r="O11" s="915"/>
      <c r="U11" s="889"/>
      <c r="V11" s="903"/>
    </row>
    <row r="12" spans="1:22" ht="14.4" customHeight="1">
      <c r="A12" s="887" t="s">
        <v>659</v>
      </c>
      <c r="H12" s="909"/>
      <c r="U12" s="889"/>
      <c r="V12" s="909"/>
    </row>
    <row r="13" spans="1:22" ht="14.4" customHeight="1">
      <c r="A13" s="957">
        <f>PGL_Supplies!X8/1000</f>
        <v>96.88</v>
      </c>
      <c r="H13" s="909"/>
      <c r="U13" s="889"/>
      <c r="V13" s="909"/>
    </row>
    <row r="14" spans="1:22" ht="14.4" customHeight="1">
      <c r="H14" s="909"/>
      <c r="U14" s="889"/>
      <c r="V14" s="909"/>
    </row>
    <row r="15" spans="1:22" ht="15.6" customHeight="1">
      <c r="B15" s="953" t="s">
        <v>9</v>
      </c>
      <c r="C15" s="960">
        <v>390</v>
      </c>
      <c r="F15" s="960">
        <v>390</v>
      </c>
      <c r="H15" s="915"/>
      <c r="U15" s="899"/>
      <c r="V15" s="915"/>
    </row>
    <row r="16" spans="1:22" ht="42.75" customHeight="1">
      <c r="A16" s="900"/>
      <c r="B16" s="915"/>
      <c r="C16" s="961"/>
      <c r="D16" s="962"/>
      <c r="E16" s="962"/>
      <c r="F16" s="961"/>
    </row>
    <row r="17" spans="1:17" ht="38.25" customHeight="1">
      <c r="B17" s="962"/>
      <c r="C17" s="962"/>
      <c r="D17" s="963"/>
      <c r="E17" s="962"/>
      <c r="F17" s="962"/>
      <c r="G17" s="962"/>
      <c r="J17" s="887" t="s">
        <v>311</v>
      </c>
      <c r="K17" s="909">
        <f>NSG_Supplies!K8/1000</f>
        <v>0</v>
      </c>
      <c r="N17" s="909"/>
    </row>
    <row r="18" spans="1:17" ht="15" customHeight="1">
      <c r="A18" s="895"/>
      <c r="C18" s="960">
        <v>572</v>
      </c>
      <c r="D18" s="962"/>
      <c r="E18" s="962"/>
      <c r="F18" s="955">
        <v>808</v>
      </c>
    </row>
    <row r="19" spans="1:17">
      <c r="A19" s="896" t="s">
        <v>578</v>
      </c>
      <c r="C19" s="953" t="s">
        <v>9</v>
      </c>
      <c r="J19" s="887" t="s">
        <v>606</v>
      </c>
      <c r="K19" s="909"/>
      <c r="N19" s="965"/>
    </row>
    <row r="20" spans="1:17" ht="17.25" customHeight="1">
      <c r="A20" s="909">
        <f>Billy_Sheet!G15</f>
        <v>201.53299999999999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167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668</v>
      </c>
      <c r="H23" s="889"/>
      <c r="I23" s="890"/>
      <c r="J23" s="915"/>
      <c r="M23" s="887"/>
      <c r="N23" s="915"/>
      <c r="Q23" s="966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169</v>
      </c>
      <c r="B25" s="889"/>
      <c r="C25" s="889"/>
      <c r="D25" s="889"/>
      <c r="F25" s="889"/>
      <c r="G25" s="887" t="s">
        <v>614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4">
        <v>0</v>
      </c>
      <c r="H26" s="890"/>
      <c r="I26" s="890"/>
      <c r="J26" s="890" t="s">
        <v>519</v>
      </c>
      <c r="K26" s="967">
        <f>PGL_Deliveries!C6/1000</f>
        <v>180</v>
      </c>
      <c r="L26" s="887" t="s">
        <v>611</v>
      </c>
      <c r="M26" s="909">
        <f>NSG_Deliveries!C6/1000</f>
        <v>29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582</v>
      </c>
      <c r="B28" s="909"/>
      <c r="C28" s="889"/>
      <c r="D28" s="890"/>
      <c r="F28" s="887"/>
      <c r="G28" s="899" t="s">
        <v>587</v>
      </c>
      <c r="H28" s="424"/>
      <c r="J28" s="890" t="s">
        <v>613</v>
      </c>
      <c r="K28" s="915">
        <f>SUM(A42)</f>
        <v>149.58500000000001</v>
      </c>
      <c r="L28" s="890" t="s">
        <v>651</v>
      </c>
      <c r="M28" s="915">
        <f>SUM(J2+K17+K19+H11+H9-M26)</f>
        <v>2.7289999999999992</v>
      </c>
      <c r="N28" s="915"/>
    </row>
    <row r="29" spans="1:17">
      <c r="A29" s="909">
        <f>PGL_Supplies!L8/1000</f>
        <v>0</v>
      </c>
      <c r="B29" s="909"/>
      <c r="C29" s="890"/>
      <c r="D29" s="968"/>
      <c r="F29" s="1007">
        <f>PGL_Requirements!A7</f>
        <v>37107</v>
      </c>
      <c r="G29" s="909">
        <f>PGL_Requirements!G7/1000</f>
        <v>0</v>
      </c>
      <c r="H29" s="888"/>
      <c r="J29" s="890" t="s">
        <v>615</v>
      </c>
      <c r="K29" s="909">
        <f>PGL_Supplies!AB8/1000+PGL_Supplies!K8/1000-PGL_Requirements!N8/1000</f>
        <v>10.774000000000001</v>
      </c>
    </row>
    <row r="30" spans="1:17" ht="10.5" customHeight="1">
      <c r="A30" s="892"/>
      <c r="B30" s="909"/>
      <c r="C30" s="890"/>
      <c r="D30" s="909"/>
      <c r="F30" s="1007">
        <f>PGL_Requirements!A8</f>
        <v>37108</v>
      </c>
      <c r="G30" s="909">
        <f>PGL_Requirements!G8/1000</f>
        <v>10.827999999999999</v>
      </c>
    </row>
    <row r="31" spans="1:17" ht="17.25" customHeight="1">
      <c r="A31" s="898" t="s">
        <v>584</v>
      </c>
      <c r="B31" s="969"/>
      <c r="C31" s="893"/>
      <c r="D31" s="915"/>
      <c r="G31" s="899" t="s">
        <v>585</v>
      </c>
      <c r="H31" s="915"/>
      <c r="J31" s="890" t="s">
        <v>612</v>
      </c>
      <c r="K31" s="915">
        <f>SUM(K28+K29-K26)</f>
        <v>-19.640999999999991</v>
      </c>
    </row>
    <row r="32" spans="1:17">
      <c r="A32" s="909">
        <f>PGL_Supplies!G8/1000</f>
        <v>1</v>
      </c>
      <c r="G32" s="909">
        <f>PGL_Requirements!O8/1000</f>
        <v>160</v>
      </c>
    </row>
    <row r="33" spans="1:11" ht="6.75" customHeight="1"/>
    <row r="34" spans="1:11">
      <c r="A34" s="887" t="s">
        <v>583</v>
      </c>
      <c r="G34" s="890" t="s">
        <v>586</v>
      </c>
    </row>
    <row r="35" spans="1:11">
      <c r="A35" s="964">
        <v>0</v>
      </c>
      <c r="G35" s="909">
        <f>PGL_Requirements!B8/1000</f>
        <v>0</v>
      </c>
    </row>
    <row r="36" spans="1:11">
      <c r="G36" s="909"/>
    </row>
    <row r="37" spans="1:11">
      <c r="C37" s="887" t="s">
        <v>589</v>
      </c>
      <c r="F37" s="887" t="s">
        <v>590</v>
      </c>
      <c r="G37" s="909"/>
    </row>
    <row r="38" spans="1:11">
      <c r="C38" s="960">
        <v>575</v>
      </c>
      <c r="F38" s="960">
        <v>752</v>
      </c>
    </row>
    <row r="39" spans="1:11">
      <c r="A39" s="907" t="s">
        <v>650</v>
      </c>
      <c r="E39" s="889" t="s">
        <v>588</v>
      </c>
      <c r="F39" s="889"/>
    </row>
    <row r="40" spans="1:11">
      <c r="A40" s="915">
        <f>SUM(A3:A35)</f>
        <v>320.41300000000001</v>
      </c>
      <c r="B40" s="903"/>
      <c r="C40" s="902"/>
      <c r="D40" s="903"/>
      <c r="E40" s="903"/>
      <c r="F40" s="970"/>
      <c r="G40" s="970">
        <f>SUM(G30:G35)</f>
        <v>170.828</v>
      </c>
      <c r="H40" s="905"/>
      <c r="I40" s="904"/>
    </row>
    <row r="41" spans="1:11">
      <c r="A41" s="906" t="s">
        <v>604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149.58500000000001</v>
      </c>
      <c r="B42" s="909"/>
      <c r="C42" s="903"/>
      <c r="D42" s="903"/>
      <c r="E42" s="903"/>
      <c r="F42" s="912"/>
      <c r="G42" s="914" t="s">
        <v>608</v>
      </c>
      <c r="H42" s="971"/>
      <c r="I42" s="972"/>
      <c r="J42" s="971"/>
      <c r="K42" s="962"/>
    </row>
    <row r="43" spans="1:11" ht="14.25" customHeight="1">
      <c r="A43" s="909"/>
      <c r="B43" s="909"/>
      <c r="C43" s="909"/>
      <c r="D43" s="909"/>
      <c r="E43" s="912"/>
      <c r="F43" s="911" t="s">
        <v>603</v>
      </c>
      <c r="G43" s="912" t="s">
        <v>602</v>
      </c>
      <c r="I43" s="909"/>
    </row>
    <row r="44" spans="1:11" ht="12.75" customHeight="1">
      <c r="A44" s="906" t="s">
        <v>591</v>
      </c>
      <c r="B44" s="909" t="s">
        <v>596</v>
      </c>
      <c r="C44" s="909" t="s">
        <v>597</v>
      </c>
      <c r="D44" s="909" t="s">
        <v>598</v>
      </c>
      <c r="E44" s="910"/>
      <c r="F44" s="910" t="s">
        <v>599</v>
      </c>
      <c r="G44" s="903" t="s">
        <v>601</v>
      </c>
      <c r="H44" s="889" t="s">
        <v>600</v>
      </c>
      <c r="I44" s="909"/>
      <c r="K44" s="889"/>
    </row>
    <row r="45" spans="1:11">
      <c r="A45" s="906" t="s">
        <v>595</v>
      </c>
      <c r="B45" s="973">
        <v>250</v>
      </c>
      <c r="C45" s="973">
        <v>410</v>
      </c>
      <c r="D45" s="974">
        <f>SUM(F2+F15)/2</f>
        <v>391.5</v>
      </c>
      <c r="E45" s="975"/>
      <c r="F45" s="976">
        <v>6.7000000000000004E-2</v>
      </c>
      <c r="G45" s="977">
        <f>(C45-D45)*F45</f>
        <v>1.2395</v>
      </c>
      <c r="H45" s="977">
        <f>(D45-B45)*F45</f>
        <v>9.480500000000001</v>
      </c>
      <c r="I45" s="909"/>
      <c r="J45" s="978"/>
    </row>
    <row r="46" spans="1:11">
      <c r="A46" s="889" t="s">
        <v>592</v>
      </c>
      <c r="B46" s="979">
        <v>797</v>
      </c>
      <c r="C46" s="973">
        <v>797</v>
      </c>
      <c r="D46" s="974">
        <v>797</v>
      </c>
      <c r="E46" s="975"/>
      <c r="F46" s="976">
        <v>0.13900000000000001</v>
      </c>
      <c r="G46" s="977">
        <f>(C46-D46)*F46</f>
        <v>0</v>
      </c>
      <c r="H46" s="977">
        <f>(D46-B46)*F46</f>
        <v>0</v>
      </c>
      <c r="I46" s="909"/>
    </row>
    <row r="47" spans="1:11">
      <c r="A47" s="889" t="s">
        <v>593</v>
      </c>
      <c r="B47" s="979">
        <v>250</v>
      </c>
      <c r="C47" s="973">
        <v>410</v>
      </c>
      <c r="D47" s="974">
        <f>SUM(C2+C15)/2</f>
        <v>390</v>
      </c>
      <c r="E47" s="975"/>
      <c r="F47" s="976">
        <v>0.14099999999999999</v>
      </c>
      <c r="G47" s="977">
        <f>(C47-D47)*F47</f>
        <v>2.82</v>
      </c>
      <c r="H47" s="977">
        <f>(D47-B47)*F47</f>
        <v>19.739999999999998</v>
      </c>
      <c r="I47" s="909"/>
    </row>
    <row r="48" spans="1:11">
      <c r="A48" s="889" t="s">
        <v>594</v>
      </c>
      <c r="B48" s="979">
        <v>285</v>
      </c>
      <c r="C48" s="973">
        <v>750</v>
      </c>
      <c r="D48" s="974">
        <f>SUM(C18+C38)/2</f>
        <v>573.5</v>
      </c>
      <c r="E48" s="975"/>
      <c r="F48" s="976">
        <v>0.161</v>
      </c>
      <c r="G48" s="977">
        <f>(C48-D48)*F48</f>
        <v>28.416499999999999</v>
      </c>
      <c r="H48" s="977">
        <f>(D48-B48)*F48</f>
        <v>46.448500000000003</v>
      </c>
    </row>
    <row r="49" spans="1:8">
      <c r="B49" s="959"/>
      <c r="C49" s="959"/>
      <c r="D49" s="959"/>
      <c r="E49" s="959"/>
      <c r="F49" s="913" t="s">
        <v>339</v>
      </c>
      <c r="G49" s="977">
        <f>SUM(G45:G48)</f>
        <v>32.475999999999999</v>
      </c>
      <c r="H49" s="977">
        <f>SUM(H45:H48)</f>
        <v>75.669000000000011</v>
      </c>
    </row>
    <row r="55" spans="1:8">
      <c r="A55" s="980"/>
      <c r="G55" s="980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37107</v>
      </c>
      <c r="B5" s="11">
        <v>86</v>
      </c>
      <c r="C5" s="49">
        <v>66</v>
      </c>
      <c r="D5" s="49">
        <v>7</v>
      </c>
      <c r="E5" s="11" t="s">
        <v>823</v>
      </c>
      <c r="F5" s="11">
        <v>0</v>
      </c>
      <c r="G5" s="11">
        <v>0</v>
      </c>
      <c r="H5" s="11">
        <v>0</v>
      </c>
      <c r="I5" s="867" t="s">
        <v>819</v>
      </c>
      <c r="J5" s="867" t="s">
        <v>9</v>
      </c>
      <c r="K5" s="11">
        <v>3</v>
      </c>
      <c r="L5" s="11">
        <v>1</v>
      </c>
      <c r="N5" s="15" t="str">
        <f>I5&amp;" "&amp;I5</f>
        <v>SUNNY. LIGHT EAST WINDS. OVERNIGHT…CLEAR. LIGHT WINDS. SUNNY. LIGHT EAST WINDS. OVERNIGHT…CLEAR. LIGHT WINDS.</v>
      </c>
      <c r="AE5" s="15">
        <v>1</v>
      </c>
      <c r="AH5" s="15" t="s">
        <v>32</v>
      </c>
    </row>
    <row r="6" spans="1:34" ht="16.5" customHeight="1">
      <c r="A6" s="86">
        <f>A5+1</f>
        <v>37108</v>
      </c>
      <c r="B6" s="11">
        <v>92</v>
      </c>
      <c r="C6" s="49">
        <v>70</v>
      </c>
      <c r="D6" s="49">
        <v>8</v>
      </c>
      <c r="E6" s="11" t="s">
        <v>9</v>
      </c>
      <c r="F6" s="11" t="s">
        <v>9</v>
      </c>
      <c r="G6" s="11"/>
      <c r="H6" s="11" t="s">
        <v>9</v>
      </c>
      <c r="I6" s="867" t="s">
        <v>820</v>
      </c>
      <c r="J6" s="867" t="s">
        <v>9</v>
      </c>
      <c r="K6" s="11">
        <v>1</v>
      </c>
      <c r="L6" s="11" t="s">
        <v>559</v>
      </c>
      <c r="N6" s="15" t="str">
        <f>I6&amp;" "&amp;J6</f>
        <v xml:space="preserve">SUNNY AND HOT. A LITTLE COOLER NEAR THE LAKE. OVERNIGHT…CLEAR.  </v>
      </c>
      <c r="AE6" s="15">
        <v>1</v>
      </c>
      <c r="AH6" s="15" t="s">
        <v>33</v>
      </c>
    </row>
    <row r="7" spans="1:34" ht="16.5" customHeight="1">
      <c r="A7" s="86">
        <f>A6+1</f>
        <v>37109</v>
      </c>
      <c r="B7" s="11">
        <v>92</v>
      </c>
      <c r="C7" s="49">
        <v>72</v>
      </c>
      <c r="D7" s="49">
        <v>10</v>
      </c>
      <c r="E7" s="11" t="s">
        <v>9</v>
      </c>
      <c r="F7" s="11" t="s">
        <v>9</v>
      </c>
      <c r="G7" s="11"/>
      <c r="H7" s="11" t="s">
        <v>9</v>
      </c>
      <c r="I7" s="867" t="s">
        <v>821</v>
      </c>
      <c r="J7" s="867" t="s">
        <v>9</v>
      </c>
      <c r="K7" s="11">
        <v>1</v>
      </c>
      <c r="L7" s="11" t="s">
        <v>20</v>
      </c>
      <c r="N7" s="15" t="str">
        <f>I7&amp;" "&amp;J7</f>
        <v xml:space="preserve">MOSTLY SUNNY AND HOT.   </v>
      </c>
    </row>
    <row r="8" spans="1:34" ht="16.5" customHeight="1">
      <c r="A8" s="86">
        <f>A7+1</f>
        <v>37110</v>
      </c>
      <c r="B8" s="11">
        <v>93</v>
      </c>
      <c r="C8" s="49">
        <v>74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67" t="s">
        <v>822</v>
      </c>
      <c r="J8" s="867" t="s">
        <v>9</v>
      </c>
      <c r="K8" s="11">
        <v>1</v>
      </c>
      <c r="L8" s="11"/>
      <c r="N8" s="15" t="str">
        <f>I8&amp;" "&amp;J8</f>
        <v xml:space="preserve">PARTLY SUNNY…HOT AND HUMID.  </v>
      </c>
    </row>
    <row r="9" spans="1:34" ht="16.5" customHeight="1">
      <c r="A9" s="86">
        <f>A8+1</f>
        <v>37111</v>
      </c>
      <c r="B9" s="11">
        <v>93</v>
      </c>
      <c r="C9" s="49">
        <v>72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67" t="s">
        <v>818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PARTLY CLOUDY.  </v>
      </c>
    </row>
    <row r="10" spans="1:34" ht="16.5" customHeight="1">
      <c r="A10" s="86">
        <f>A9+1</f>
        <v>37112</v>
      </c>
      <c r="B10" s="11">
        <v>93</v>
      </c>
      <c r="C10" s="49">
        <v>72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67" t="s">
        <v>818</v>
      </c>
      <c r="J10" s="867" t="s">
        <v>9</v>
      </c>
      <c r="K10" s="11">
        <v>3</v>
      </c>
      <c r="L10" s="11" t="s">
        <v>383</v>
      </c>
      <c r="N10" s="15" t="str">
        <f>I10&amp;" "&amp;J10</f>
        <v xml:space="preserve">PARTLY CLOUDY.  </v>
      </c>
    </row>
    <row r="11" spans="1:34" ht="16.5" customHeight="1">
      <c r="G11"/>
    </row>
    <row r="12" spans="1:34" ht="15.6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519</v>
      </c>
      <c r="B2" s="181">
        <f>PGL_Deliveries!V5/1000</f>
        <v>5.4720000000000004</v>
      </c>
      <c r="C2" s="60"/>
      <c r="D2" s="118" t="s">
        <v>310</v>
      </c>
      <c r="E2" s="417">
        <f>Weather_Input!A5</f>
        <v>37107</v>
      </c>
      <c r="F2" s="60"/>
      <c r="H2"/>
      <c r="I2"/>
      <c r="J2"/>
      <c r="K2"/>
      <c r="L2"/>
      <c r="M2"/>
    </row>
    <row r="3" spans="1:13" ht="15">
      <c r="A3" s="97" t="s">
        <v>520</v>
      </c>
      <c r="B3" s="614">
        <f>PGL_Supplies!I7/1000</f>
        <v>0</v>
      </c>
      <c r="C3" s="180"/>
      <c r="D3" s="1020" t="s">
        <v>675</v>
      </c>
      <c r="E3" s="775">
        <f>PGL_Deliveries!U5/1000</f>
        <v>0</v>
      </c>
      <c r="F3" s="179"/>
      <c r="H3"/>
      <c r="I3"/>
      <c r="J3"/>
      <c r="K3"/>
      <c r="L3"/>
      <c r="M3"/>
    </row>
    <row r="4" spans="1:13" ht="15.6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523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6" thickBot="1">
      <c r="A6" s="177" t="s">
        <v>240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2" thickBot="1">
      <c r="A7" s="176" t="s">
        <v>525</v>
      </c>
      <c r="B7" s="220">
        <f>SUM(B5:B6)</f>
        <v>0</v>
      </c>
      <c r="C7" s="166"/>
      <c r="D7" s="59" t="s">
        <v>521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814</v>
      </c>
      <c r="B8" s="775"/>
      <c r="C8" s="613"/>
      <c r="D8" s="59" t="s">
        <v>522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659</v>
      </c>
      <c r="B9" s="151">
        <f>PGL_Deliveries!W5/1000</f>
        <v>91.013000000000005</v>
      </c>
      <c r="C9" s="63"/>
      <c r="D9" s="115" t="s">
        <v>194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66</v>
      </c>
      <c r="B10" s="151">
        <f>PGL_Deliveries!X5/1000</f>
        <v>0</v>
      </c>
      <c r="C10" s="63"/>
      <c r="D10" s="115" t="s">
        <v>524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167</v>
      </c>
      <c r="B11" s="151">
        <f>PGL_Deliveries!Y5/1000</f>
        <v>0</v>
      </c>
      <c r="C11" s="63"/>
      <c r="D11" s="115" t="s">
        <v>197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72</v>
      </c>
      <c r="B12" s="151">
        <f>(PGL_Deliveries!AL5+PGL_Deliveries!AM5)/1000</f>
        <v>20.954999999999998</v>
      </c>
      <c r="C12" s="63"/>
      <c r="D12" s="115" t="s">
        <v>199</v>
      </c>
      <c r="E12" s="151">
        <f>PGL_Deliveries!T5/1000</f>
        <v>4.2370000000000001</v>
      </c>
      <c r="F12" s="168"/>
      <c r="H12"/>
      <c r="I12"/>
      <c r="J12"/>
      <c r="K12"/>
      <c r="L12"/>
      <c r="M12"/>
    </row>
    <row r="13" spans="1:13" ht="15">
      <c r="A13" s="169" t="s">
        <v>527</v>
      </c>
      <c r="B13" s="151">
        <f>PGL_Supplies!J7/1000</f>
        <v>0</v>
      </c>
      <c r="C13" s="63"/>
      <c r="D13" s="115" t="s">
        <v>526</v>
      </c>
      <c r="E13" s="151">
        <f>PGL_Deliveries!S5/1000</f>
        <v>1.2350000000000001</v>
      </c>
      <c r="F13" s="168"/>
      <c r="H13"/>
      <c r="I13"/>
      <c r="J13"/>
      <c r="K13"/>
      <c r="L13"/>
      <c r="M13"/>
    </row>
    <row r="14" spans="1:13" ht="15">
      <c r="A14" s="169" t="s">
        <v>528</v>
      </c>
      <c r="B14" s="151">
        <f>PGL_Deliveries!Z5/1000+PGL_Deliveries!AA5/1000+PGL_Deliveries!AB5/1000</f>
        <v>314.41800000000001</v>
      </c>
      <c r="C14" s="63"/>
      <c r="D14" s="115" t="s">
        <v>203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169</v>
      </c>
      <c r="B15" s="151">
        <f>PGL_Deliveries!AF5/1000</f>
        <v>15.43</v>
      </c>
      <c r="C15" s="63"/>
      <c r="D15" s="115" t="s">
        <v>205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170</v>
      </c>
      <c r="B16" s="151">
        <f>PGL_Deliveries!AJ5/1000+PGL_Deliveries!AZ5/1000+PGL_Deliveries!AV5/1000-PGL_Deliveries!AU5/1000-PGL_Deliveries!AW5/1000+PGL_Deliveries!AG5/1000+PGL_Deliveries!AH5/1000-PGL_Deliveries!AX5/1000</f>
        <v>-111.81299999999999</v>
      </c>
      <c r="C16" s="63"/>
      <c r="D16" s="115" t="s">
        <v>206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529</v>
      </c>
      <c r="B17" s="60"/>
      <c r="C17" s="218">
        <f>PGL_Deliveries!AQ5/1000</f>
        <v>7.6479999999999997</v>
      </c>
      <c r="D17" s="59" t="s">
        <v>371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172</v>
      </c>
      <c r="B18" s="151">
        <f>PGL_Deliveries!AR5/1000</f>
        <v>0</v>
      </c>
      <c r="C18" s="63" t="s">
        <v>9</v>
      </c>
      <c r="D18" s="115" t="s">
        <v>209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815</v>
      </c>
      <c r="B19" s="60"/>
      <c r="C19" s="218">
        <f>PGL_Requirements!J7/1000</f>
        <v>0</v>
      </c>
      <c r="D19" s="226" t="s">
        <v>208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6" thickBot="1">
      <c r="A20" s="169" t="s">
        <v>587</v>
      </c>
      <c r="B20" s="60"/>
      <c r="C20" s="1274">
        <f>PGL_Requirements!G7/1000</f>
        <v>0</v>
      </c>
      <c r="D20" s="1276" t="s">
        <v>816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2" thickBot="1">
      <c r="A21" s="1270" t="s">
        <v>530</v>
      </c>
      <c r="B21" s="866">
        <f>SUM(B9:B20)-C17-C19-C20</f>
        <v>322.35500000000002</v>
      </c>
      <c r="C21" s="1271"/>
      <c r="D21" s="175" t="s">
        <v>531</v>
      </c>
      <c r="E21" s="174">
        <f>SUM(E7:E20)</f>
        <v>5.4720000000000004</v>
      </c>
      <c r="F21" s="164"/>
      <c r="H21"/>
      <c r="I21"/>
      <c r="J21"/>
      <c r="K21"/>
      <c r="L21"/>
      <c r="M21"/>
    </row>
    <row r="22" spans="1:13" ht="15">
      <c r="A22" s="430" t="s">
        <v>662</v>
      </c>
      <c r="B22" s="151">
        <f>PGL_Supplies!X7/1000</f>
        <v>96.88</v>
      </c>
      <c r="C22" s="613"/>
      <c r="D22" s="115" t="s">
        <v>305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6" thickBot="1">
      <c r="A23" s="169" t="s">
        <v>660</v>
      </c>
      <c r="B23" s="151">
        <f>PGL_Supplies!W7/1000</f>
        <v>0</v>
      </c>
      <c r="C23" s="63"/>
      <c r="D23" s="115" t="s">
        <v>175</v>
      </c>
      <c r="E23" s="151">
        <f>PGL_Deliveries!AY5/1000+B44</f>
        <v>15.262849999999998</v>
      </c>
      <c r="F23" s="168"/>
      <c r="H23"/>
      <c r="I23"/>
      <c r="J23"/>
      <c r="K23"/>
      <c r="L23"/>
      <c r="M23"/>
    </row>
    <row r="24" spans="1:13" ht="16.2" thickBot="1">
      <c r="A24" s="169" t="s">
        <v>663</v>
      </c>
      <c r="B24" s="60"/>
      <c r="C24" s="218">
        <f>PGL_Requirements!I7/1000</f>
        <v>5.3</v>
      </c>
      <c r="D24" s="1272" t="s">
        <v>532</v>
      </c>
      <c r="E24" s="220">
        <f>SUM(E21:E23)</f>
        <v>20.734849999999998</v>
      </c>
      <c r="F24" s="1273"/>
      <c r="H24"/>
      <c r="I24"/>
      <c r="J24"/>
      <c r="K24"/>
      <c r="L24"/>
      <c r="M24"/>
    </row>
    <row r="25" spans="1:13" ht="15">
      <c r="A25" s="172" t="s">
        <v>339</v>
      </c>
      <c r="B25" s="1022">
        <f>+B22+B23-C24</f>
        <v>91.58</v>
      </c>
      <c r="C25" s="1019"/>
      <c r="D25" s="242" t="s">
        <v>533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213</v>
      </c>
      <c r="B26" s="151">
        <f>PGL_Supplies!Y7/1000</f>
        <v>40.417999999999999</v>
      </c>
      <c r="C26" s="63"/>
      <c r="D26" s="242" t="s">
        <v>534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670</v>
      </c>
      <c r="B27" s="615"/>
      <c r="C27" s="218">
        <f>PGL_Requirements!T7/1000</f>
        <v>38.917999999999999</v>
      </c>
      <c r="D27" s="242" t="s">
        <v>539</v>
      </c>
      <c r="E27" s="60" t="s">
        <v>9</v>
      </c>
      <c r="F27" s="173">
        <f>PGL_Requirements!N7/1000</f>
        <v>8.3000000000000007</v>
      </c>
      <c r="H27"/>
      <c r="I27"/>
      <c r="J27"/>
      <c r="K27"/>
      <c r="L27"/>
      <c r="M27"/>
    </row>
    <row r="28" spans="1:13" ht="15">
      <c r="A28" s="170" t="s">
        <v>669</v>
      </c>
      <c r="B28" s="151">
        <f>PGL_Supplies!P7/1000</f>
        <v>0</v>
      </c>
      <c r="C28" s="63"/>
      <c r="D28" s="171" t="s">
        <v>540</v>
      </c>
      <c r="E28" s="151">
        <f>PGL_Deliveries!AT5/1000</f>
        <v>6.0149999999999997</v>
      </c>
      <c r="F28" s="168"/>
      <c r="H28"/>
      <c r="I28"/>
      <c r="J28"/>
      <c r="K28"/>
      <c r="L28"/>
      <c r="M28"/>
    </row>
    <row r="29" spans="1:13" ht="15">
      <c r="A29" s="172" t="s">
        <v>219</v>
      </c>
      <c r="B29" s="67" t="s">
        <v>9</v>
      </c>
      <c r="C29" s="467" t="s">
        <v>9</v>
      </c>
      <c r="D29" s="242" t="s">
        <v>647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535</v>
      </c>
      <c r="B30" s="151">
        <f>PGL_Supplies!Z7/1000</f>
        <v>0</v>
      </c>
      <c r="C30" s="63"/>
      <c r="D30" s="60" t="s">
        <v>183</v>
      </c>
      <c r="E30" s="151">
        <f>PGL_Supplies!AB7/1000</f>
        <v>21.774000000000001</v>
      </c>
      <c r="F30" s="168"/>
      <c r="H30"/>
      <c r="I30"/>
      <c r="J30"/>
      <c r="K30"/>
      <c r="L30"/>
      <c r="M30"/>
    </row>
    <row r="31" spans="1:13" ht="15.6" thickBot="1">
      <c r="A31" s="172" t="s">
        <v>536</v>
      </c>
      <c r="B31" s="1022">
        <v>0</v>
      </c>
      <c r="C31" s="1019"/>
      <c r="D31" s="60"/>
      <c r="E31" s="60"/>
      <c r="F31" s="168"/>
      <c r="H31"/>
      <c r="I31"/>
      <c r="J31"/>
      <c r="K31"/>
      <c r="L31"/>
      <c r="M31"/>
    </row>
    <row r="32" spans="1:13" ht="16.2" thickBot="1">
      <c r="A32" s="169" t="s">
        <v>537</v>
      </c>
      <c r="B32" s="986">
        <f>PGL_Supplies!AC7/1000</f>
        <v>2.4990000000000001</v>
      </c>
      <c r="C32" s="63"/>
      <c r="D32" s="1275" t="s">
        <v>210</v>
      </c>
      <c r="E32" s="220">
        <f>SUM(E25:E31)-SUM(F26:F31)-E29</f>
        <v>19.489000000000001</v>
      </c>
      <c r="F32" s="1271"/>
      <c r="H32"/>
      <c r="I32"/>
      <c r="J32"/>
      <c r="K32"/>
      <c r="L32"/>
      <c r="M32"/>
    </row>
    <row r="33" spans="1:13" ht="15">
      <c r="A33" s="169" t="s">
        <v>538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6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541</v>
      </c>
      <c r="B36" s="616">
        <f>(PGL_Deliveries!AD5+PGL_Deliveries!AE5+PGL_Deliveries!AF5)/1000</f>
        <v>15.43</v>
      </c>
      <c r="C36" s="63"/>
      <c r="D36" s="757" t="s">
        <v>547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542</v>
      </c>
      <c r="B37" s="60"/>
      <c r="C37" s="63">
        <f>PGL_Deliveries!AE5/1000</f>
        <v>0</v>
      </c>
      <c r="D37" s="242" t="s">
        <v>489</v>
      </c>
      <c r="E37" s="776">
        <f>PGL_Supplies!AA7/1000</f>
        <v>212.36099999999999</v>
      </c>
      <c r="F37" s="168"/>
      <c r="H37"/>
      <c r="I37"/>
      <c r="J37"/>
      <c r="K37"/>
      <c r="L37"/>
      <c r="M37"/>
    </row>
    <row r="38" spans="1:13" ht="15">
      <c r="A38" s="172" t="s">
        <v>543</v>
      </c>
      <c r="B38" s="67"/>
      <c r="C38" s="467">
        <f>PGL_Deliveries!AD5/1000</f>
        <v>0</v>
      </c>
      <c r="D38" s="60" t="s">
        <v>362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544</v>
      </c>
      <c r="B39" s="151" t="s">
        <v>9</v>
      </c>
      <c r="C39" s="218">
        <f>PGL_Requirements!O7/1000</f>
        <v>177</v>
      </c>
      <c r="D39" s="60" t="s">
        <v>492</v>
      </c>
      <c r="E39" s="151"/>
      <c r="F39" s="173">
        <f>(PGL_Requirements!$AE$7+PGL_Requirements!$AF$7+PGL_Requirements!$AG$7+PGL_Requirements!$AH$7)/1000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545</v>
      </c>
      <c r="B40" s="151">
        <f>PGL_Supplies!L7/1000</f>
        <v>0</v>
      </c>
      <c r="C40" s="63"/>
      <c r="D40" s="60" t="s">
        <v>493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546</v>
      </c>
      <c r="B41" s="60"/>
      <c r="C41" s="218">
        <f>PGL_Deliveries!AU5/1000</f>
        <v>0</v>
      </c>
      <c r="D41" s="60" t="s">
        <v>558</v>
      </c>
      <c r="E41" s="776">
        <f>PGL_Supplies!R7/1000</f>
        <v>40</v>
      </c>
      <c r="F41" s="168"/>
      <c r="H41"/>
      <c r="I41"/>
      <c r="J41"/>
      <c r="K41"/>
      <c r="L41"/>
      <c r="M41"/>
    </row>
    <row r="42" spans="1:13" ht="15">
      <c r="A42" s="169" t="s">
        <v>195</v>
      </c>
      <c r="B42" s="151">
        <f>PGL_Deliveries!AV5/1000</f>
        <v>1.254</v>
      </c>
      <c r="C42" s="63"/>
      <c r="D42" s="72" t="s">
        <v>746</v>
      </c>
      <c r="E42" s="60"/>
      <c r="F42" s="173">
        <f>PGL_Deliveries!BG5/1000</f>
        <v>84.62</v>
      </c>
      <c r="H42"/>
      <c r="I42"/>
      <c r="J42"/>
      <c r="K42"/>
      <c r="L42"/>
      <c r="M42"/>
    </row>
    <row r="43" spans="1:13" ht="15">
      <c r="A43" s="169" t="s">
        <v>202</v>
      </c>
      <c r="B43" s="151">
        <f>PGL_Deliveries!AI5/1000</f>
        <v>0</v>
      </c>
      <c r="C43" s="63"/>
      <c r="D43" s="756" t="s">
        <v>747</v>
      </c>
      <c r="E43" s="67"/>
      <c r="F43" s="1205">
        <f>PGL_Deliveries!BH5/1000</f>
        <v>66.442999999999998</v>
      </c>
      <c r="H43"/>
      <c r="I43"/>
      <c r="J43"/>
      <c r="K43"/>
      <c r="L43"/>
      <c r="M43"/>
    </row>
    <row r="44" spans="1:13" ht="15.6" thickBot="1">
      <c r="A44" s="170" t="s">
        <v>548</v>
      </c>
      <c r="B44" s="151">
        <f>PGL_Deliveries!AG5/1000</f>
        <v>13.372999999999999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748</v>
      </c>
      <c r="B45" s="151">
        <f>PGL_Deliveries!BK5/1000</f>
        <v>0</v>
      </c>
      <c r="C45" s="218">
        <f>PGL_Deliveries!BJ5/1000</f>
        <v>0</v>
      </c>
      <c r="D45" s="430" t="s">
        <v>550</v>
      </c>
      <c r="E45" s="60">
        <f>Weather_Input!B5</f>
        <v>86</v>
      </c>
      <c r="F45" s="1118"/>
    </row>
    <row r="46" spans="1:13" ht="15">
      <c r="A46" s="169" t="s">
        <v>549</v>
      </c>
      <c r="B46" s="151">
        <f>PGL_Deliveries!AY5/1000</f>
        <v>1.8898499999999998</v>
      </c>
      <c r="C46" s="63"/>
      <c r="D46" s="169" t="s">
        <v>551</v>
      </c>
      <c r="E46" s="230">
        <f>Weather_Input!C5</f>
        <v>66</v>
      </c>
      <c r="F46" s="158"/>
    </row>
    <row r="47" spans="1:13" ht="15">
      <c r="A47" s="172" t="s">
        <v>656</v>
      </c>
      <c r="B47" s="67"/>
      <c r="C47" s="1205">
        <f>PGL_Requirements!Q7/1000</f>
        <v>0.28000000000000003</v>
      </c>
      <c r="D47" s="170" t="s">
        <v>552</v>
      </c>
      <c r="E47" s="60" t="str">
        <f>Weather_Input!E5</f>
        <v>N/A</v>
      </c>
      <c r="F47" s="158"/>
    </row>
    <row r="48" spans="1:13" ht="15">
      <c r="A48" s="170" t="s">
        <v>231</v>
      </c>
      <c r="B48" s="151">
        <f>PGL_Deliveries!AK5/1000</f>
        <v>0</v>
      </c>
      <c r="C48" s="158"/>
      <c r="D48" s="169" t="s">
        <v>553</v>
      </c>
      <c r="E48" s="219">
        <f>Weather_Input!D5</f>
        <v>7</v>
      </c>
      <c r="F48" s="158"/>
    </row>
    <row r="49" spans="1:6" ht="15">
      <c r="A49" s="169" t="s">
        <v>684</v>
      </c>
      <c r="B49" s="151">
        <f>PGL_Deliveries!AL5/1000</f>
        <v>20.954999999999998</v>
      </c>
      <c r="C49" s="158"/>
      <c r="D49" s="169" t="s">
        <v>554</v>
      </c>
      <c r="E49" s="151">
        <f>PGL_Deliveries!AO5/1000</f>
        <v>1.026</v>
      </c>
      <c r="F49" s="158"/>
    </row>
    <row r="50" spans="1:6" ht="15.6" outlineLevel="2" thickBot="1">
      <c r="A50" s="167" t="s">
        <v>556</v>
      </c>
      <c r="B50" s="205">
        <f>PGL_Deliveries!AM5/1000</f>
        <v>0</v>
      </c>
      <c r="C50" s="429"/>
      <c r="D50" s="100" t="s">
        <v>555</v>
      </c>
      <c r="E50" s="160"/>
      <c r="F50" s="429"/>
    </row>
    <row r="51" spans="1:6" ht="15" outlineLevel="2">
      <c r="A51" s="412" t="s">
        <v>557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3" t="s">
        <v>4</v>
      </c>
      <c r="B3" s="235">
        <f>NSG_Deliveries!H5/1000</f>
        <v>0</v>
      </c>
      <c r="C3" s="117"/>
      <c r="D3" s="222" t="s">
        <v>310</v>
      </c>
      <c r="E3" s="420">
        <f>Weather_Input!A5</f>
        <v>37107</v>
      </c>
      <c r="F3" s="117"/>
      <c r="G3"/>
      <c r="J3"/>
      <c r="K3"/>
    </row>
    <row r="4" spans="1:11" ht="15.6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164</v>
      </c>
      <c r="B5" s="234">
        <f>NSG_Deliveries!E5/1000</f>
        <v>0</v>
      </c>
      <c r="C5" s="143"/>
      <c r="D5" s="214" t="s">
        <v>311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312</v>
      </c>
      <c r="B7" s="209">
        <f>NSG_Deliveries!G5/1000</f>
        <v>0</v>
      </c>
      <c r="C7" s="784"/>
      <c r="D7" s="214" t="s">
        <v>313</v>
      </c>
      <c r="E7" s="209">
        <f>NSG_Supplies!T7/1000</f>
        <v>0</v>
      </c>
      <c r="F7" s="113"/>
      <c r="G7"/>
    </row>
    <row r="8" spans="1:11" ht="15" customHeight="1">
      <c r="A8" s="228" t="s">
        <v>210</v>
      </c>
      <c r="B8" s="209">
        <f>B5+B7</f>
        <v>0</v>
      </c>
      <c r="C8" s="158"/>
      <c r="D8" s="785" t="s">
        <v>571</v>
      </c>
      <c r="E8" s="779">
        <f>NSG_Deliveries!F5/1000</f>
        <v>0</v>
      </c>
      <c r="F8" s="778"/>
      <c r="G8"/>
    </row>
    <row r="9" spans="1:11" ht="15" customHeight="1">
      <c r="A9" s="236" t="s">
        <v>309</v>
      </c>
      <c r="B9" s="210" t="s">
        <v>9</v>
      </c>
      <c r="C9" s="131">
        <f>NSG_Requirements!L7/1000</f>
        <v>0</v>
      </c>
      <c r="D9" s="1" t="s">
        <v>563</v>
      </c>
      <c r="E9" s="780" t="s">
        <v>9</v>
      </c>
      <c r="F9" s="948">
        <f>NSG_Deliveries!M5/1000</f>
        <v>7</v>
      </c>
      <c r="G9" s="119"/>
    </row>
    <row r="10" spans="1:11" ht="15" customHeight="1">
      <c r="A10" s="125" t="s">
        <v>315</v>
      </c>
      <c r="B10" s="211">
        <f>NSG_Supplies!G7/1000</f>
        <v>0</v>
      </c>
      <c r="C10" s="130"/>
      <c r="D10" s="950" t="s">
        <v>564</v>
      </c>
      <c r="E10" s="432">
        <f>NSG_Deliveries!N5/1000</f>
        <v>0</v>
      </c>
      <c r="F10" s="781"/>
      <c r="G10"/>
    </row>
    <row r="11" spans="1:11" ht="15" customHeight="1" thickBot="1">
      <c r="A11" s="128" t="s">
        <v>316</v>
      </c>
      <c r="B11" s="418" t="s">
        <v>9</v>
      </c>
      <c r="C11" s="419"/>
      <c r="D11" s="167" t="s">
        <v>572</v>
      </c>
      <c r="E11" s="782">
        <f>NSG_Supplies!P7/1000</f>
        <v>7</v>
      </c>
      <c r="F11" s="783"/>
      <c r="G11"/>
    </row>
    <row r="12" spans="1:11" ht="15" customHeight="1">
      <c r="A12" s="125" t="s">
        <v>363</v>
      </c>
      <c r="B12" s="211">
        <v>0</v>
      </c>
      <c r="C12" s="129"/>
      <c r="D12" t="s">
        <v>314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1">
        <f>NSG_Supplies!Q7/1000</f>
        <v>24.728999999999999</v>
      </c>
      <c r="C13" s="129"/>
      <c r="D13" s="238" t="s">
        <v>317</v>
      </c>
      <c r="E13" s="231"/>
      <c r="F13" s="239"/>
      <c r="G13"/>
    </row>
    <row r="14" spans="1:11" ht="15" customHeight="1">
      <c r="A14" s="125" t="s">
        <v>180</v>
      </c>
      <c r="B14" s="211">
        <f>NSG_Supplies!C7/1000</f>
        <v>0</v>
      </c>
      <c r="C14" s="129"/>
      <c r="D14" s="207" t="s">
        <v>318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07"/>
      <c r="C15" s="131">
        <f>NSG_Deliveries!K5/1000</f>
        <v>0</v>
      </c>
      <c r="D15" s="229" t="s">
        <v>320</v>
      </c>
      <c r="E15" s="749">
        <f>+NSG_Supplies!N7/1000</f>
        <v>0</v>
      </c>
      <c r="F15" s="208"/>
    </row>
    <row r="16" spans="1:11" ht="15" customHeight="1" thickBot="1">
      <c r="A16" s="127" t="s">
        <v>322</v>
      </c>
      <c r="B16" s="432">
        <f>NSG_Deliveries!L5/1000</f>
        <v>6.194</v>
      </c>
      <c r="C16" s="949"/>
      <c r="D16" s="793" t="s">
        <v>229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07"/>
      <c r="C17" s="131">
        <f>NSG_Requirements!P7/1000</f>
        <v>0</v>
      </c>
      <c r="D17" s="422" t="s">
        <v>324</v>
      </c>
      <c r="E17" s="421"/>
      <c r="F17" s="423"/>
    </row>
    <row r="18" spans="1:8" ht="15" customHeight="1">
      <c r="A18" s="125" t="s">
        <v>325</v>
      </c>
      <c r="B18" s="211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15" t="s">
        <v>9</v>
      </c>
      <c r="B19" s="432" t="s">
        <v>9</v>
      </c>
      <c r="C19" s="431" t="s">
        <v>9</v>
      </c>
      <c r="D19" s="224" t="s">
        <v>327</v>
      </c>
      <c r="E19" s="159"/>
      <c r="F19" s="126">
        <f>NSG_Requirements!S7/1000</f>
        <v>0</v>
      </c>
    </row>
    <row r="20" spans="1:8" ht="15" customHeight="1">
      <c r="A20" s="1215" t="s">
        <v>9</v>
      </c>
      <c r="B20" s="432" t="s">
        <v>9</v>
      </c>
      <c r="C20" s="431" t="s">
        <v>9</v>
      </c>
      <c r="D20" s="207" t="s">
        <v>328</v>
      </c>
      <c r="E20" s="159"/>
      <c r="F20" s="126">
        <f>NSG_Requirements!O7/1000</f>
        <v>0</v>
      </c>
    </row>
    <row r="21" spans="1:8" ht="15" customHeight="1">
      <c r="A21" s="1215" t="s">
        <v>9</v>
      </c>
      <c r="B21" s="432" t="s">
        <v>9</v>
      </c>
      <c r="C21" s="431" t="s">
        <v>9</v>
      </c>
      <c r="D21" s="215" t="s">
        <v>329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349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330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331</v>
      </c>
      <c r="E24" s="216">
        <f>NSG_Supplies!O7/1000</f>
        <v>0</v>
      </c>
      <c r="F24" s="124"/>
    </row>
    <row r="25" spans="1:8" ht="15" customHeight="1">
      <c r="A25" s="1215" t="s">
        <v>9</v>
      </c>
      <c r="B25" s="207" t="s">
        <v>9</v>
      </c>
      <c r="C25" s="131" t="s">
        <v>9</v>
      </c>
      <c r="D25" s="223" t="s">
        <v>332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333</v>
      </c>
      <c r="E26" s="754"/>
      <c r="F26" s="126">
        <f>NSG_Requirements!D7/1000</f>
        <v>0</v>
      </c>
    </row>
    <row r="27" spans="1:8" ht="15" customHeight="1" thickBot="1">
      <c r="A27" s="144" t="s">
        <v>210</v>
      </c>
      <c r="B27" s="213">
        <f>SUM(B9:B26)-SUM(C9:C26)</f>
        <v>30.922999999999998</v>
      </c>
      <c r="C27" s="145"/>
      <c r="D27" s="232" t="s">
        <v>334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1" max="1" width="0.6328125" customWidth="1"/>
    <col min="2" max="2" width="1.36328125" style="772" customWidth="1"/>
    <col min="3" max="3" width="22.6328125" customWidth="1"/>
    <col min="4" max="4" width="0.81640625" customWidth="1"/>
    <col min="5" max="5" width="21.453125" customWidth="1"/>
    <col min="6" max="6" width="1.08984375" customWidth="1"/>
    <col min="7" max="7" width="23.9062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158</v>
      </c>
      <c r="E2" s="884" t="s">
        <v>9</v>
      </c>
      <c r="F2" s="884" t="s">
        <v>158</v>
      </c>
      <c r="G2" s="884" t="s">
        <v>9</v>
      </c>
    </row>
    <row r="4" spans="2:7">
      <c r="B4" s="885" t="s">
        <v>158</v>
      </c>
      <c r="C4" t="s">
        <v>803</v>
      </c>
      <c r="E4" t="s">
        <v>807</v>
      </c>
      <c r="G4" t="s">
        <v>804</v>
      </c>
    </row>
    <row r="5" spans="2:7">
      <c r="C5" s="193">
        <f>SUM(PGL_Nine_to_Nine!B34)</f>
        <v>223.06099999999998</v>
      </c>
      <c r="E5" s="1266">
        <f>SUM(PGL_Nine_to_Nine!F24)*2</f>
        <v>0</v>
      </c>
      <c r="G5" s="1266">
        <f>SUM(C5-E5)</f>
        <v>223.06099999999998</v>
      </c>
    </row>
    <row r="6" spans="2:7">
      <c r="B6" s="884" t="s">
        <v>9</v>
      </c>
      <c r="E6" t="s">
        <v>808</v>
      </c>
      <c r="G6" t="s">
        <v>809</v>
      </c>
    </row>
    <row r="7" spans="2:7">
      <c r="B7" s="884"/>
      <c r="E7" s="1266">
        <v>50</v>
      </c>
    </row>
    <row r="8" spans="2:7">
      <c r="B8" s="884" t="s">
        <v>9</v>
      </c>
      <c r="C8" t="s">
        <v>805</v>
      </c>
      <c r="G8" t="s">
        <v>806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37107</v>
      </c>
      <c r="C1" s="4"/>
    </row>
    <row r="2" spans="1:19">
      <c r="A2" s="109" t="s">
        <v>337</v>
      </c>
      <c r="B2" s="4"/>
      <c r="C2" s="4"/>
    </row>
    <row r="3" spans="1:19" ht="15.6">
      <c r="B3" s="201" t="s">
        <v>66</v>
      </c>
      <c r="C3" s="95"/>
      <c r="D3" s="6"/>
      <c r="E3" s="6"/>
      <c r="F3" s="6"/>
      <c r="G3" s="194"/>
      <c r="H3" s="95" t="s">
        <v>67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338</v>
      </c>
      <c r="C4" s="197"/>
      <c r="D4" s="193" t="s">
        <v>339</v>
      </c>
      <c r="E4" s="193" t="s">
        <v>339</v>
      </c>
      <c r="F4" s="6" t="s">
        <v>340</v>
      </c>
      <c r="G4" s="194"/>
      <c r="H4" s="6" t="s">
        <v>338</v>
      </c>
      <c r="I4" s="6"/>
      <c r="J4" s="193" t="s">
        <v>339</v>
      </c>
      <c r="K4" s="193" t="s">
        <v>339</v>
      </c>
      <c r="L4" s="6" t="s">
        <v>340</v>
      </c>
      <c r="M4" s="194"/>
      <c r="N4" s="6" t="s">
        <v>338</v>
      </c>
      <c r="O4" s="6"/>
      <c r="P4" s="193" t="s">
        <v>339</v>
      </c>
      <c r="Q4" s="193" t="s">
        <v>339</v>
      </c>
      <c r="R4" s="6" t="s">
        <v>340</v>
      </c>
      <c r="S4" s="6"/>
    </row>
    <row r="5" spans="1:19">
      <c r="A5" s="103"/>
      <c r="B5" s="203" t="s">
        <v>341</v>
      </c>
      <c r="C5" s="198" t="s">
        <v>342</v>
      </c>
      <c r="D5" s="195" t="s">
        <v>343</v>
      </c>
      <c r="E5" s="195" t="s">
        <v>344</v>
      </c>
      <c r="F5" s="195" t="s">
        <v>341</v>
      </c>
      <c r="G5" s="196" t="s">
        <v>342</v>
      </c>
      <c r="H5" s="195" t="s">
        <v>341</v>
      </c>
      <c r="I5" s="195" t="s">
        <v>342</v>
      </c>
      <c r="J5" s="195" t="s">
        <v>343</v>
      </c>
      <c r="K5" s="195" t="s">
        <v>344</v>
      </c>
      <c r="L5" s="195" t="s">
        <v>341</v>
      </c>
      <c r="M5" s="196" t="s">
        <v>342</v>
      </c>
      <c r="N5" s="195" t="s">
        <v>341</v>
      </c>
      <c r="O5" s="195" t="s">
        <v>342</v>
      </c>
      <c r="P5" s="195" t="s">
        <v>343</v>
      </c>
      <c r="Q5" s="195" t="s">
        <v>344</v>
      </c>
      <c r="R5" s="195" t="s">
        <v>341</v>
      </c>
      <c r="S5" s="195" t="s">
        <v>342</v>
      </c>
    </row>
    <row r="6" spans="1:19">
      <c r="A6" s="4">
        <f>B1-1</f>
        <v>37106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88144</v>
      </c>
      <c r="O6" s="199">
        <v>0</v>
      </c>
      <c r="P6" s="199">
        <v>53144487</v>
      </c>
      <c r="Q6" s="199">
        <v>15045098</v>
      </c>
      <c r="R6" s="199">
        <v>38099389</v>
      </c>
      <c r="S6" s="199">
        <v>0</v>
      </c>
    </row>
    <row r="7" spans="1:19">
      <c r="A7" s="4">
        <f>B1</f>
        <v>37107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83949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53228436</v>
      </c>
      <c r="Q7">
        <f>IF(O7&gt;0,Q6+O7,Q6)</f>
        <v>15045098</v>
      </c>
      <c r="R7">
        <f>IF(P7&gt;Q7,P7-Q7,0)</f>
        <v>38183338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9" width="7.90625" customWidth="1"/>
    <col min="20" max="21" width="9.54296875" customWidth="1"/>
    <col min="22" max="36" width="7.90625" customWidth="1"/>
    <col min="42" max="42" width="4.81640625" customWidth="1"/>
    <col min="43" max="52" width="7.90625" customWidth="1"/>
    <col min="53" max="53" width="4.81640625" customWidth="1"/>
    <col min="58" max="58" width="4.81640625" customWidth="1"/>
    <col min="61" max="61" width="4.8164062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645</v>
      </c>
      <c r="BG1" t="s">
        <v>646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642</v>
      </c>
      <c r="BE2" t="s">
        <v>643</v>
      </c>
      <c r="BG2" s="995">
        <v>1</v>
      </c>
      <c r="BH2" s="193" t="s">
        <v>643</v>
      </c>
      <c r="BJ2" t="s">
        <v>750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372</v>
      </c>
      <c r="L3" s="3" t="s">
        <v>42</v>
      </c>
      <c r="M3" s="3" t="s">
        <v>42</v>
      </c>
      <c r="N3" s="3" t="s">
        <v>816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372</v>
      </c>
      <c r="V3" s="3" t="s">
        <v>13</v>
      </c>
      <c r="W3" s="3"/>
      <c r="X3" s="109"/>
      <c r="Y3" s="1"/>
      <c r="Z3" s="1" t="s">
        <v>490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630</v>
      </c>
      <c r="AR3" s="982"/>
      <c r="AS3" s="767" t="s">
        <v>631</v>
      </c>
      <c r="AT3" s="982"/>
      <c r="AU3" s="767" t="s">
        <v>632</v>
      </c>
      <c r="AV3" s="982"/>
      <c r="AW3" s="424" t="s">
        <v>170</v>
      </c>
      <c r="AX3" s="424" t="s">
        <v>170</v>
      </c>
      <c r="AY3" s="424"/>
      <c r="AZ3" s="424" t="s">
        <v>170</v>
      </c>
      <c r="BB3" s="119" t="s">
        <v>640</v>
      </c>
      <c r="BC3" s="119"/>
      <c r="BD3" s="159"/>
      <c r="BE3" s="119" t="s">
        <v>41</v>
      </c>
      <c r="BG3" s="995" t="s">
        <v>491</v>
      </c>
      <c r="BJ3" t="s">
        <v>749</v>
      </c>
    </row>
    <row r="4" spans="1:94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373</v>
      </c>
      <c r="L4" s="3">
        <v>1</v>
      </c>
      <c r="M4" s="3">
        <v>2</v>
      </c>
      <c r="N4" s="3" t="s">
        <v>817</v>
      </c>
      <c r="O4" s="3" t="s">
        <v>60</v>
      </c>
      <c r="P4" s="3" t="s">
        <v>61</v>
      </c>
      <c r="Q4" s="3" t="s">
        <v>62</v>
      </c>
      <c r="R4" s="3" t="s">
        <v>63</v>
      </c>
      <c r="S4" s="3" t="s">
        <v>64</v>
      </c>
      <c r="T4" s="3" t="s">
        <v>65</v>
      </c>
      <c r="U4" s="3" t="s">
        <v>369</v>
      </c>
      <c r="V4" s="3" t="s">
        <v>54</v>
      </c>
      <c r="W4" s="3" t="s">
        <v>657</v>
      </c>
      <c r="X4" s="3" t="s">
        <v>66</v>
      </c>
      <c r="Y4" s="3" t="s">
        <v>67</v>
      </c>
      <c r="Z4" s="3" t="s">
        <v>517</v>
      </c>
      <c r="AA4" s="3" t="s">
        <v>518</v>
      </c>
      <c r="AB4" s="3" t="s">
        <v>682</v>
      </c>
      <c r="AC4" s="3" t="s">
        <v>764</v>
      </c>
      <c r="AD4" s="3" t="s">
        <v>58</v>
      </c>
      <c r="AE4" s="3" t="s">
        <v>68</v>
      </c>
      <c r="AF4" s="3" t="s">
        <v>69</v>
      </c>
      <c r="AG4" s="3" t="s">
        <v>70</v>
      </c>
      <c r="AH4" s="3" t="s">
        <v>69</v>
      </c>
      <c r="AI4" s="3" t="s">
        <v>70</v>
      </c>
      <c r="AJ4" s="3" t="s">
        <v>69</v>
      </c>
      <c r="AK4" s="153" t="s">
        <v>71</v>
      </c>
      <c r="AL4" s="153" t="s">
        <v>72</v>
      </c>
      <c r="AM4" s="153" t="s">
        <v>72</v>
      </c>
      <c r="AN4" s="153" t="s">
        <v>73</v>
      </c>
      <c r="AO4" s="153" t="s">
        <v>74</v>
      </c>
      <c r="AP4" s="1"/>
      <c r="AQ4" s="981" t="s">
        <v>628</v>
      </c>
      <c r="AR4" s="3" t="s">
        <v>629</v>
      </c>
      <c r="AS4" s="3" t="s">
        <v>628</v>
      </c>
      <c r="AT4" s="3" t="s">
        <v>629</v>
      </c>
      <c r="AU4" s="3" t="s">
        <v>628</v>
      </c>
      <c r="AV4" s="3" t="s">
        <v>629</v>
      </c>
      <c r="AW4" s="424" t="s">
        <v>189</v>
      </c>
      <c r="AX4" s="424" t="s">
        <v>655</v>
      </c>
      <c r="AY4" s="424" t="s">
        <v>198</v>
      </c>
      <c r="AZ4" s="424" t="s">
        <v>627</v>
      </c>
      <c r="BA4" s="1"/>
      <c r="BB4" s="996" t="s">
        <v>40</v>
      </c>
      <c r="BC4" s="997" t="s">
        <v>41</v>
      </c>
      <c r="BD4" s="998" t="s">
        <v>639</v>
      </c>
      <c r="BE4" s="998" t="s">
        <v>644</v>
      </c>
      <c r="BG4" s="193" t="s">
        <v>369</v>
      </c>
      <c r="BH4" s="193" t="s">
        <v>641</v>
      </c>
      <c r="BI4" s="1"/>
      <c r="BJ4" s="1" t="s">
        <v>751</v>
      </c>
      <c r="BK4" s="1" t="s">
        <v>752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37107</v>
      </c>
      <c r="B5" s="1">
        <f>(Weather_Input!B5+Weather_Input!C5)/2</f>
        <v>76</v>
      </c>
      <c r="C5" s="868">
        <v>168000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1235</v>
      </c>
      <c r="T5" s="874">
        <v>4237</v>
      </c>
      <c r="U5" s="1048">
        <v>0</v>
      </c>
      <c r="V5" s="868">
        <f>SUM(D5:T5)-U5</f>
        <v>5472</v>
      </c>
      <c r="W5" s="868">
        <v>91013</v>
      </c>
      <c r="X5" s="11">
        <v>0</v>
      </c>
      <c r="Y5" s="11">
        <v>0</v>
      </c>
      <c r="Z5" s="11">
        <v>0</v>
      </c>
      <c r="AA5" s="11">
        <v>221171</v>
      </c>
      <c r="AB5" s="11">
        <v>93247</v>
      </c>
      <c r="AC5" s="11">
        <v>0</v>
      </c>
      <c r="AD5" s="11">
        <v>0</v>
      </c>
      <c r="AE5" s="11">
        <v>0</v>
      </c>
      <c r="AF5" s="11">
        <v>15430</v>
      </c>
      <c r="AG5" s="11">
        <v>13373</v>
      </c>
      <c r="AH5" s="11">
        <v>0</v>
      </c>
      <c r="AI5" s="11">
        <v>0</v>
      </c>
      <c r="AJ5" s="11">
        <v>0</v>
      </c>
      <c r="AK5" s="11">
        <v>0</v>
      </c>
      <c r="AL5" s="11">
        <v>20955</v>
      </c>
      <c r="AM5" s="11">
        <v>0</v>
      </c>
      <c r="AN5" s="11">
        <v>0</v>
      </c>
      <c r="AO5" s="1">
        <v>1026</v>
      </c>
      <c r="AP5" s="1"/>
      <c r="AQ5" s="1">
        <v>7648</v>
      </c>
      <c r="AR5" s="1">
        <v>0</v>
      </c>
      <c r="AS5" s="1">
        <v>0</v>
      </c>
      <c r="AT5" s="1">
        <v>6015</v>
      </c>
      <c r="AU5" s="1">
        <v>0</v>
      </c>
      <c r="AV5" s="1">
        <v>1254</v>
      </c>
      <c r="AW5" s="1">
        <v>125990</v>
      </c>
      <c r="AX5" s="1">
        <v>450</v>
      </c>
      <c r="AY5" s="610">
        <f>AW5*0.015</f>
        <v>1889.85</v>
      </c>
      <c r="AZ5" s="1">
        <v>0</v>
      </c>
      <c r="BA5" s="1"/>
      <c r="BB5" s="1">
        <v>0</v>
      </c>
      <c r="BC5" s="1">
        <v>6849</v>
      </c>
      <c r="BD5" s="1">
        <v>0</v>
      </c>
      <c r="BE5" s="1">
        <v>0</v>
      </c>
      <c r="BF5" s="1"/>
      <c r="BG5" s="1">
        <v>84620</v>
      </c>
      <c r="BH5" s="1">
        <v>66443</v>
      </c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37108</v>
      </c>
      <c r="B6" s="886">
        <f>(Weather_Input!B6+Weather_Input!C6)/2</f>
        <v>81</v>
      </c>
      <c r="C6" s="868">
        <v>180000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626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37109</v>
      </c>
      <c r="B7" s="886">
        <f>(Weather_Input!B7+Weather_Input!C7)/2</f>
        <v>82</v>
      </c>
      <c r="C7" s="868">
        <v>195000</v>
      </c>
      <c r="D7" s="870" t="s">
        <v>9</v>
      </c>
      <c r="E7" s="871"/>
      <c r="F7" s="871"/>
      <c r="G7" s="871"/>
      <c r="H7" s="872" t="s">
        <v>75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500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37110</v>
      </c>
      <c r="B8" s="886">
        <f>(Weather_Input!B8+Weather_Input!C8)/2</f>
        <v>83.5</v>
      </c>
      <c r="C8" s="868">
        <v>195000</v>
      </c>
      <c r="D8" s="870" t="s">
        <v>9</v>
      </c>
      <c r="E8" s="871" t="s">
        <v>9</v>
      </c>
      <c r="F8" s="871"/>
      <c r="G8" s="871"/>
      <c r="H8" s="873" t="s">
        <v>76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501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37111</v>
      </c>
      <c r="B9" s="886">
        <f>(Weather_Input!B9+Weather_Input!C9)/2</f>
        <v>82.5</v>
      </c>
      <c r="C9" s="868">
        <v>195000</v>
      </c>
      <c r="D9" s="870" t="s">
        <v>9</v>
      </c>
      <c r="E9" s="871"/>
      <c r="F9" s="871"/>
      <c r="G9" s="871"/>
      <c r="H9" s="871" t="s">
        <v>77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502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37112</v>
      </c>
      <c r="B10" s="886">
        <f>(Weather_Input!B10+Weather_Input!C10)/2</f>
        <v>82.5</v>
      </c>
      <c r="C10" s="868">
        <v>195000</v>
      </c>
      <c r="D10" s="870" t="s">
        <v>9</v>
      </c>
      <c r="E10" s="871" t="s">
        <v>9</v>
      </c>
      <c r="F10" s="871"/>
      <c r="G10" s="871"/>
      <c r="H10" s="871" t="s">
        <v>78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505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503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504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506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507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508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158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624</v>
      </c>
      <c r="L2" t="s">
        <v>624</v>
      </c>
      <c r="M2" t="s">
        <v>624</v>
      </c>
      <c r="N2" t="s">
        <v>624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566</v>
      </c>
      <c r="G3" s="153" t="s">
        <v>80</v>
      </c>
      <c r="H3" s="3" t="s">
        <v>13</v>
      </c>
      <c r="I3" s="153" t="s">
        <v>81</v>
      </c>
      <c r="K3" t="s">
        <v>625</v>
      </c>
      <c r="L3" t="s">
        <v>625</v>
      </c>
      <c r="M3" t="s">
        <v>625</v>
      </c>
      <c r="N3" t="s">
        <v>625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622</v>
      </c>
      <c r="L4" s="1" t="s">
        <v>623</v>
      </c>
      <c r="M4" s="1" t="s">
        <v>622</v>
      </c>
      <c r="N4" s="1" t="s">
        <v>623</v>
      </c>
    </row>
    <row r="5" spans="1:14">
      <c r="A5" s="12">
        <f>Weather_Input!A5</f>
        <v>37107</v>
      </c>
      <c r="B5" s="1">
        <f>(Weather_Input!B5+Weather_Input!C5)/2</f>
        <v>76</v>
      </c>
      <c r="C5" s="868">
        <v>28000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999</v>
      </c>
      <c r="J5" s="1" t="s">
        <v>9</v>
      </c>
      <c r="K5" s="1">
        <v>0</v>
      </c>
      <c r="L5" s="1">
        <v>6194</v>
      </c>
      <c r="M5" s="1">
        <v>7000</v>
      </c>
      <c r="N5" s="1">
        <v>0</v>
      </c>
    </row>
    <row r="6" spans="1:14">
      <c r="A6" s="12">
        <f>A5+1</f>
        <v>37108</v>
      </c>
      <c r="B6" s="886">
        <f>(Weather_Input!B6+Weather_Input!C6)/2</f>
        <v>81</v>
      </c>
      <c r="C6" s="868">
        <v>29000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37109</v>
      </c>
      <c r="B7" s="886">
        <f>(Weather_Input!B7+Weather_Input!C7)/2</f>
        <v>82</v>
      </c>
      <c r="C7" s="868">
        <v>32000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37110</v>
      </c>
      <c r="B8" s="886">
        <f>(Weather_Input!B8+Weather_Input!C8)/2</f>
        <v>83.5</v>
      </c>
      <c r="C8" s="868">
        <v>32000</v>
      </c>
      <c r="D8" s="871" t="s">
        <v>9</v>
      </c>
      <c r="E8" s="871"/>
      <c r="F8" s="871"/>
      <c r="G8" s="871"/>
      <c r="H8" s="15"/>
    </row>
    <row r="9" spans="1:14">
      <c r="A9" s="12">
        <f>A8+1</f>
        <v>37111</v>
      </c>
      <c r="B9" s="886">
        <f>(Weather_Input!B9+Weather_Input!C9)/2</f>
        <v>82.5</v>
      </c>
      <c r="C9" s="868">
        <v>32000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37112</v>
      </c>
      <c r="B10" s="886">
        <f>(Weather_Input!B10+Weather_Input!C10)/2</f>
        <v>82.5</v>
      </c>
      <c r="C10" s="868">
        <v>32000</v>
      </c>
      <c r="D10" s="871" t="s">
        <v>9</v>
      </c>
      <c r="E10" s="871"/>
      <c r="F10" s="871"/>
      <c r="G10" s="871"/>
      <c r="H10" s="15"/>
    </row>
    <row r="11" spans="1:14">
      <c r="A11" s="1" t="s">
        <v>158</v>
      </c>
      <c r="C11" s="106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068">
        <v>1</v>
      </c>
      <c r="H4" s="3" t="s">
        <v>1</v>
      </c>
      <c r="I4" s="3" t="s">
        <v>665</v>
      </c>
      <c r="J4" s="3" t="s">
        <v>641</v>
      </c>
      <c r="L4" s="3" t="s">
        <v>740</v>
      </c>
      <c r="M4" s="3" t="s">
        <v>759</v>
      </c>
      <c r="N4" s="58"/>
      <c r="O4" s="65"/>
      <c r="P4" s="65"/>
      <c r="T4" s="1198" t="s">
        <v>753</v>
      </c>
      <c r="U4" s="1019"/>
      <c r="V4" s="1163" t="s">
        <v>717</v>
      </c>
      <c r="W4" s="1164"/>
      <c r="X4" s="1165"/>
      <c r="Y4" s="53"/>
      <c r="Z4" s="53"/>
      <c r="AA4" s="53"/>
      <c r="AB4" s="55" t="s">
        <v>89</v>
      </c>
      <c r="AC4" s="53"/>
      <c r="AD4" s="53"/>
      <c r="AE4" s="72"/>
      <c r="AF4" s="3" t="s">
        <v>385</v>
      </c>
    </row>
    <row r="5" spans="1:88" s="1" customFormat="1" ht="13.2">
      <c r="B5" s="66" t="s">
        <v>90</v>
      </c>
      <c r="E5" s="243"/>
      <c r="F5" s="66" t="s">
        <v>9</v>
      </c>
      <c r="G5" s="773" t="s">
        <v>738</v>
      </c>
      <c r="H5" s="107" t="s">
        <v>637</v>
      </c>
      <c r="I5" s="54" t="s">
        <v>657</v>
      </c>
      <c r="J5" s="3" t="s">
        <v>688</v>
      </c>
      <c r="L5" s="3" t="s">
        <v>741</v>
      </c>
      <c r="M5" s="56" t="s">
        <v>760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718</v>
      </c>
      <c r="W5" s="56" t="s">
        <v>721</v>
      </c>
      <c r="X5" s="3" t="s">
        <v>722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385</v>
      </c>
      <c r="E6" s="244" t="s">
        <v>92</v>
      </c>
      <c r="F6" s="54" t="s">
        <v>95</v>
      </c>
      <c r="G6" s="774" t="s">
        <v>739</v>
      </c>
      <c r="H6" s="983" t="s">
        <v>638</v>
      </c>
      <c r="I6" s="54" t="s">
        <v>664</v>
      </c>
      <c r="J6" s="54" t="s">
        <v>687</v>
      </c>
      <c r="K6" s="54" t="s">
        <v>733</v>
      </c>
      <c r="L6" s="54" t="s">
        <v>67</v>
      </c>
      <c r="M6" s="54" t="s">
        <v>758</v>
      </c>
      <c r="N6" s="81" t="s">
        <v>87</v>
      </c>
      <c r="O6" s="54" t="s">
        <v>58</v>
      </c>
      <c r="P6" s="54" t="s">
        <v>97</v>
      </c>
      <c r="Q6" s="54" t="s">
        <v>652</v>
      </c>
      <c r="R6" s="54" t="s">
        <v>99</v>
      </c>
      <c r="S6" s="54" t="s">
        <v>634</v>
      </c>
      <c r="T6" s="54" t="s">
        <v>735</v>
      </c>
      <c r="U6" s="68" t="s">
        <v>754</v>
      </c>
      <c r="V6" s="1166" t="s">
        <v>719</v>
      </c>
      <c r="W6" s="1166" t="s">
        <v>720</v>
      </c>
      <c r="X6" s="54">
        <v>9</v>
      </c>
      <c r="Y6" s="54" t="s">
        <v>66</v>
      </c>
      <c r="Z6" s="54" t="s">
        <v>89</v>
      </c>
      <c r="AA6" s="54" t="s">
        <v>385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385</v>
      </c>
    </row>
    <row r="7" spans="1:88" s="1" customFormat="1" ht="13.2">
      <c r="A7" s="798">
        <f>Weather_Input!A5</f>
        <v>37107</v>
      </c>
      <c r="B7" s="877">
        <v>0</v>
      </c>
      <c r="C7" s="608">
        <v>0</v>
      </c>
      <c r="D7" s="608">
        <v>9300</v>
      </c>
      <c r="E7" s="877">
        <v>2499</v>
      </c>
      <c r="F7" s="877">
        <v>2680</v>
      </c>
      <c r="G7" s="879">
        <v>0</v>
      </c>
      <c r="H7" s="607">
        <v>0</v>
      </c>
      <c r="I7" s="607">
        <v>5300</v>
      </c>
      <c r="J7" s="608">
        <v>0</v>
      </c>
      <c r="K7" s="607">
        <v>0</v>
      </c>
      <c r="L7" s="608">
        <v>0</v>
      </c>
      <c r="M7" s="608">
        <v>0</v>
      </c>
      <c r="N7" s="609">
        <v>8300</v>
      </c>
      <c r="O7" s="608">
        <v>177000</v>
      </c>
      <c r="P7" s="610">
        <f t="shared" ref="P7:P12" si="0">O7*0.015</f>
        <v>2655</v>
      </c>
      <c r="Q7" s="608">
        <v>280</v>
      </c>
      <c r="R7" s="608">
        <v>0</v>
      </c>
      <c r="S7" s="608">
        <v>0</v>
      </c>
      <c r="T7" s="607">
        <v>38918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607">
        <v>0</v>
      </c>
      <c r="AI7" s="798">
        <f t="shared" ref="AI7:AI12" si="1">AI6+1</f>
        <v>1</v>
      </c>
    </row>
    <row r="8" spans="1:88" s="1" customFormat="1" ht="13.2">
      <c r="A8" s="798">
        <f>A7+1</f>
        <v>37108</v>
      </c>
      <c r="B8" s="877">
        <v>0</v>
      </c>
      <c r="C8" s="608">
        <v>0</v>
      </c>
      <c r="D8" s="608">
        <v>0</v>
      </c>
      <c r="E8" s="877">
        <v>2499</v>
      </c>
      <c r="F8" s="877">
        <v>0</v>
      </c>
      <c r="G8" s="879">
        <v>10828</v>
      </c>
      <c r="H8" s="607">
        <v>0</v>
      </c>
      <c r="I8" s="607">
        <v>0</v>
      </c>
      <c r="J8" s="608">
        <v>20000</v>
      </c>
      <c r="K8" s="607">
        <v>0</v>
      </c>
      <c r="L8" s="608">
        <v>0</v>
      </c>
      <c r="M8" s="608">
        <v>0</v>
      </c>
      <c r="N8" s="609">
        <v>11000</v>
      </c>
      <c r="O8" s="608">
        <v>160000</v>
      </c>
      <c r="P8" s="610">
        <f t="shared" si="0"/>
        <v>2400</v>
      </c>
      <c r="Q8" s="608">
        <v>280</v>
      </c>
      <c r="R8" s="608">
        <v>0</v>
      </c>
      <c r="S8" s="608">
        <v>0</v>
      </c>
      <c r="T8" s="607">
        <v>39418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607">
        <v>0</v>
      </c>
      <c r="AI8" s="798">
        <f t="shared" si="1"/>
        <v>2</v>
      </c>
      <c r="AJ8" s="607"/>
      <c r="AK8" s="607"/>
      <c r="AL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  <c r="BB8" s="607"/>
    </row>
    <row r="9" spans="1:88" s="1" customFormat="1" ht="13.2">
      <c r="A9" s="798">
        <f>A8+1</f>
        <v>37109</v>
      </c>
      <c r="B9" s="877">
        <v>0</v>
      </c>
      <c r="C9" s="608">
        <v>0</v>
      </c>
      <c r="D9" s="608">
        <v>0</v>
      </c>
      <c r="E9" s="877">
        <v>0</v>
      </c>
      <c r="F9" s="877">
        <v>0</v>
      </c>
      <c r="G9" s="879">
        <v>87100</v>
      </c>
      <c r="H9" s="607">
        <v>0</v>
      </c>
      <c r="I9" s="607">
        <v>0</v>
      </c>
      <c r="J9" s="608">
        <v>85000</v>
      </c>
      <c r="K9" s="607">
        <v>0</v>
      </c>
      <c r="L9" s="608">
        <v>0</v>
      </c>
      <c r="M9" s="608">
        <v>0</v>
      </c>
      <c r="N9" s="609">
        <v>0</v>
      </c>
      <c r="O9" s="608">
        <v>160000</v>
      </c>
      <c r="P9" s="610">
        <f t="shared" si="0"/>
        <v>2400</v>
      </c>
      <c r="Q9" s="608">
        <v>280</v>
      </c>
      <c r="R9" s="608">
        <v>0</v>
      </c>
      <c r="S9" s="608">
        <v>0</v>
      </c>
      <c r="T9" s="607">
        <v>0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607">
        <v>0</v>
      </c>
      <c r="AI9" s="798">
        <f t="shared" si="1"/>
        <v>3</v>
      </c>
      <c r="AM9" s="607"/>
    </row>
    <row r="10" spans="1:88" s="1" customFormat="1" ht="13.2">
      <c r="A10" s="798">
        <f>A9+1</f>
        <v>37110</v>
      </c>
      <c r="B10" s="877">
        <v>0</v>
      </c>
      <c r="C10" s="608">
        <v>0</v>
      </c>
      <c r="D10" s="608">
        <v>0</v>
      </c>
      <c r="E10" s="877">
        <v>0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0</v>
      </c>
      <c r="O10" s="608">
        <v>160000</v>
      </c>
      <c r="P10" s="610">
        <f t="shared" si="0"/>
        <v>2400</v>
      </c>
      <c r="Q10" s="608">
        <v>280</v>
      </c>
      <c r="R10" s="608">
        <v>0</v>
      </c>
      <c r="S10" s="608">
        <v>0</v>
      </c>
      <c r="T10" s="607">
        <v>0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607">
        <v>0</v>
      </c>
      <c r="AI10" s="798">
        <f t="shared" si="1"/>
        <v>4</v>
      </c>
    </row>
    <row r="11" spans="1:88" s="1" customFormat="1" ht="13.2">
      <c r="A11" s="798">
        <f>A10+1</f>
        <v>37111</v>
      </c>
      <c r="B11" s="877">
        <v>0</v>
      </c>
      <c r="C11" s="608">
        <v>0</v>
      </c>
      <c r="D11" s="608">
        <v>0</v>
      </c>
      <c r="E11" s="877">
        <v>0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0</v>
      </c>
      <c r="O11" s="608">
        <v>160000</v>
      </c>
      <c r="P11" s="610">
        <f t="shared" si="0"/>
        <v>2400</v>
      </c>
      <c r="Q11" s="608">
        <v>280</v>
      </c>
      <c r="R11" s="608">
        <v>0</v>
      </c>
      <c r="S11" s="608">
        <v>0</v>
      </c>
      <c r="T11" s="607">
        <v>0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607">
        <v>0</v>
      </c>
      <c r="AI11" s="798">
        <f t="shared" si="1"/>
        <v>5</v>
      </c>
    </row>
    <row r="12" spans="1:88" s="1" customFormat="1" ht="13.2">
      <c r="A12" s="798">
        <f>A11+1</f>
        <v>37112</v>
      </c>
      <c r="B12" s="877">
        <v>0</v>
      </c>
      <c r="C12" s="608">
        <v>0</v>
      </c>
      <c r="D12" s="608">
        <v>0</v>
      </c>
      <c r="E12" s="877">
        <v>0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0</v>
      </c>
      <c r="O12" s="608">
        <v>160000</v>
      </c>
      <c r="P12" s="610">
        <f t="shared" si="0"/>
        <v>2400</v>
      </c>
      <c r="Q12" s="608">
        <v>280</v>
      </c>
      <c r="R12" s="608">
        <v>0</v>
      </c>
      <c r="S12" s="608">
        <v>0</v>
      </c>
      <c r="T12" s="607">
        <v>0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607">
        <v>0</v>
      </c>
      <c r="AI12" s="798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617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4" width="8.81640625" style="1" customWidth="1"/>
    <col min="15" max="15" width="9.54296875" style="1" customWidth="1"/>
    <col min="16" max="17" width="8.81640625" style="1" customWidth="1"/>
    <col min="18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759</v>
      </c>
      <c r="P4" s="1198" t="s">
        <v>737</v>
      </c>
      <c r="Q4" s="1019"/>
      <c r="R4" s="56" t="s">
        <v>812</v>
      </c>
      <c r="S4" s="66" t="s">
        <v>53</v>
      </c>
      <c r="U4" s="3" t="s">
        <v>673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757</v>
      </c>
      <c r="N5" s="3" t="s">
        <v>9</v>
      </c>
      <c r="O5" s="3" t="s">
        <v>6</v>
      </c>
      <c r="P5" s="107" t="s">
        <v>735</v>
      </c>
      <c r="Q5" s="1199" t="s">
        <v>736</v>
      </c>
      <c r="R5" s="56" t="s">
        <v>738</v>
      </c>
      <c r="S5" s="66" t="s">
        <v>810</v>
      </c>
      <c r="T5" s="107" t="s">
        <v>637</v>
      </c>
      <c r="U5" s="3" t="s">
        <v>671</v>
      </c>
      <c r="V5" s="3"/>
      <c r="W5" s="59" t="s">
        <v>657</v>
      </c>
      <c r="X5" s="63"/>
      <c r="Y5" s="3"/>
      <c r="Z5" s="3"/>
      <c r="AA5" s="3"/>
      <c r="AD5" s="66" t="s">
        <v>461</v>
      </c>
    </row>
    <row r="6" spans="1:36">
      <c r="B6" s="54" t="s">
        <v>105</v>
      </c>
      <c r="C6" s="54" t="s">
        <v>89</v>
      </c>
      <c r="D6" s="54" t="s">
        <v>385</v>
      </c>
      <c r="E6" s="54" t="s">
        <v>369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618</v>
      </c>
      <c r="L6" s="57" t="s">
        <v>58</v>
      </c>
      <c r="M6" s="54" t="s">
        <v>758</v>
      </c>
      <c r="N6" s="54" t="s">
        <v>9</v>
      </c>
      <c r="O6" s="1026" t="s">
        <v>5</v>
      </c>
      <c r="P6" s="984" t="s">
        <v>87</v>
      </c>
      <c r="Q6" s="984" t="s">
        <v>87</v>
      </c>
      <c r="R6" s="57" t="s">
        <v>813</v>
      </c>
      <c r="S6" s="68" t="s">
        <v>811</v>
      </c>
      <c r="T6" s="984" t="s">
        <v>638</v>
      </c>
      <c r="U6" s="54" t="s">
        <v>672</v>
      </c>
      <c r="V6" s="54" t="s">
        <v>9</v>
      </c>
      <c r="W6" s="1018" t="s">
        <v>661</v>
      </c>
      <c r="X6" s="68" t="s">
        <v>657</v>
      </c>
      <c r="Y6" s="54" t="s">
        <v>66</v>
      </c>
      <c r="Z6" s="54" t="s">
        <v>89</v>
      </c>
      <c r="AA6" s="54" t="s">
        <v>385</v>
      </c>
      <c r="AB6" s="54" t="s">
        <v>36</v>
      </c>
      <c r="AC6" s="54" t="s">
        <v>92</v>
      </c>
      <c r="AD6" s="68" t="s">
        <v>460</v>
      </c>
    </row>
    <row r="7" spans="1:36">
      <c r="A7" s="798">
        <f>Weather_Input!A5</f>
        <v>37107</v>
      </c>
      <c r="B7" s="610">
        <v>0</v>
      </c>
      <c r="C7" s="610">
        <v>0</v>
      </c>
      <c r="D7" s="610">
        <v>0</v>
      </c>
      <c r="E7" s="610">
        <v>0</v>
      </c>
      <c r="F7" s="877">
        <v>0</v>
      </c>
      <c r="G7" s="608">
        <v>1000</v>
      </c>
      <c r="H7" s="608">
        <v>20000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8">
        <v>40000</v>
      </c>
      <c r="S7" s="1269">
        <v>20000</v>
      </c>
      <c r="T7" s="608">
        <v>0</v>
      </c>
      <c r="U7" s="609">
        <v>136836</v>
      </c>
      <c r="V7" s="609">
        <v>0</v>
      </c>
      <c r="W7" s="607">
        <v>0</v>
      </c>
      <c r="X7" s="880">
        <v>96880</v>
      </c>
      <c r="Y7" s="609">
        <v>40418</v>
      </c>
      <c r="Z7" s="1">
        <v>0</v>
      </c>
      <c r="AA7" s="607">
        <v>212361</v>
      </c>
      <c r="AB7" s="607">
        <v>21774</v>
      </c>
      <c r="AC7" s="607">
        <v>2499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37108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20000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8">
        <v>40000</v>
      </c>
      <c r="S8" s="1269">
        <v>20000</v>
      </c>
      <c r="T8" s="608">
        <v>0</v>
      </c>
      <c r="U8" s="609">
        <v>136836</v>
      </c>
      <c r="V8" s="609">
        <v>0</v>
      </c>
      <c r="W8" s="607">
        <v>0</v>
      </c>
      <c r="X8" s="880">
        <v>96880</v>
      </c>
      <c r="Y8" s="609">
        <v>40418</v>
      </c>
      <c r="Z8" s="1">
        <v>0</v>
      </c>
      <c r="AA8" s="607">
        <v>212361</v>
      </c>
      <c r="AB8" s="607">
        <v>21774</v>
      </c>
      <c r="AC8" s="607">
        <v>2499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37109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20000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8">
        <v>40000</v>
      </c>
      <c r="S9" s="1269">
        <v>20000</v>
      </c>
      <c r="T9" s="608">
        <v>0</v>
      </c>
      <c r="U9" s="609">
        <v>136836</v>
      </c>
      <c r="V9" s="609">
        <v>0</v>
      </c>
      <c r="W9" s="607">
        <v>0</v>
      </c>
      <c r="X9" s="880">
        <v>96880</v>
      </c>
      <c r="Y9" s="609">
        <v>10418</v>
      </c>
      <c r="Z9" s="1">
        <v>0</v>
      </c>
      <c r="AA9" s="607">
        <v>242332</v>
      </c>
      <c r="AB9" s="607">
        <v>21774</v>
      </c>
      <c r="AC9" s="607">
        <v>12499</v>
      </c>
      <c r="AD9" s="880">
        <v>0</v>
      </c>
      <c r="AE9" s="798">
        <f t="shared" si="0"/>
        <v>3</v>
      </c>
    </row>
    <row r="10" spans="1:36">
      <c r="A10" s="798">
        <f>A9+1</f>
        <v>37110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20000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8">
        <v>0</v>
      </c>
      <c r="S10" s="1269"/>
      <c r="T10" s="608">
        <v>0</v>
      </c>
      <c r="U10" s="609">
        <v>136836</v>
      </c>
      <c r="V10" s="609">
        <v>0</v>
      </c>
      <c r="W10" s="607">
        <v>0</v>
      </c>
      <c r="X10" s="880">
        <v>96880</v>
      </c>
      <c r="Y10" s="609">
        <v>10418</v>
      </c>
      <c r="Z10" s="1">
        <v>0</v>
      </c>
      <c r="AA10" s="607">
        <v>247332</v>
      </c>
      <c r="AB10" s="607">
        <v>21774</v>
      </c>
      <c r="AC10" s="607">
        <v>12499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37111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20000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8">
        <v>0</v>
      </c>
      <c r="S11" s="1269"/>
      <c r="T11" s="608">
        <v>0</v>
      </c>
      <c r="U11" s="609">
        <v>136836</v>
      </c>
      <c r="V11" s="609">
        <v>0</v>
      </c>
      <c r="W11" s="607">
        <v>0</v>
      </c>
      <c r="X11" s="880">
        <v>96880</v>
      </c>
      <c r="Y11" s="609">
        <v>10418</v>
      </c>
      <c r="Z11" s="1">
        <v>0</v>
      </c>
      <c r="AA11" s="607">
        <v>247332</v>
      </c>
      <c r="AB11" s="607">
        <v>21774</v>
      </c>
      <c r="AC11" s="607">
        <v>12499</v>
      </c>
      <c r="AD11" s="880">
        <v>0</v>
      </c>
      <c r="AE11" s="798">
        <f t="shared" si="0"/>
        <v>5</v>
      </c>
    </row>
    <row r="12" spans="1:36">
      <c r="A12" s="798">
        <f>A11+1</f>
        <v>37112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20000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8">
        <v>0</v>
      </c>
      <c r="S12" s="1269"/>
      <c r="T12" s="608">
        <v>0</v>
      </c>
      <c r="U12" s="609">
        <v>136836</v>
      </c>
      <c r="V12" s="609">
        <v>0</v>
      </c>
      <c r="W12" s="607">
        <v>0</v>
      </c>
      <c r="X12" s="880">
        <v>96880</v>
      </c>
      <c r="Y12" s="609">
        <v>10418</v>
      </c>
      <c r="Z12" s="1">
        <v>0</v>
      </c>
      <c r="AA12" s="607">
        <v>247332</v>
      </c>
      <c r="AB12" s="607">
        <v>21774</v>
      </c>
      <c r="AC12" s="607">
        <v>12499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200"/>
      <c r="S13" s="1267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26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487</v>
      </c>
      <c r="AE5" s="53" t="s">
        <v>9</v>
      </c>
    </row>
    <row r="6" spans="1:128" s="1" customFormat="1" ht="13.2">
      <c r="A6" s="67"/>
      <c r="B6" s="68" t="s">
        <v>369</v>
      </c>
      <c r="C6" s="54" t="s">
        <v>36</v>
      </c>
      <c r="D6" s="54" t="s">
        <v>66</v>
      </c>
      <c r="E6" s="54" t="s">
        <v>89</v>
      </c>
      <c r="F6" s="54" t="s">
        <v>385</v>
      </c>
      <c r="G6" s="57" t="s">
        <v>117</v>
      </c>
      <c r="H6" s="54" t="s">
        <v>618</v>
      </c>
      <c r="I6" s="54" t="s">
        <v>96</v>
      </c>
      <c r="J6" s="54" t="s">
        <v>87</v>
      </c>
      <c r="K6" s="54" t="s">
        <v>509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486</v>
      </c>
    </row>
    <row r="7" spans="1:128" s="1" customFormat="1" ht="13.2">
      <c r="A7" s="799">
        <f>Weather_Input!A5</f>
        <v>37107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7000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37107</v>
      </c>
      <c r="AG7" s="607"/>
      <c r="AH7" s="607"/>
      <c r="AI7" s="607"/>
      <c r="AJ7" s="607"/>
      <c r="AK7" s="607"/>
    </row>
    <row r="8" spans="1:128" s="1" customFormat="1" ht="13.2">
      <c r="A8" s="799">
        <f>Weather_Input!A6</f>
        <v>37108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7000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37108</v>
      </c>
      <c r="AG8" s="607"/>
      <c r="AH8" s="607"/>
      <c r="AI8" s="607"/>
      <c r="AJ8" s="607"/>
      <c r="AK8" s="607"/>
    </row>
    <row r="9" spans="1:128" s="1" customFormat="1" ht="13.2">
      <c r="A9" s="798">
        <f>A8+1</f>
        <v>37109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7000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37109</v>
      </c>
      <c r="AG9" s="607"/>
      <c r="AH9" s="607"/>
      <c r="AI9" s="607"/>
      <c r="AJ9" s="607"/>
      <c r="AK9" s="607"/>
    </row>
    <row r="10" spans="1:128" s="1" customFormat="1" ht="13.2">
      <c r="A10" s="798">
        <f>A9+1</f>
        <v>37110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7000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37110</v>
      </c>
      <c r="AG10" s="607"/>
      <c r="AH10" s="607"/>
      <c r="AI10" s="607"/>
      <c r="AJ10" s="607"/>
      <c r="AK10" s="607"/>
    </row>
    <row r="11" spans="1:128" s="1" customFormat="1" ht="13.2">
      <c r="A11" s="798">
        <f>A10+1</f>
        <v>37111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7000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37111</v>
      </c>
      <c r="AG11" s="607"/>
      <c r="AH11" s="607"/>
      <c r="AI11" s="607"/>
      <c r="AJ11" s="607"/>
      <c r="AK11" s="607"/>
    </row>
    <row r="12" spans="1:128" s="1" customFormat="1" ht="13.2">
      <c r="A12" s="798">
        <f>A11+1</f>
        <v>37112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7000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37112</v>
      </c>
      <c r="AG12" s="607"/>
      <c r="AH12" s="607"/>
      <c r="AI12" s="607"/>
      <c r="AJ12" s="607"/>
      <c r="AK12" s="607"/>
    </row>
    <row r="13" spans="1:128" s="1" customFormat="1" ht="13.2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3.2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09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565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385</v>
      </c>
      <c r="N5" s="3"/>
      <c r="O5" s="3" t="s">
        <v>126</v>
      </c>
      <c r="P5" s="3" t="s">
        <v>126</v>
      </c>
      <c r="Q5" s="3" t="s">
        <v>36</v>
      </c>
      <c r="R5" s="1" t="s">
        <v>488</v>
      </c>
      <c r="T5" s="66"/>
    </row>
    <row r="6" spans="1:23">
      <c r="B6" s="54" t="s">
        <v>369</v>
      </c>
      <c r="C6" s="57" t="s">
        <v>106</v>
      </c>
      <c r="D6" s="54" t="s">
        <v>107</v>
      </c>
      <c r="E6" s="81" t="s">
        <v>87</v>
      </c>
      <c r="F6" s="54" t="s">
        <v>618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494</v>
      </c>
      <c r="N6" s="54" t="s">
        <v>89</v>
      </c>
      <c r="O6" s="81" t="s">
        <v>128</v>
      </c>
      <c r="P6" s="81" t="s">
        <v>567</v>
      </c>
      <c r="Q6" s="54" t="s">
        <v>126</v>
      </c>
      <c r="R6" s="984" t="s">
        <v>36</v>
      </c>
      <c r="S6" s="54" t="s">
        <v>385</v>
      </c>
      <c r="T6" s="68" t="s">
        <v>59</v>
      </c>
    </row>
    <row r="7" spans="1:23">
      <c r="A7" s="798">
        <f>Weather_Input!A5</f>
        <v>37107</v>
      </c>
      <c r="B7" s="610">
        <v>0</v>
      </c>
      <c r="C7" s="611">
        <v>0</v>
      </c>
      <c r="D7" s="610">
        <v>0</v>
      </c>
      <c r="E7" s="610">
        <v>0</v>
      </c>
      <c r="F7" s="610">
        <v>3270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7000</v>
      </c>
      <c r="Q7" s="610">
        <v>24729</v>
      </c>
      <c r="R7" s="610">
        <v>14739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37108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7000</v>
      </c>
      <c r="Q8" s="610">
        <v>24729</v>
      </c>
      <c r="R8" s="610">
        <v>14739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37109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7000</v>
      </c>
      <c r="Q9" s="610">
        <v>24729</v>
      </c>
      <c r="R9" s="610">
        <v>14739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37110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7000</v>
      </c>
      <c r="Q10" s="610">
        <v>24729</v>
      </c>
      <c r="R10" s="610">
        <v>14739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37111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7000</v>
      </c>
      <c r="Q11" s="610">
        <v>24729</v>
      </c>
      <c r="R11" s="610">
        <v>14739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37112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7000</v>
      </c>
      <c r="Q12" s="610">
        <v>24729</v>
      </c>
      <c r="R12" s="610">
        <v>14739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130</v>
      </c>
      <c r="H1" s="802" t="str">
        <f>D3</f>
        <v>SAT</v>
      </c>
      <c r="I1" s="803">
        <f>D4</f>
        <v>37107</v>
      </c>
    </row>
    <row r="2" spans="1:256" ht="18.899999999999999" customHeight="1">
      <c r="A2" s="804" t="s">
        <v>131</v>
      </c>
      <c r="B2" s="805"/>
      <c r="C2" s="805"/>
      <c r="D2" s="805"/>
      <c r="E2" s="805"/>
      <c r="F2" s="805"/>
      <c r="G2" s="805"/>
      <c r="H2" s="805"/>
      <c r="I2" s="806"/>
    </row>
    <row r="3" spans="1:256" ht="18.899999999999999" customHeight="1" thickBot="1">
      <c r="A3" s="807"/>
      <c r="B3" s="805"/>
      <c r="C3" s="805"/>
      <c r="D3" s="808" t="str">
        <f t="shared" ref="D3:I3" si="0">CHOOSE(WEEKDAY(D4),"SUN","MON","TUE","WED","THU","FRI","SAT")</f>
        <v>SAT</v>
      </c>
      <c r="E3" s="808" t="str">
        <f t="shared" si="0"/>
        <v>SUN</v>
      </c>
      <c r="F3" s="808" t="str">
        <f t="shared" si="0"/>
        <v>MON</v>
      </c>
      <c r="G3" s="808" t="str">
        <f t="shared" si="0"/>
        <v>TUE</v>
      </c>
      <c r="H3" s="808" t="str">
        <f t="shared" si="0"/>
        <v>WED</v>
      </c>
      <c r="I3" s="809" t="str">
        <f t="shared" si="0"/>
        <v>THU</v>
      </c>
    </row>
    <row r="4" spans="1:256" ht="18.899999999999999" customHeight="1" thickBot="1">
      <c r="A4" s="810"/>
      <c r="B4" s="811"/>
      <c r="C4" s="811"/>
      <c r="D4" s="449">
        <f>Weather_Input!A5</f>
        <v>37107</v>
      </c>
      <c r="E4" s="449">
        <f>Weather_Input!A6</f>
        <v>37108</v>
      </c>
      <c r="F4" s="449">
        <f>Weather_Input!A7</f>
        <v>37109</v>
      </c>
      <c r="G4" s="449">
        <f>Weather_Input!A8</f>
        <v>37110</v>
      </c>
      <c r="H4" s="449">
        <f>Weather_Input!A9</f>
        <v>37111</v>
      </c>
      <c r="I4" s="450">
        <f>Weather_Input!A10</f>
        <v>37112</v>
      </c>
    </row>
    <row r="5" spans="1:256" ht="18.899999999999999" customHeight="1" thickTop="1">
      <c r="A5" s="814" t="s">
        <v>132</v>
      </c>
      <c r="B5" s="805"/>
      <c r="C5" s="805" t="s">
        <v>133</v>
      </c>
      <c r="D5" s="451" t="str">
        <f>TEXT(Weather_Input!B5,"0")&amp;"/"&amp;TEXT(Weather_Input!C5,"0") &amp; "/" &amp; TEXT((Weather_Input!B5+Weather_Input!C5)/2,"0")</f>
        <v>86/66/76</v>
      </c>
      <c r="E5" s="451" t="str">
        <f>TEXT(Weather_Input!B6,"0")&amp;"/"&amp;TEXT(Weather_Input!C6,"0") &amp; "/" &amp; TEXT((Weather_Input!B6+Weather_Input!C6)/2,"0")</f>
        <v>92/70/81</v>
      </c>
      <c r="F5" s="451" t="str">
        <f>TEXT(Weather_Input!B7,"0")&amp;"/"&amp;TEXT(Weather_Input!C7,"0") &amp; "/" &amp; TEXT((Weather_Input!B7+Weather_Input!C7)/2,"0")</f>
        <v>92/72/82</v>
      </c>
      <c r="G5" s="451" t="str">
        <f>TEXT(Weather_Input!B8,"0")&amp;"/"&amp;TEXT(Weather_Input!C8,"0") &amp; "/" &amp; TEXT((Weather_Input!B8+Weather_Input!C8)/2,"0")</f>
        <v>93/74/84</v>
      </c>
      <c r="H5" s="451" t="str">
        <f>TEXT(Weather_Input!B9,"0")&amp;"/"&amp;TEXT(Weather_Input!C9,"0") &amp; "/" &amp; TEXT((Weather_Input!B9+Weather_Input!C9)/2,"0")</f>
        <v>93/72/83</v>
      </c>
      <c r="I5" s="452" t="str">
        <f>TEXT(Weather_Input!B10,"0")&amp;"/"&amp;TEXT(Weather_Input!C10,"0") &amp; "/" &amp; TEXT((Weather_Input!B10+Weather_Input!C10)/2,"0")</f>
        <v>93/72/83</v>
      </c>
    </row>
    <row r="6" spans="1:256" ht="18.899999999999999" customHeight="1">
      <c r="A6" s="817" t="s">
        <v>134</v>
      </c>
      <c r="B6" s="805"/>
      <c r="C6" s="805"/>
      <c r="D6" s="451">
        <f>PGL_Deliveries!C5/1000</f>
        <v>168</v>
      </c>
      <c r="E6" s="451">
        <f>PGL_Deliveries!C6/1000</f>
        <v>180</v>
      </c>
      <c r="F6" s="451">
        <f>PGL_Deliveries!C7/1000</f>
        <v>195</v>
      </c>
      <c r="G6" s="451">
        <f>PGL_Deliveries!C8/1000</f>
        <v>195</v>
      </c>
      <c r="H6" s="451">
        <f>PGL_Deliveries!C9/1000</f>
        <v>195</v>
      </c>
      <c r="I6" s="452">
        <f>PGL_Deliveries!C10/1000</f>
        <v>195</v>
      </c>
    </row>
    <row r="7" spans="1:256" ht="18.899999999999999" customHeight="1">
      <c r="A7" s="817" t="s">
        <v>516</v>
      </c>
      <c r="B7" s="805" t="s">
        <v>9</v>
      </c>
      <c r="C7" s="805"/>
      <c r="D7" s="451">
        <f>PGL_Requirements!G7/1000*0.5</f>
        <v>0</v>
      </c>
      <c r="E7" s="451">
        <f>PGL_Requirements!G8/1000*0.5</f>
        <v>5.4139999999999997</v>
      </c>
      <c r="F7" s="451">
        <f>PGL_Requirements!G9/1000*0.5</f>
        <v>43.55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899999999999999" customHeight="1">
      <c r="A8" s="817" t="s">
        <v>729</v>
      </c>
      <c r="B8" s="805"/>
      <c r="C8" s="805"/>
      <c r="D8" s="451">
        <f>PGL_Requirements!J7/1000</f>
        <v>0</v>
      </c>
      <c r="E8" s="451">
        <f>PGL_Requirements!J8/1000</f>
        <v>20</v>
      </c>
      <c r="F8" s="451">
        <f>PGL_Requirements!J9/1000</f>
        <v>85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899999999999999" customHeight="1">
      <c r="A9" s="814" t="s">
        <v>730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899999999999999" customHeight="1">
      <c r="A10" s="814" t="s">
        <v>745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899999999999999" customHeight="1">
      <c r="A11" s="814" t="s">
        <v>138</v>
      </c>
      <c r="B11" s="805" t="s">
        <v>139</v>
      </c>
      <c r="C11" s="805" t="s">
        <v>58</v>
      </c>
      <c r="D11" s="451">
        <f>PGL_Requirements!O7/1000</f>
        <v>177</v>
      </c>
      <c r="E11" s="451">
        <f>PGL_Requirements!O8/1000</f>
        <v>160</v>
      </c>
      <c r="F11" s="451">
        <f>PGL_Requirements!O9/1000</f>
        <v>160</v>
      </c>
      <c r="G11" s="451">
        <f>PGL_Requirements!O10/1000</f>
        <v>160</v>
      </c>
      <c r="H11" s="451">
        <f>PGL_Requirements!O11/1000</f>
        <v>160</v>
      </c>
      <c r="I11" s="452">
        <f>PGL_Requirements!O12/1000</f>
        <v>160</v>
      </c>
    </row>
    <row r="12" spans="1:256" ht="18.899999999999999" customHeight="1">
      <c r="A12" s="814"/>
      <c r="B12" s="805"/>
      <c r="C12" s="805" t="s">
        <v>97</v>
      </c>
      <c r="D12" s="451">
        <f>PGL_Requirements!P7/1000</f>
        <v>2.6549999999999998</v>
      </c>
      <c r="E12" s="451">
        <f>PGL_Requirements!P8/1000</f>
        <v>2.4</v>
      </c>
      <c r="F12" s="451">
        <f>PGL_Requirements!P9/1000</f>
        <v>2.4</v>
      </c>
      <c r="G12" s="451">
        <f>PGL_Requirements!P10/1000</f>
        <v>2.4</v>
      </c>
      <c r="H12" s="451">
        <f>PGL_Requirements!P11/1000</f>
        <v>2.4</v>
      </c>
      <c r="I12" s="452">
        <f>PGL_Requirements!P12/1000</f>
        <v>2.4</v>
      </c>
    </row>
    <row r="13" spans="1:256" ht="18.899999999999999" customHeight="1">
      <c r="A13" s="814"/>
      <c r="C13" s="805" t="s">
        <v>652</v>
      </c>
      <c r="D13" s="451">
        <f>PGL_Requirements!Q7/1000</f>
        <v>0.28000000000000003</v>
      </c>
      <c r="E13" s="451">
        <f>PGL_Requirements!Q8/1000</f>
        <v>0.28000000000000003</v>
      </c>
      <c r="F13" s="451">
        <f>PGL_Requirements!Q9/1000</f>
        <v>0.28000000000000003</v>
      </c>
      <c r="G13" s="451">
        <f>PGL_Requirements!Q10/1000</f>
        <v>0.28000000000000003</v>
      </c>
      <c r="H13" s="451">
        <f>PGL_Requirements!Q11/1000</f>
        <v>0.28000000000000003</v>
      </c>
      <c r="I13" s="452">
        <f>PGL_Requirements!Q12/1000</f>
        <v>0.28000000000000003</v>
      </c>
    </row>
    <row r="14" spans="1:256" ht="18.899999999999999" customHeight="1">
      <c r="A14" s="814"/>
      <c r="C14" s="805" t="s">
        <v>677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899999999999999" customHeight="1">
      <c r="A15" s="814"/>
      <c r="B15" s="805" t="s">
        <v>137</v>
      </c>
      <c r="C15" s="805" t="s">
        <v>732</v>
      </c>
      <c r="D15" s="451">
        <f>PGL_Requirements!T7/1000</f>
        <v>38.917999999999999</v>
      </c>
      <c r="E15" s="451">
        <f>PGL_Requirements!T8/1000</f>
        <v>39.417999999999999</v>
      </c>
      <c r="F15" s="451">
        <f>PGL_Requirements!T9/1000</f>
        <v>0</v>
      </c>
      <c r="G15" s="451">
        <f>PGL_Requirements!T10/1000</f>
        <v>0</v>
      </c>
      <c r="H15" s="451">
        <f>PGL_Requirements!T11/1000</f>
        <v>0</v>
      </c>
      <c r="I15" s="452">
        <f>PGL_Requirements!T12/1000</f>
        <v>0</v>
      </c>
    </row>
    <row r="16" spans="1:256" ht="18.899999999999999" customHeight="1">
      <c r="A16" s="814"/>
      <c r="B16" s="805"/>
      <c r="C16" s="805" t="s">
        <v>734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899999999999999" customHeight="1">
      <c r="A17" s="814"/>
      <c r="B17" s="805" t="s">
        <v>135</v>
      </c>
      <c r="C17" s="805" t="s">
        <v>87</v>
      </c>
      <c r="D17" s="451">
        <f>PGL_Requirements!N7/1000</f>
        <v>8.3000000000000007</v>
      </c>
      <c r="E17" s="451">
        <f>PGL_Requirements!N8/1000</f>
        <v>11</v>
      </c>
      <c r="F17" s="451">
        <f>PGL_Requirements!N9/1000</f>
        <v>0</v>
      </c>
      <c r="G17" s="451">
        <f>PGL_Requirements!N10/1000</f>
        <v>0</v>
      </c>
      <c r="H17" s="451">
        <f>PGL_Requirements!N11/1000</f>
        <v>0</v>
      </c>
      <c r="I17" s="452">
        <f>PGL_Requirements!N12/1000</f>
        <v>0</v>
      </c>
    </row>
    <row r="18" spans="1:10" ht="18.899999999999999" customHeight="1">
      <c r="A18" s="814" t="s">
        <v>755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899999999999999" customHeight="1">
      <c r="A19" s="814" t="s">
        <v>742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899999999999999" customHeight="1">
      <c r="A20" s="817" t="s">
        <v>141</v>
      </c>
      <c r="B20" s="805"/>
      <c r="C20" s="805"/>
      <c r="D20" s="451">
        <f>PGL_Requirements!F7/1000</f>
        <v>2.68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899999999999999" customHeight="1">
      <c r="A21" s="814" t="s">
        <v>142</v>
      </c>
      <c r="B21" s="805" t="s">
        <v>667</v>
      </c>
      <c r="C21" s="805"/>
      <c r="D21" s="451">
        <f>PGL_Requirements!I7/1000</f>
        <v>5.3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899999999999999" customHeight="1">
      <c r="A22" s="814"/>
      <c r="B22" s="805" t="s">
        <v>89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899999999999999" customHeight="1">
      <c r="A23" s="814"/>
      <c r="B23" s="805" t="s">
        <v>385</v>
      </c>
      <c r="C23" s="805"/>
      <c r="D23" s="451">
        <f>PGL_Requirements!D7/1000</f>
        <v>9.3000000000000007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899999999999999" customHeight="1">
      <c r="A24" s="814"/>
      <c r="B24" s="805" t="s">
        <v>92</v>
      </c>
      <c r="C24" s="805"/>
      <c r="D24" s="453">
        <f>PGL_Requirements!E7/1000</f>
        <v>2.4990000000000001</v>
      </c>
      <c r="E24" s="453">
        <f>PGL_Requirements!E8/1000</f>
        <v>2.4990000000000001</v>
      </c>
      <c r="F24" s="453">
        <f>PGL_Requirements!E9/1000</f>
        <v>0</v>
      </c>
      <c r="G24" s="453">
        <f>PGL_Requirements!E10/1000</f>
        <v>0</v>
      </c>
      <c r="H24" s="453">
        <f>PGL_Requirements!E11/1000</f>
        <v>0</v>
      </c>
      <c r="I24" s="454">
        <f>PGL_Requirements!E12/1000</f>
        <v>0</v>
      </c>
    </row>
    <row r="25" spans="1:10" ht="18.899999999999999" customHeight="1" thickBot="1">
      <c r="A25" s="822" t="s">
        <v>143</v>
      </c>
      <c r="B25" s="823"/>
      <c r="C25" s="823"/>
      <c r="D25" s="455">
        <f t="shared" ref="D25:I25" si="1">SUM(D6:D24)</f>
        <v>414.93200000000002</v>
      </c>
      <c r="E25" s="455">
        <f t="shared" si="1"/>
        <v>421.01099999999997</v>
      </c>
      <c r="F25" s="455">
        <f t="shared" si="1"/>
        <v>486.22999999999996</v>
      </c>
      <c r="G25" s="455">
        <f t="shared" si="1"/>
        <v>357.67999999999995</v>
      </c>
      <c r="H25" s="455">
        <f t="shared" si="1"/>
        <v>357.67999999999995</v>
      </c>
      <c r="I25" s="1061">
        <f t="shared" si="1"/>
        <v>357.67999999999995</v>
      </c>
    </row>
    <row r="26" spans="1:10" ht="18.899999999999999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899999999999999" customHeight="1" thickTop="1" thickBot="1">
      <c r="A27" s="827" t="s">
        <v>144</v>
      </c>
      <c r="B27" s="828"/>
      <c r="C27" s="828"/>
      <c r="D27" s="459"/>
      <c r="E27" s="460"/>
      <c r="F27" s="460"/>
      <c r="G27" s="460"/>
      <c r="H27" s="460"/>
      <c r="I27" s="1062"/>
    </row>
    <row r="28" spans="1:10" ht="18.899999999999999" customHeight="1" thickTop="1">
      <c r="A28" s="814" t="s">
        <v>145</v>
      </c>
      <c r="B28" s="805" t="s">
        <v>139</v>
      </c>
      <c r="C28" s="805" t="s">
        <v>58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899999999999999" customHeight="1">
      <c r="A29" s="814"/>
      <c r="B29" s="805"/>
      <c r="C29" s="805" t="s">
        <v>90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899999999999999" customHeight="1">
      <c r="A30" s="814"/>
      <c r="B30" s="805"/>
      <c r="C30" s="805" t="s">
        <v>59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899999999999999" customHeight="1">
      <c r="A31" s="814"/>
      <c r="B31" s="805" t="s">
        <v>137</v>
      </c>
      <c r="C31" s="805" t="s">
        <v>732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899999999999999" customHeight="1">
      <c r="A32" s="814"/>
      <c r="B32" s="805"/>
      <c r="C32" s="805" t="s">
        <v>734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899999999999999" customHeight="1">
      <c r="A33" s="814"/>
      <c r="B33" s="805" t="s">
        <v>135</v>
      </c>
      <c r="C33" s="805" t="s">
        <v>87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899999999999999" customHeight="1">
      <c r="A34" s="814" t="s">
        <v>756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899999999999999" customHeight="1">
      <c r="A35" s="817" t="s">
        <v>636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899999999999999" customHeight="1">
      <c r="A36" s="817" t="s">
        <v>731</v>
      </c>
      <c r="B36" s="805" t="s">
        <v>385</v>
      </c>
      <c r="C36" s="805"/>
      <c r="D36" s="451">
        <f>PGL_Supplies!S7/1000</f>
        <v>20</v>
      </c>
      <c r="E36" s="451">
        <f>PGL_Supplies!S8/1000</f>
        <v>20</v>
      </c>
      <c r="F36" s="451">
        <f>PGL_Supplies!S9/1000</f>
        <v>20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899999999999999" customHeight="1">
      <c r="A37" s="831" t="s">
        <v>674</v>
      </c>
      <c r="B37" s="805" t="s">
        <v>658</v>
      </c>
      <c r="C37" s="805"/>
      <c r="D37" s="451">
        <f>PGL_Supplies!X7/1000</f>
        <v>96.88</v>
      </c>
      <c r="E37" s="451">
        <f>PGL_Supplies!X8/1000</f>
        <v>96.88</v>
      </c>
      <c r="F37" s="451">
        <f>PGL_Supplies!X9/1000</f>
        <v>96.88</v>
      </c>
      <c r="G37" s="451">
        <f>PGL_Supplies!X10/1000</f>
        <v>96.88</v>
      </c>
      <c r="H37" s="451">
        <f>PGL_Supplies!X11/1000</f>
        <v>96.88</v>
      </c>
      <c r="I37" s="452">
        <f>PGL_Supplies!X12/1000</f>
        <v>96.88</v>
      </c>
    </row>
    <row r="38" spans="1:10" ht="18.899999999999999" customHeight="1">
      <c r="A38" s="817"/>
      <c r="B38" s="805" t="s">
        <v>137</v>
      </c>
      <c r="C38" s="818"/>
      <c r="D38" s="451">
        <f>PGL_Supplies!Y7/1000</f>
        <v>40.417999999999999</v>
      </c>
      <c r="E38" s="451">
        <f>PGL_Supplies!Y8/1000</f>
        <v>40.417999999999999</v>
      </c>
      <c r="F38" s="451">
        <f>PGL_Supplies!Y9/1000</f>
        <v>10.417999999999999</v>
      </c>
      <c r="G38" s="451">
        <f>PGL_Supplies!Y10/1000</f>
        <v>10.417999999999999</v>
      </c>
      <c r="H38" s="451">
        <f>PGL_Supplies!Y11/1000</f>
        <v>10.417999999999999</v>
      </c>
      <c r="I38" s="452">
        <f>PGL_Supplies!Y12/1000</f>
        <v>10.417999999999999</v>
      </c>
    </row>
    <row r="39" spans="1:10" ht="18.899999999999999" customHeight="1">
      <c r="A39" s="817"/>
      <c r="B39" s="805" t="s">
        <v>140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899999999999999" customHeight="1">
      <c r="A40" s="817"/>
      <c r="B40" s="805" t="s">
        <v>385</v>
      </c>
      <c r="C40" s="818"/>
      <c r="D40" s="451">
        <f>PGL_Supplies!AA7/1000</f>
        <v>212.36099999999999</v>
      </c>
      <c r="E40" s="451">
        <f>PGL_Supplies!AA8/1000</f>
        <v>212.36099999999999</v>
      </c>
      <c r="F40" s="451">
        <f>PGL_Supplies!AA9/1000</f>
        <v>242.33199999999999</v>
      </c>
      <c r="G40" s="451">
        <f>PGL_Supplies!AA10/1000</f>
        <v>247.33199999999999</v>
      </c>
      <c r="H40" s="451">
        <f>PGL_Supplies!AA11/1000</f>
        <v>247.33199999999999</v>
      </c>
      <c r="I40" s="452">
        <f>PGL_Supplies!AA12/1000</f>
        <v>247.33199999999999</v>
      </c>
    </row>
    <row r="41" spans="1:10" ht="18.899999999999999" customHeight="1">
      <c r="A41" s="817"/>
      <c r="B41" s="805" t="s">
        <v>135</v>
      </c>
      <c r="C41" s="805"/>
      <c r="D41" s="451">
        <f>PGL_Supplies!AB7/1000</f>
        <v>21.774000000000001</v>
      </c>
      <c r="E41" s="451">
        <f>PGL_Supplies!AB8/1000</f>
        <v>21.774000000000001</v>
      </c>
      <c r="F41" s="451">
        <f>PGL_Supplies!AB9/1000</f>
        <v>21.774000000000001</v>
      </c>
      <c r="G41" s="451">
        <f>PGL_Supplies!AB10/1000</f>
        <v>21.774000000000001</v>
      </c>
      <c r="H41" s="451">
        <f>PGL_Supplies!AB11/1000</f>
        <v>21.774000000000001</v>
      </c>
      <c r="I41" s="452">
        <f>PGL_Supplies!AB12/1000</f>
        <v>21.774000000000001</v>
      </c>
    </row>
    <row r="42" spans="1:10" ht="18.899999999999999" customHeight="1">
      <c r="A42" s="817"/>
      <c r="B42" s="805" t="s">
        <v>136</v>
      </c>
      <c r="C42" s="805"/>
      <c r="D42" s="451">
        <f>PGL_Supplies!AC7/1000</f>
        <v>2.4990000000000001</v>
      </c>
      <c r="E42" s="451">
        <f>PGL_Supplies!AC8/1000</f>
        <v>2.4990000000000001</v>
      </c>
      <c r="F42" s="451">
        <f>PGL_Supplies!AC9/1000</f>
        <v>12.499000000000001</v>
      </c>
      <c r="G42" s="451">
        <f>PGL_Supplies!AC10/1000</f>
        <v>12.499000000000001</v>
      </c>
      <c r="H42" s="451">
        <f>PGL_Supplies!AC11/1000</f>
        <v>12.499000000000001</v>
      </c>
      <c r="I42" s="452">
        <f>PGL_Supplies!AC12/1000</f>
        <v>12.499000000000001</v>
      </c>
    </row>
    <row r="43" spans="1:10" ht="18.899999999999999" customHeight="1">
      <c r="A43" s="831"/>
      <c r="B43" s="805" t="s">
        <v>147</v>
      </c>
      <c r="C43" s="805"/>
      <c r="D43" s="451">
        <f>PGL_Supplies!H7/1000</f>
        <v>20</v>
      </c>
      <c r="E43" s="451">
        <f>PGL_Supplies!H8/1000</f>
        <v>20</v>
      </c>
      <c r="F43" s="451">
        <f>PGL_Supplies!H9/1000</f>
        <v>20</v>
      </c>
      <c r="G43" s="451">
        <f>PGL_Supplies!H10/1000</f>
        <v>20</v>
      </c>
      <c r="H43" s="451">
        <f>PGL_Supplies!H11/1000</f>
        <v>20</v>
      </c>
      <c r="I43" s="452">
        <f>PGL_Supplies!H12/1000</f>
        <v>20</v>
      </c>
      <c r="J43" s="111" t="s">
        <v>9</v>
      </c>
    </row>
    <row r="44" spans="1:10" ht="18.899999999999999" customHeight="1">
      <c r="A44" s="814"/>
      <c r="B44" s="805" t="s">
        <v>148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899999999999999" customHeight="1">
      <c r="A45" s="817" t="s">
        <v>685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899999999999999" customHeight="1">
      <c r="A46" s="814" t="s">
        <v>666</v>
      </c>
      <c r="B46" s="805" t="s">
        <v>658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899999999999999" customHeight="1">
      <c r="A47" s="814"/>
      <c r="B47" s="819" t="s">
        <v>140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899999999999999" customHeight="1">
      <c r="A48" s="814"/>
      <c r="B48" s="805" t="s">
        <v>385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899999999999999" customHeight="1">
      <c r="A49" s="832"/>
      <c r="B49" s="833" t="s">
        <v>136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899999999999999" customHeight="1" thickBot="1">
      <c r="A50" s="834" t="s">
        <v>149</v>
      </c>
      <c r="B50" s="835"/>
      <c r="C50" s="835"/>
      <c r="D50" s="461">
        <f t="shared" ref="D50:I50" si="2">SUM(D28:D49)</f>
        <v>414.93200000000002</v>
      </c>
      <c r="E50" s="461">
        <f t="shared" si="2"/>
        <v>414.93200000000002</v>
      </c>
      <c r="F50" s="461">
        <f t="shared" si="2"/>
        <v>424.90300000000002</v>
      </c>
      <c r="G50" s="461">
        <f t="shared" si="2"/>
        <v>409.90300000000002</v>
      </c>
      <c r="H50" s="461">
        <f t="shared" si="2"/>
        <v>409.90300000000002</v>
      </c>
      <c r="I50" s="1063">
        <f t="shared" si="2"/>
        <v>409.90300000000002</v>
      </c>
    </row>
    <row r="51" spans="1:9" ht="18.899999999999999" customHeight="1">
      <c r="A51" s="836" t="s">
        <v>150</v>
      </c>
      <c r="B51" s="837"/>
      <c r="C51" s="837"/>
      <c r="D51" s="462">
        <f t="shared" ref="D51:I51" si="3">IF(D50-D25&lt;0,0,D50-D25)</f>
        <v>0</v>
      </c>
      <c r="E51" s="462">
        <f t="shared" si="3"/>
        <v>0</v>
      </c>
      <c r="F51" s="462">
        <f t="shared" si="3"/>
        <v>0</v>
      </c>
      <c r="G51" s="462">
        <f t="shared" si="3"/>
        <v>52.22300000000007</v>
      </c>
      <c r="H51" s="462">
        <f t="shared" si="3"/>
        <v>52.22300000000007</v>
      </c>
      <c r="I51" s="1064">
        <f t="shared" si="3"/>
        <v>52.22300000000007</v>
      </c>
    </row>
    <row r="52" spans="1:9" ht="18.899999999999999" customHeight="1" thickBot="1">
      <c r="A52" s="838" t="s">
        <v>151</v>
      </c>
      <c r="B52" s="823"/>
      <c r="C52" s="839"/>
      <c r="D52" s="463">
        <f t="shared" ref="D52:I52" si="4">IF(D25-D50&lt;0,0,D25-D50)</f>
        <v>0</v>
      </c>
      <c r="E52" s="463">
        <f t="shared" si="4"/>
        <v>6.0789999999999509</v>
      </c>
      <c r="F52" s="463">
        <f t="shared" si="4"/>
        <v>61.326999999999941</v>
      </c>
      <c r="G52" s="463">
        <f t="shared" si="4"/>
        <v>0</v>
      </c>
      <c r="H52" s="463">
        <f t="shared" si="4"/>
        <v>0</v>
      </c>
      <c r="I52" s="1065">
        <f t="shared" si="4"/>
        <v>0</v>
      </c>
    </row>
    <row r="53" spans="1:9" ht="18.899999999999999" customHeight="1" thickTop="1" thickBot="1">
      <c r="A53" s="1052" t="s">
        <v>676</v>
      </c>
      <c r="B53" s="1053"/>
      <c r="C53" s="1053"/>
      <c r="D53" s="1054">
        <f>PGL_Supplies!U7/1000</f>
        <v>136.83600000000001</v>
      </c>
      <c r="E53" s="1054">
        <f>PGL_Supplies!U8/1000</f>
        <v>136.83600000000001</v>
      </c>
      <c r="F53" s="1054">
        <f>PGL_Supplies!U9/1000</f>
        <v>136.83600000000001</v>
      </c>
      <c r="G53" s="1054">
        <f>PGL_Supplies!U10/1000</f>
        <v>136.83600000000001</v>
      </c>
      <c r="H53" s="1054">
        <f>PGL_Supplies!U11/1000</f>
        <v>136.83600000000001</v>
      </c>
      <c r="I53" s="1055">
        <f>PGL_Supplies!U12/1000</f>
        <v>136.83600000000001</v>
      </c>
    </row>
    <row r="54" spans="1:9" ht="18.899999999999999" customHeight="1" thickTop="1"/>
    <row r="56" spans="1:9">
      <c r="C56" s="111" t="s">
        <v>692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2001-08-05T08:57:32Z</cp:lastPrinted>
  <dcterms:created xsi:type="dcterms:W3CDTF">1997-07-16T16:14:22Z</dcterms:created>
  <dcterms:modified xsi:type="dcterms:W3CDTF">2023-09-10T11:13:15Z</dcterms:modified>
</cp:coreProperties>
</file>