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X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<sst xmlns="http://schemas.openxmlformats.org/spreadsheetml/2006/main" count="2074" uniqueCount="819">
  <si>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</si>
  <si>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</si>
  <si>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</si>
  <si>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</si>
  <si>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</si>
  <si>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</si>
  <si>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</si>
  <si>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</si>
  <si>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</si>
  <si>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</si>
  <si>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</si>
  <si>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</si>
  <si>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</si>
  <si>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</si>
  <si>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</si>
  <si>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</si>
  <si>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</si>
  <si>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</si>
  <si>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</si>
  <si>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</si>
  <si>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</si>
  <si>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</si>
  <si>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</si>
  <si>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</si>
  <si>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</si>
  <si>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</si>
  <si>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</si>
  <si>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</si>
  <si>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</si>
  <si>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</si>
  <si>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</si>
  <si>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</si>
  <si>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</si>
  <si>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</si>
  <si>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</si>
  <si>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</si>
  <si>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</si>
  <si>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</si>
  <si>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</si>
  <si>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</si>
  <si>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</si>
  <si>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</si>
  <si>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</si>
  <si>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</si>
  <si>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</si>
  <si>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</si>
  <si>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</si>
  <si>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</si>
  <si>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</si>
  <si>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</si>
  <si>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</si>
  <si>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</si>
  <si>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</si>
  <si>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</si>
  <si>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</si>
  <si>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</si>
  <si>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</si>
  <si>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</si>
  <si>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</si>
  <si>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</si>
  <si>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</si>
  <si>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</si>
  <si>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</si>
  <si>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</si>
  <si>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</si>
  <si>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</si>
  <si>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</si>
  <si>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</si>
  <si>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</si>
  <si>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</si>
  <si>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</si>
  <si>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</si>
  <si>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</si>
  <si>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</si>
  <si>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</si>
  <si>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</si>
  <si>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</si>
  <si>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</si>
  <si>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</si>
  <si>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</si>
  <si>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</si>
  <si>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</si>
  <si>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</si>
  <si>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</si>
  <si>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</si>
  <si>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</si>
  <si>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</si>
  <si>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</si>
  <si>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</si>
  <si>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</si>
  <si>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</si>
  <si>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</si>
  <si>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</si>
  <si>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</si>
  <si>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</si>
  <si>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</si>
  <si>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</si>
  <si>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</si>
  <si>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</si>
  <si>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</si>
  <si>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</si>
  <si>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</si>
  <si>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</si>
  <si>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</si>
  <si>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</si>
  <si>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</si>
  <si>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</si>
  <si>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</si>
  <si>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</si>
  <si>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</si>
  <si>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</si>
  <si>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</si>
  <si>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</si>
  <si>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</si>
  <si>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</si>
  <si>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</si>
  <si>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</si>
  <si>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</si>
  <si>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</si>
  <si>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</si>
  <si>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</si>
  <si>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</si>
  <si>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</si>
  <si>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</si>
  <si>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</si>
  <si>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</si>
  <si>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</si>
  <si>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</si>
  <si>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</si>
  <si>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</si>
  <si>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</si>
  <si>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</si>
  <si>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</si>
  <si>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</si>
  <si>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</si>
  <si>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</si>
  <si>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</si>
  <si>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</si>
  <si>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</si>
  <si>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</si>
  <si>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</si>
  <si>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</si>
  <si>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</si>
  <si>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</si>
  <si>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</si>
  <si>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</si>
  <si>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</si>
  <si>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</si>
  <si>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</si>
  <si>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</si>
  <si>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</si>
  <si>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</si>
  <si>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</si>
  <si>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</si>
  <si>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</si>
  <si>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</si>
  <si>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</si>
  <si>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</si>
  <si>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</si>
  <si>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</si>
  <si>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</si>
  <si>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</si>
  <si>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</si>
  <si>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</si>
  <si>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</si>
  <si>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</si>
  <si>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</si>
  <si>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</si>
  <si>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</si>
  <si>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</si>
  <si>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</si>
  <si>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</si>
  <si>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</si>
  <si>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</si>
  <si>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</si>
  <si>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</si>
  <si>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</si>
  <si>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</si>
  <si>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</si>
  <si>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</si>
  <si>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</si>
  <si>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</si>
  <si>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</si>
  <si>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</si>
  <si>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</si>
  <si>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</si>
  <si>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</si>
  <si>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</si>
  <si>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</si>
  <si>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</si>
  <si>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</si>
  <si>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</si>
  <si>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</si>
  <si>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</si>
  <si>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</si>
  <si>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</si>
  <si>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</si>
  <si>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</si>
  <si>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</si>
  <si>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</si>
  <si>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</si>
  <si>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</si>
  <si>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</si>
  <si>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</si>
  <si>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</si>
  <si>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</si>
  <si>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</si>
  <si>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</si>
  <si>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</si>
  <si>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</si>
  <si>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</si>
  <si>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</si>
  <si>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</si>
  <si>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</si>
  <si>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</si>
  <si>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</si>
  <si>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</si>
  <si>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</si>
  <si>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</si>
  <si>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</si>
  <si>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</si>
  <si>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</si>
  <si>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</si>
  <si>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</si>
  <si>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</si>
  <si>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</si>
  <si>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</si>
  <si>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</si>
  <si>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</si>
  <si>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</si>
  <si>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</si>
  <si>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</si>
  <si>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</si>
  <si>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</si>
  <si>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</si>
  <si>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</si>
  <si>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</si>
  <si>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</si>
  <si>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</si>
  <si>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</si>
  <si>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</si>
  <si>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</si>
  <si>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</si>
  <si>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</si>
  <si>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</si>
  <si>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</si>
  <si>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</si>
  <si>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</si>
  <si>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</si>
  <si>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</si>
  <si>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</si>
  <si>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</si>
  <si>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</si>
  <si>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</si>
  <si>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</si>
  <si>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</si>
  <si>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</si>
  <si>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</si>
  <si>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</si>
  <si>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</si>
  <si>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</si>
  <si>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</si>
  <si>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</si>
  <si>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</si>
  <si>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</si>
  <si>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</si>
  <si>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</si>
  <si>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</si>
  <si>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</si>
  <si>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</si>
  <si>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</si>
  <si>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</si>
  <si>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</si>
  <si>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</si>
  <si>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</si>
  <si>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</si>
  <si>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</si>
  <si>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</si>
  <si>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</si>
  <si>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</si>
  <si>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</si>
  <si>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</si>
  <si>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</si>
  <si>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</si>
  <si>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</si>
  <si>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</si>
  <si>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</si>
  <si>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</si>
  <si>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</si>
  <si>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</si>
  <si>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</si>
  <si>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</si>
  <si>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</si>
  <si>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</si>
  <si>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</si>
  <si>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</si>
  <si>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</si>
  <si>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</si>
  <si>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</si>
  <si>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</si>
  <si>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</si>
  <si>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</si>
  <si>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</si>
  <si>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</si>
  <si>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</si>
  <si>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</si>
  <si>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</si>
  <si>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</si>
  <si>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</si>
  <si>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</si>
  <si>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</si>
  <si>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</si>
  <si>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</si>
  <si>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</si>
  <si>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</si>
  <si>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</si>
  <si>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</si>
  <si>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</si>
  <si>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</si>
  <si>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</si>
  <si>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</si>
  <si>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</si>
  <si>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</si>
  <si>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</si>
  <si>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</si>
  <si>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</si>
  <si>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</si>
  <si>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</si>
  <si>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</si>
  <si>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</si>
  <si>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</si>
  <si>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</si>
  <si>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</si>
  <si>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</si>
  <si>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</si>
  <si>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</si>
  <si>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</si>
  <si>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</si>
  <si>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</si>
  <si>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</si>
  <si>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</si>
  <si>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</si>
  <si>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</si>
  <si>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</si>
  <si>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</si>
  <si>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</si>
  <si>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</si>
  <si>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</si>
  <si>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</si>
  <si>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</si>
  <si>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</si>
  <si>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</si>
  <si>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</si>
  <si>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</si>
  <si>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</si>
  <si>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</si>
  <si>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</si>
  <si>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</si>
  <si>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</si>
  <si>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</si>
  <si>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</si>
  <si>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</si>
  <si>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</si>
  <si>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</si>
  <si>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</si>
  <si>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</si>
  <si>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</si>
  <si>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</si>
  <si>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</si>
  <si>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</si>
  <si>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</si>
  <si>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</si>
  <si>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</si>
  <si>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</si>
  <si>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</si>
  <si>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</si>
  <si>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</si>
  <si>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</si>
  <si>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</si>
  <si>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</si>
  <si>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</si>
  <si>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</si>
  <si>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</si>
  <si>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</si>
  <si>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</si>
  <si>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</si>
  <si>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</si>
  <si>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</si>
  <si>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</si>
  <si>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</si>
  <si>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</si>
  <si>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</si>
  <si>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</si>
  <si>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</si>
  <si>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</si>
  <si>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</si>
  <si>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</si>
  <si>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</si>
  <si>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</si>
  <si>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</si>
  <si>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</si>
  <si>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</si>
  <si>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</si>
  <si>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</si>
  <si>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</si>
  <si>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</si>
  <si>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</si>
  <si>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</si>
  <si>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</si>
  <si>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</si>
  <si>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</si>
  <si>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</si>
  <si>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</si>
  <si>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</si>
  <si>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</si>
  <si>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</si>
  <si>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</si>
  <si>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</si>
  <si>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</si>
  <si>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</si>
  <si>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</si>
  <si>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</si>
  <si>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</si>
  <si>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</si>
  <si>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</si>
  <si>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</si>
  <si>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</si>
  <si>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</si>
  <si>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</si>
  <si>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</si>
  <si>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</si>
  <si>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</si>
  <si>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</si>
  <si>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</si>
  <si>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</si>
  <si>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</si>
  <si>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</si>
  <si>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</si>
  <si>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</si>
  <si>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</si>
  <si>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</si>
  <si>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</si>
  <si>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</si>
  <si>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</si>
  <si>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</si>
  <si>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</si>
  <si>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</si>
  <si>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</si>
  <si>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</si>
  <si>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</si>
  <si>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</si>
  <si>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</si>
  <si>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</si>
  <si>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</si>
  <si>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</si>
  <si>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</si>
  <si>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</si>
  <si>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</si>
  <si>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</si>
  <si>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</si>
  <si>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</si>
  <si>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</si>
  <si>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</si>
  <si>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</si>
  <si>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</si>
  <si>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</si>
  <si>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</si>
  <si>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</si>
  <si>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</si>
  <si>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</si>
  <si>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</si>
  <si>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</si>
  <si>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</si>
  <si>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</si>
  <si>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</si>
  <si>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</si>
  <si>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</si>
  <si>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</si>
  <si>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</si>
  <si>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</si>
  <si>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</si>
  <si>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</si>
  <si>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</si>
  <si>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</si>
  <si>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</si>
  <si>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</si>
  <si>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</si>
  <si>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</si>
  <si>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</si>
  <si>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</si>
  <si>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</si>
  <si>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</si>
  <si>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</si>
  <si>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</si>
  <si>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</si>
  <si>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</si>
  <si>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</si>
  <si>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</si>
  <si>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</si>
  <si>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</si>
  <si>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</si>
  <si>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</si>
  <si>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</si>
  <si>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</si>
  <si>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</si>
  <si>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</si>
  <si>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</si>
  <si>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</si>
  <si>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</si>
  <si>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</si>
  <si>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</si>
  <si>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</si>
  <si>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</si>
  <si>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</si>
  <si>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</si>
  <si>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</si>
  <si>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</si>
  <si>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</si>
  <si>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</si>
  <si>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</si>
  <si>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</si>
  <si>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</si>
  <si>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</si>
  <si>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</si>
  <si>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</si>
  <si>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</si>
  <si>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</si>
  <si>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</si>
  <si>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</si>
  <si>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</si>
  <si>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</si>
  <si>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</si>
  <si>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</si>
  <si>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</si>
  <si>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</si>
  <si>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</si>
  <si>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</si>
  <si>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</si>
  <si>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</si>
  <si>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</si>
  <si>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</si>
  <si>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</si>
  <si>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</si>
  <si>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</si>
  <si>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</si>
  <si>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</si>
  <si>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</si>
  <si>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</si>
  <si>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</si>
  <si>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</si>
  <si>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</si>
  <si>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</si>
  <si>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</si>
  <si>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</si>
  <si>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</si>
  <si>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</si>
  <si>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</si>
  <si>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</si>
  <si>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</si>
  <si>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</si>
  <si>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</si>
  <si>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</si>
  <si>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</si>
  <si>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</si>
  <si>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</si>
  <si>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</si>
  <si>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</si>
  <si>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</si>
  <si>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</si>
  <si>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</si>
  <si>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</si>
  <si>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</si>
  <si>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</si>
  <si>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</si>
  <si>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</si>
  <si>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</si>
  <si>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</si>
  <si>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</si>
  <si>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</si>
  <si>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</si>
  <si>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</si>
  <si>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</si>
  <si>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</si>
  <si>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</si>
  <si>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</si>
  <si>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</si>
  <si>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</si>
  <si>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</si>
  <si>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</si>
  <si>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</si>
  <si>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</si>
  <si>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</si>
  <si>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</si>
  <si>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</si>
  <si>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</si>
  <si>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</si>
  <si>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</si>
  <si>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</si>
  <si>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</si>
  <si>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</si>
  <si>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</si>
  <si>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</si>
  <si>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</si>
  <si>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</si>
  <si>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</si>
  <si>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</si>
  <si>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</si>
  <si>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</si>
  <si>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</si>
  <si>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</si>
  <si>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</si>
  <si>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</si>
  <si>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</si>
  <si>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</si>
  <si>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</si>
  <si>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</si>
  <si>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</si>
  <si>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</si>
  <si>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</si>
  <si>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</si>
  <si>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</si>
  <si>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</si>
  <si>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</si>
  <si>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</si>
  <si>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</si>
  <si>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</si>
  <si>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</si>
  <si>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</si>
  <si>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</si>
  <si>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</si>
  <si>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</si>
  <si>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</si>
  <si>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</si>
  <si>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</si>
  <si>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</si>
  <si>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</si>
  <si>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</si>
  <si>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</si>
  <si>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</si>
  <si>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</si>
  <si>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</si>
  <si>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</si>
  <si>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</si>
  <si>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</si>
  <si>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</si>
  <si>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</si>
  <si>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</si>
  <si>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</si>
  <si>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</si>
  <si>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</si>
  <si>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</si>
  <si>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</si>
  <si>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</si>
  <si>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</si>
  <si>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</si>
  <si>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</si>
  <si>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</si>
  <si>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</si>
  <si>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</si>
  <si>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</si>
  <si>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</si>
  <si>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</si>
  <si>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</si>
  <si>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</si>
  <si>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</si>
  <si>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</si>
  <si>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</si>
  <si>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</si>
  <si>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</si>
  <si>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</si>
  <si>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</si>
  <si>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</si>
  <si>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</si>
  <si>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</si>
  <si>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</si>
  <si>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</si>
  <si>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</si>
  <si>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</si>
  <si>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</si>
  <si>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</si>
  <si>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</si>
  <si>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</si>
  <si>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</si>
  <si>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</si>
  <si>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</si>
  <si>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</si>
  <si>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</si>
  <si>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</si>
  <si>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</si>
  <si>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</si>
  <si>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</si>
  <si>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</si>
  <si>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</si>
  <si>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</si>
  <si>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</si>
  <si>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</si>
  <si>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</si>
  <si>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</si>
  <si>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</si>
  <si>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</si>
  <si>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</si>
  <si>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</si>
  <si>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</si>
  <si>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</si>
  <si>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</si>
  <si>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</si>
  <si>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</si>
  <si>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</si>
  <si>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</si>
  <si>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</si>
  <si>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</si>
  <si>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</si>
  <si>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</si>
  <si>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</si>
  <si>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</si>
  <si>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</si>
  <si>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</si>
  <si>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</si>
  <si>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</si>
  <si>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</si>
  <si>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</si>
  <si>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</si>
  <si>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</si>
  <si>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</si>
  <si>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</si>
  <si>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</si>
  <si>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</si>
  <si>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</si>
  <si>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</si>
  <si>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</si>
  <si>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</si>
  <si>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</si>
  <si>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</si>
  <si>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</si>
  <si>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</si>
  <si>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</si>
  <si>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</si>
  <si>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</si>
  <si>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</si>
  <si>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</si>
  <si>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</si>
  <si>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</si>
  <si>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</si>
  <si>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</si>
  <si>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</si>
  <si>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</si>
  <si>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</si>
  <si>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</si>
  <si>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</si>
  <si>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</si>
  <si>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</si>
  <si>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</si>
  <si>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</si>
  <si>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</si>
  <si>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</si>
  <si>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</si>
  <si>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</si>
  <si>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</si>
  <si>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</si>
  <si>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</si>
  <si>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</si>
  <si>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</si>
  <si>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</si>
  <si>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</si>
  <si>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</si>
  <si>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</si>
  <si>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</si>
  <si>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</si>
  <si>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</si>
  <si>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</si>
  <si>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</si>
  <si>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</si>
  <si>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N/A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</si>
  <si>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</si>
  <si>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</si>
  <si>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</si>
  <si>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</si>
  <si>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</si>
  <si>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</si>
  <si>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</si>
  <si>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</si>
  <si>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</si>
  <si>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</si>
  <si>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</si>
  <si>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</si>
  <si>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</si>
  <si>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</si>
  <si>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</si>
  <si>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</si>
  <si>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</si>
  <si>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</si>
  <si>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</si>
  <si>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</si>
  <si>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</si>
  <si>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</si>
  <si>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</si>
  <si>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</si>
  <si>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</si>
  <si>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</si>
  <si>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</si>
  <si>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</si>
  <si>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</si>
  <si>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</si>
  <si>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</si>
  <si>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</si>
  <si>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</si>
  <si>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</si>
  <si>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</si>
  <si>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</si>
  <si>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</si>
  <si>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</si>
  <si>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Will Lincoln run? Y or N</t>
  </si>
  <si>
    <t>SWELTERING HEAT AND HUMIDITY…MOSTLY SUNNY AND HAZY. S.W. WINDS 10/15 MP</t>
  </si>
  <si>
    <t>H. OVERNIGHT…BECOMING MOSTLY CLOUDY WITH A 50% CHANCE OF T'STORMS.</t>
  </si>
  <si>
    <t>MOSTLY CLOUDY WITH A 50% CHANCE OF SHOWERS AND T'STORMS. NOT AS WAR</t>
  </si>
  <si>
    <t>M BUT STILL HUMID. OVERNIGHT…A 30% CHANCE OF EVENING SHOWERS/T'STORMS.</t>
  </si>
  <si>
    <t xml:space="preserve">PARTLY CLOUDY. ..BUT COOLER NEAR LAKE. </t>
  </si>
  <si>
    <t xml:space="preserve">SUNNY. </t>
  </si>
  <si>
    <t xml:space="preserve">MOSTLY SUNNY.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</si>
</sst>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0" fillId="0" borderId="86" xfId="0" applyBorder="1"/>
    <xf numFmtId="0" fontId="0" fillId="0" borderId="49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7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88" xfId="0" applyNumberFormat="1" applyFont="1" applyFill="1" applyBorder="1" applyAlignment="1" applyProtection="1">
      <alignment horizontal="center"/>
    </xf>
    <xf numFmtId="1" fontId="44" fillId="8" borderId="89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8" xfId="0" applyNumberFormat="1" applyFont="1" applyFill="1" applyBorder="1" applyProtection="1"/>
    <xf numFmtId="164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5" xfId="0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96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4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97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8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9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99" xfId="0" applyFont="1" applyFill="1" applyBorder="1" applyAlignment="1"/>
    <xf numFmtId="0" fontId="28" fillId="5" borderId="98" xfId="0" applyFont="1" applyFill="1" applyBorder="1" applyAlignment="1">
      <alignment horizontal="center"/>
    </xf>
    <xf numFmtId="166" fontId="29" fillId="5" borderId="100" xfId="0" applyNumberFormat="1" applyFont="1" applyFill="1" applyBorder="1" applyAlignment="1"/>
    <xf numFmtId="166" fontId="29" fillId="5" borderId="101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1" xfId="0" applyFont="1" applyFill="1" applyBorder="1" applyAlignment="1"/>
    <xf numFmtId="0" fontId="29" fillId="5" borderId="102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98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0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3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1" xfId="0" applyFont="1" applyBorder="1"/>
    <xf numFmtId="0" fontId="31" fillId="0" borderId="104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5" xfId="0" applyFont="1" applyBorder="1"/>
    <xf numFmtId="0" fontId="31" fillId="0" borderId="106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07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08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9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8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0" xfId="0" applyNumberFormat="1" applyFont="1" applyBorder="1"/>
    <xf numFmtId="167" fontId="29" fillId="0" borderId="101" xfId="0" applyNumberFormat="1" applyFont="1" applyBorder="1"/>
    <xf numFmtId="167" fontId="29" fillId="0" borderId="57" xfId="0" applyNumberFormat="1" applyFont="1" applyBorder="1"/>
    <xf numFmtId="0" fontId="29" fillId="0" borderId="110" xfId="0" applyFont="1" applyBorder="1"/>
    <xf numFmtId="0" fontId="29" fillId="0" borderId="87" xfId="0" applyFont="1" applyBorder="1"/>
    <xf numFmtId="172" fontId="29" fillId="0" borderId="100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07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99" xfId="0" applyFont="1" applyBorder="1"/>
    <xf numFmtId="0" fontId="29" fillId="0" borderId="68" xfId="0" applyFont="1" applyBorder="1"/>
    <xf numFmtId="0" fontId="29" fillId="0" borderId="97" xfId="0" applyFont="1" applyBorder="1" applyAlignment="1">
      <alignment horizontal="left"/>
    </xf>
    <xf numFmtId="0" fontId="28" fillId="0" borderId="87" xfId="0" quotePrefix="1" applyFont="1" applyBorder="1" applyAlignment="1">
      <alignment horizontal="left"/>
    </xf>
    <xf numFmtId="0" fontId="31" fillId="0" borderId="85" xfId="0" applyFont="1" applyBorder="1"/>
    <xf numFmtId="0" fontId="31" fillId="0" borderId="99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1" xfId="0" applyFont="1" applyFill="1" applyBorder="1" applyAlignment="1">
      <alignment horizontal="left"/>
    </xf>
    <xf numFmtId="0" fontId="29" fillId="0" borderId="112" xfId="0" applyFont="1" applyFill="1" applyBorder="1" applyAlignment="1"/>
    <xf numFmtId="0" fontId="28" fillId="0" borderId="113" xfId="0" applyFont="1" applyFill="1" applyBorder="1" applyAlignment="1"/>
    <xf numFmtId="179" fontId="16" fillId="2" borderId="114" xfId="0" applyNumberFormat="1" applyFont="1" applyFill="1" applyBorder="1" applyAlignment="1" applyProtection="1">
      <alignment horizontal="center"/>
    </xf>
    <xf numFmtId="164" fontId="28" fillId="0" borderId="113" xfId="0" applyNumberFormat="1" applyFont="1" applyFill="1" applyBorder="1" applyAlignment="1"/>
    <xf numFmtId="0" fontId="29" fillId="0" borderId="113" xfId="0" applyFont="1" applyFill="1" applyBorder="1" applyAlignment="1"/>
    <xf numFmtId="0" fontId="29" fillId="0" borderId="115" xfId="0" applyFont="1" applyFill="1" applyBorder="1" applyAlignment="1"/>
    <xf numFmtId="0" fontId="29" fillId="0" borderId="0" xfId="0" applyFont="1" applyBorder="1"/>
    <xf numFmtId="0" fontId="28" fillId="0" borderId="107" xfId="0" applyFont="1" applyBorder="1"/>
    <xf numFmtId="0" fontId="6" fillId="0" borderId="116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108" xfId="0" quotePrefix="1" applyFont="1" applyFill="1" applyBorder="1" applyAlignment="1"/>
    <xf numFmtId="0" fontId="29" fillId="0" borderId="119" xfId="0" applyFont="1" applyFill="1" applyBorder="1" applyAlignment="1"/>
    <xf numFmtId="0" fontId="29" fillId="0" borderId="63" xfId="0" applyFont="1" applyFill="1" applyBorder="1" applyAlignment="1"/>
    <xf numFmtId="0" fontId="29" fillId="0" borderId="120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98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2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0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8" xfId="0" applyFont="1" applyFill="1" applyBorder="1" applyAlignment="1">
      <alignment horizontal="left"/>
    </xf>
    <xf numFmtId="0" fontId="47" fillId="0" borderId="112" xfId="0" applyFont="1" applyBorder="1"/>
    <xf numFmtId="0" fontId="47" fillId="0" borderId="113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6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80" xfId="0" applyFont="1" applyBorder="1"/>
    <xf numFmtId="0" fontId="47" fillId="5" borderId="98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5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7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4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6" xfId="0" applyNumberFormat="1" applyFont="1" applyBorder="1"/>
    <xf numFmtId="0" fontId="47" fillId="2" borderId="62" xfId="0" applyFont="1" applyFill="1" applyBorder="1"/>
    <xf numFmtId="0" fontId="47" fillId="2" borderId="86" xfId="0" applyFont="1" applyFill="1" applyBorder="1"/>
    <xf numFmtId="0" fontId="47" fillId="2" borderId="58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80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80" xfId="0" applyFont="1" applyBorder="1"/>
    <xf numFmtId="0" fontId="46" fillId="5" borderId="98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8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5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2" xfId="0" applyFont="1" applyBorder="1"/>
    <xf numFmtId="0" fontId="47" fillId="0" borderId="86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8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5" xfId="0" applyFont="1" applyFill="1" applyBorder="1"/>
    <xf numFmtId="167" fontId="47" fillId="0" borderId="46" xfId="0" applyNumberFormat="1" applyFont="1" applyBorder="1"/>
    <xf numFmtId="0" fontId="47" fillId="0" borderId="42" xfId="0" applyFont="1" applyBorder="1"/>
    <xf numFmtId="0" fontId="47" fillId="0" borderId="46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4" xfId="0" applyFont="1" applyBorder="1"/>
    <xf numFmtId="0" fontId="47" fillId="2" borderId="13" xfId="0" applyFont="1" applyFill="1" applyBorder="1"/>
    <xf numFmtId="167" fontId="47" fillId="0" borderId="39" xfId="0" applyNumberFormat="1" applyFont="1" applyBorder="1"/>
    <xf numFmtId="0" fontId="47" fillId="0" borderId="61" xfId="0" applyFont="1" applyBorder="1"/>
    <xf numFmtId="0" fontId="47" fillId="0" borderId="40" xfId="0" applyFont="1" applyBorder="1"/>
    <xf numFmtId="167" fontId="47" fillId="0" borderId="79" xfId="0" applyNumberFormat="1" applyFont="1" applyBorder="1"/>
    <xf numFmtId="0" fontId="47" fillId="0" borderId="1" xfId="0" applyFont="1" applyBorder="1"/>
    <xf numFmtId="0" fontId="47" fillId="0" borderId="79" xfId="0" applyFont="1" applyBorder="1"/>
    <xf numFmtId="0" fontId="46" fillId="0" borderId="98" xfId="0" applyFont="1" applyBorder="1"/>
    <xf numFmtId="0" fontId="48" fillId="0" borderId="101" xfId="0" applyFont="1" applyBorder="1"/>
    <xf numFmtId="0" fontId="48" fillId="0" borderId="104" xfId="0" applyFont="1" applyBorder="1"/>
    <xf numFmtId="0" fontId="48" fillId="0" borderId="55" xfId="0" applyFont="1" applyBorder="1"/>
    <xf numFmtId="0" fontId="48" fillId="0" borderId="27" xfId="0" applyFont="1" applyBorder="1"/>
    <xf numFmtId="0" fontId="48" fillId="0" borderId="40" xfId="0" applyFont="1" applyBorder="1"/>
    <xf numFmtId="0" fontId="48" fillId="0" borderId="24" xfId="0" applyFont="1" applyBorder="1"/>
    <xf numFmtId="0" fontId="47" fillId="0" borderId="101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3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1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9" xfId="0" applyNumberFormat="1" applyFont="1" applyBorder="1"/>
    <xf numFmtId="167" fontId="52" fillId="0" borderId="46" xfId="0" applyNumberFormat="1" applyFont="1" applyBorder="1"/>
    <xf numFmtId="167" fontId="52" fillId="0" borderId="61" xfId="0" applyNumberFormat="1" applyFont="1" applyBorder="1"/>
    <xf numFmtId="167" fontId="52" fillId="0" borderId="101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70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3" xfId="0" applyNumberFormat="1" applyFont="1" applyBorder="1"/>
    <xf numFmtId="167" fontId="47" fillId="0" borderId="58" xfId="0" applyNumberFormat="1" applyFont="1" applyBorder="1"/>
    <xf numFmtId="167" fontId="47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2" xfId="0" applyBorder="1"/>
    <xf numFmtId="0" fontId="16" fillId="0" borderId="0" xfId="0" quotePrefix="1" applyFont="1" applyBorder="1" applyAlignment="1">
      <alignment horizontal="left"/>
    </xf>
    <xf numFmtId="0" fontId="16" fillId="0" borderId="86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8" xfId="0" applyFont="1" applyBorder="1"/>
    <xf numFmtId="0" fontId="11" fillId="0" borderId="0" xfId="0" applyFont="1"/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5" xfId="0" applyNumberFormat="1" applyFont="1" applyBorder="1"/>
    <xf numFmtId="167" fontId="47" fillId="0" borderId="61" xfId="0" applyNumberFormat="1" applyFont="1" applyBorder="1"/>
    <xf numFmtId="167" fontId="48" fillId="0" borderId="40" xfId="0" applyNumberFormat="1" applyFont="1" applyBorder="1"/>
    <xf numFmtId="167" fontId="47" fillId="0" borderId="101" xfId="0" applyNumberFormat="1" applyFont="1" applyBorder="1"/>
    <xf numFmtId="0" fontId="47" fillId="5" borderId="107" xfId="0" applyFont="1" applyFill="1" applyBorder="1"/>
    <xf numFmtId="0" fontId="47" fillId="5" borderId="54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7" xfId="0" applyFont="1" applyFill="1" applyBorder="1"/>
    <xf numFmtId="0" fontId="46" fillId="5" borderId="85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2" xfId="0" applyFont="1" applyFill="1" applyBorder="1" applyProtection="1"/>
    <xf numFmtId="164" fontId="55" fillId="2" borderId="112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8" xfId="0" applyNumberFormat="1" applyFont="1" applyFill="1" applyBorder="1" applyProtection="1"/>
    <xf numFmtId="164" fontId="55" fillId="2" borderId="90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1" xfId="0" applyNumberFormat="1" applyFont="1" applyFill="1" applyBorder="1" applyProtection="1"/>
    <xf numFmtId="166" fontId="55" fillId="2" borderId="92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5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4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4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1" xfId="0" applyFont="1" applyFill="1" applyBorder="1" applyAlignment="1" applyProtection="1">
      <alignment horizontal="left"/>
    </xf>
    <xf numFmtId="164" fontId="55" fillId="2" borderId="112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92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8" xfId="0" applyNumberFormat="1" applyFont="1" applyFill="1" applyBorder="1" applyProtection="1"/>
    <xf numFmtId="0" fontId="57" fillId="2" borderId="116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8" xfId="0" applyNumberFormat="1" applyFont="1" applyFill="1" applyBorder="1" applyProtection="1"/>
    <xf numFmtId="2" fontId="55" fillId="2" borderId="90" xfId="0" applyNumberFormat="1" applyFont="1" applyFill="1" applyBorder="1" applyProtection="1"/>
    <xf numFmtId="0" fontId="55" fillId="2" borderId="116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2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6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2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08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1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1" xfId="0" applyNumberFormat="1" applyFont="1" applyBorder="1"/>
    <xf numFmtId="0" fontId="29" fillId="0" borderId="14" xfId="0" applyFont="1" applyBorder="1"/>
    <xf numFmtId="167" fontId="7" fillId="2" borderId="109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1" xfId="0" applyNumberFormat="1" applyFont="1" applyFill="1" applyBorder="1" applyAlignment="1">
      <alignment horizontal="center"/>
    </xf>
    <xf numFmtId="1" fontId="60" fillId="0" borderId="61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1" xfId="0" applyNumberFormat="1" applyFont="1" applyBorder="1" applyAlignment="1"/>
    <xf numFmtId="167" fontId="60" fillId="0" borderId="61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1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1" xfId="0" applyBorder="1"/>
    <xf numFmtId="0" fontId="47" fillId="0" borderId="111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1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5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5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3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8" xfId="0" applyNumberFormat="1" applyFill="1" applyBorder="1"/>
    <xf numFmtId="166" fontId="0" fillId="3" borderId="165" xfId="0" applyNumberFormat="1" applyFill="1" applyBorder="1"/>
    <xf numFmtId="166" fontId="0" fillId="0" borderId="108" xfId="0" applyNumberFormat="1" applyBorder="1" applyProtection="1">
      <protection locked="0"/>
    </xf>
    <xf numFmtId="166" fontId="0" fillId="0" borderId="108" xfId="0" applyNumberFormat="1" applyBorder="1"/>
    <xf numFmtId="166" fontId="0" fillId="0" borderId="99" xfId="0" applyNumberFormat="1" applyBorder="1" applyProtection="1">
      <protection locked="0"/>
    </xf>
    <xf numFmtId="166" fontId="0" fillId="0" borderId="99" xfId="0" applyNumberFormat="1" applyBorder="1"/>
    <xf numFmtId="166" fontId="0" fillId="0" borderId="106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99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8" xfId="0" applyFont="1" applyFill="1" applyBorder="1"/>
    <xf numFmtId="0" fontId="55" fillId="2" borderId="49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3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5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7" xfId="0" applyFont="1" applyBorder="1"/>
    <xf numFmtId="0" fontId="64" fillId="0" borderId="11" xfId="0" applyFont="1" applyBorder="1"/>
    <xf numFmtId="0" fontId="64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0" fillId="0" borderId="172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08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6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6" xfId="0" applyFont="1" applyBorder="1" applyAlignment="1">
      <alignment horizontal="left"/>
    </xf>
    <xf numFmtId="167" fontId="29" fillId="0" borderId="126" xfId="0" applyNumberFormat="1" applyFont="1" applyBorder="1"/>
    <xf numFmtId="0" fontId="34" fillId="6" borderId="175" xfId="0" applyFont="1" applyFill="1" applyBorder="1" applyAlignment="1">
      <alignment horizontal="left"/>
    </xf>
    <xf numFmtId="0" fontId="30" fillId="6" borderId="176" xfId="0" applyFont="1" applyFill="1" applyBorder="1" applyAlignment="1">
      <alignment horizontal="left"/>
    </xf>
    <xf numFmtId="0" fontId="28" fillId="6" borderId="176" xfId="0" quotePrefix="1" applyFont="1" applyFill="1" applyBorder="1" applyAlignment="1">
      <alignment horizontal="center"/>
    </xf>
    <xf numFmtId="0" fontId="6" fillId="5" borderId="176" xfId="0" applyFont="1" applyFill="1" applyBorder="1"/>
    <xf numFmtId="0" fontId="28" fillId="6" borderId="175" xfId="0" applyFont="1" applyFill="1" applyBorder="1" applyAlignment="1">
      <alignment horizontal="centerContinuous"/>
    </xf>
    <xf numFmtId="0" fontId="28" fillId="6" borderId="176" xfId="0" applyFont="1" applyFill="1" applyBorder="1" applyAlignment="1">
      <alignment horizontal="centerContinuous"/>
    </xf>
    <xf numFmtId="0" fontId="31" fillId="6" borderId="176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4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6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99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7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8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2" xfId="0" applyFont="1" applyBorder="1"/>
    <xf numFmtId="0" fontId="31" fillId="0" borderId="112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98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2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87" xfId="0" applyFont="1" applyBorder="1"/>
    <xf numFmtId="167" fontId="0" fillId="0" borderId="101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1" xfId="0" applyNumberFormat="1" applyFont="1" applyFill="1" applyBorder="1" applyProtection="1"/>
    <xf numFmtId="0" fontId="33" fillId="0" borderId="0" xfId="0" applyFont="1" applyFill="1" applyBorder="1"/>
    <xf numFmtId="167" fontId="29" fillId="2" borderId="102" xfId="0" applyNumberFormat="1" applyFont="1" applyFill="1" applyBorder="1"/>
    <xf numFmtId="172" fontId="29" fillId="0" borderId="101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3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3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6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8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2" xfId="0" applyFont="1" applyBorder="1"/>
    <xf numFmtId="0" fontId="0" fillId="0" borderId="116" xfId="0" applyBorder="1"/>
    <xf numFmtId="0" fontId="0" fillId="0" borderId="59" xfId="0" applyBorder="1"/>
    <xf numFmtId="0" fontId="28" fillId="0" borderId="192" xfId="0" applyFont="1" applyFill="1" applyBorder="1"/>
    <xf numFmtId="0" fontId="0" fillId="0" borderId="108" xfId="0" applyBorder="1"/>
    <xf numFmtId="0" fontId="0" fillId="0" borderId="193" xfId="0" applyBorder="1"/>
    <xf numFmtId="0" fontId="16" fillId="0" borderId="194" xfId="0" applyFont="1" applyBorder="1"/>
    <xf numFmtId="0" fontId="0" fillId="0" borderId="67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2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9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4" xfId="0" applyFont="1" applyBorder="1"/>
    <xf numFmtId="0" fontId="0" fillId="0" borderId="111" xfId="0" applyBorder="1"/>
    <xf numFmtId="0" fontId="0" fillId="0" borderId="198" xfId="0" applyBorder="1"/>
    <xf numFmtId="0" fontId="11" fillId="0" borderId="129" xfId="0" applyFont="1" applyBorder="1"/>
    <xf numFmtId="167" fontId="11" fillId="0" borderId="62" xfId="0" applyNumberFormat="1" applyFont="1" applyBorder="1"/>
    <xf numFmtId="0" fontId="11" fillId="0" borderId="48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6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9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6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469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470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471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472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473" name="Day_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474" name="Day_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11" t="s">
        <v>9</v>
      </c>
      <c r="B1" s="782"/>
    </row>
    <row r="2" spans="1:88">
      <c r="A2" s="1011" t="s">
        <v>9</v>
      </c>
      <c r="B2" t="s">
        <v>9</v>
      </c>
    </row>
    <row r="3" spans="1:88" ht="15.6" thickBot="1">
      <c r="A3" s="1077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42"/>
      <c r="B4" s="782" t="s">
        <v>158</v>
      </c>
      <c r="H4" t="s">
        <v>9</v>
      </c>
      <c r="I4" t="s">
        <v>9</v>
      </c>
      <c r="J4" t="s">
        <v>9</v>
      </c>
      <c r="CJ4" s="450" t="s">
        <v>9</v>
      </c>
    </row>
    <row r="5" spans="1:88">
      <c r="A5" t="s">
        <v>9</v>
      </c>
      <c r="B5" s="760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380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10" t="s">
        <v>628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568</v>
      </c>
    </row>
    <row r="11" spans="1:88" ht="15.75" customHeight="1">
      <c r="A11" t="s">
        <v>9</v>
      </c>
      <c r="B11" s="782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568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46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690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566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566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0" t="s">
        <v>158</v>
      </c>
      <c r="C25" t="s">
        <v>9</v>
      </c>
      <c r="E25" t="s">
        <v>9</v>
      </c>
      <c r="G25" s="441"/>
      <c r="H25" t="s">
        <v>9</v>
      </c>
      <c r="I25" t="s">
        <v>9</v>
      </c>
      <c r="J25" t="s">
        <v>9</v>
      </c>
      <c r="K25" t="s">
        <v>568</v>
      </c>
    </row>
    <row r="26" spans="1:13">
      <c r="A26" t="s">
        <v>9</v>
      </c>
      <c r="B26" t="s">
        <v>9</v>
      </c>
      <c r="C26" t="s">
        <v>158</v>
      </c>
      <c r="G26" s="441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568</v>
      </c>
      <c r="D27" t="s">
        <v>9</v>
      </c>
      <c r="G27" s="441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1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1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7" t="s">
        <v>583</v>
      </c>
      <c r="B1" s="806"/>
      <c r="C1" s="806"/>
      <c r="D1" s="806"/>
      <c r="E1" s="806"/>
      <c r="F1" s="806"/>
      <c r="G1" s="806" t="s">
        <v>130</v>
      </c>
      <c r="H1" s="848" t="str">
        <f>D3</f>
        <v>WED</v>
      </c>
      <c r="I1" s="849">
        <f>D4</f>
        <v>37104</v>
      </c>
      <c r="J1" s="110"/>
    </row>
    <row r="2" spans="1:10" ht="24.9" customHeight="1">
      <c r="A2" s="809" t="s">
        <v>152</v>
      </c>
      <c r="B2" s="810"/>
      <c r="C2" s="810"/>
      <c r="D2" s="810"/>
      <c r="E2" s="810"/>
      <c r="F2" s="810"/>
      <c r="G2" s="810"/>
      <c r="H2" s="810"/>
      <c r="I2" s="811"/>
      <c r="J2" s="110"/>
    </row>
    <row r="3" spans="1:10" ht="24.9" customHeight="1" thickBot="1">
      <c r="A3" s="812"/>
      <c r="B3" s="810"/>
      <c r="C3" s="810"/>
      <c r="D3" s="813" t="str">
        <f t="shared" ref="D3:I3" si="0">CHOOSE(WEEKDAY(D4),"SUN","MON","TUE","WED","THU","FRI","SAT")</f>
        <v>WED</v>
      </c>
      <c r="E3" s="813" t="str">
        <f t="shared" si="0"/>
        <v>THU</v>
      </c>
      <c r="F3" s="813" t="str">
        <f t="shared" si="0"/>
        <v>FRI</v>
      </c>
      <c r="G3" s="813" t="str">
        <f t="shared" si="0"/>
        <v>SAT</v>
      </c>
      <c r="H3" s="813" t="str">
        <f t="shared" si="0"/>
        <v>SUN</v>
      </c>
      <c r="I3" s="814" t="str">
        <f t="shared" si="0"/>
        <v>MON</v>
      </c>
      <c r="J3" s="110"/>
    </row>
    <row r="4" spans="1:10" ht="24.9" customHeight="1" thickBot="1">
      <c r="A4" s="815" t="s">
        <v>153</v>
      </c>
      <c r="B4" s="816"/>
      <c r="C4" s="816"/>
      <c r="D4" s="817">
        <f>Weather_Input!A5</f>
        <v>37104</v>
      </c>
      <c r="E4" s="817">
        <f>Weather_Input!A6</f>
        <v>37105</v>
      </c>
      <c r="F4" s="817">
        <f>Weather_Input!A7</f>
        <v>37106</v>
      </c>
      <c r="G4" s="817">
        <f>Weather_Input!A8</f>
        <v>37107</v>
      </c>
      <c r="H4" s="817">
        <f>Weather_Input!A9</f>
        <v>37108</v>
      </c>
      <c r="I4" s="818">
        <f>Weather_Input!A10</f>
        <v>37109</v>
      </c>
      <c r="J4" s="110"/>
    </row>
    <row r="5" spans="1:10" s="111" customFormat="1" ht="24.9" customHeight="1" thickTop="1">
      <c r="A5" s="819" t="s">
        <v>132</v>
      </c>
      <c r="B5" s="810"/>
      <c r="C5" s="810" t="s">
        <v>133</v>
      </c>
      <c r="D5" s="850" t="str">
        <f>TEXT(Weather_Input!B5,"0")&amp;"/"&amp;TEXT(Weather_Input!C5,"0") &amp; "/" &amp; TEXT((Weather_Input!B5+Weather_Input!C5)/2,"0")</f>
        <v>91/74/83</v>
      </c>
      <c r="E5" s="850" t="str">
        <f>TEXT(Weather_Input!B6,"0")&amp;"/"&amp;TEXT(Weather_Input!C6,"0") &amp; "/" &amp; TEXT((Weather_Input!B6+Weather_Input!C6)/2,"0")</f>
        <v>87/69/78</v>
      </c>
      <c r="F5" s="850" t="str">
        <f>TEXT(Weather_Input!B7,"0")&amp;"/"&amp;TEXT(Weather_Input!C7,"0") &amp; "/" &amp; TEXT((Weather_Input!B7+Weather_Input!C7)/2,"0")</f>
        <v>85/68/77</v>
      </c>
      <c r="G5" s="850" t="str">
        <f>TEXT(Weather_Input!B8,"0")&amp;"/"&amp;TEXT(Weather_Input!C8,"0") &amp; "/" &amp; TEXT((Weather_Input!B8+Weather_Input!C8)/2,"0")</f>
        <v>86/68/77</v>
      </c>
      <c r="H5" s="850" t="str">
        <f>TEXT(Weather_Input!B9,"0")&amp;"/"&amp;TEXT(Weather_Input!C9,"0") &amp; "/" &amp; TEXT((Weather_Input!B9+Weather_Input!C9)/2,"0")</f>
        <v>89/70/80</v>
      </c>
      <c r="I5" s="851" t="str">
        <f>TEXT(Weather_Input!B10,"0")&amp;"/"&amp;TEXT(Weather_Input!C10,"0") &amp; "/" &amp; TEXT((Weather_Input!B10+Weather_Input!C10)/2,"0")</f>
        <v>89/70/80</v>
      </c>
      <c r="J5" s="110"/>
    </row>
    <row r="6" spans="1:10" ht="24.9" customHeight="1">
      <c r="A6" s="822" t="s">
        <v>134</v>
      </c>
      <c r="B6" s="810"/>
      <c r="C6" s="810"/>
      <c r="D6" s="820">
        <f ca="1">VLOOKUP(D4,NSG_Sendouts,CELL("Col",NSG_Deliveries!C5),FALSE)/1000</f>
        <v>31.2</v>
      </c>
      <c r="E6" s="820">
        <f ca="1">VLOOKUP(E4,NSG_Sendouts,CELL("Col",NSG_Deliveries!C6),FALSE)/1000</f>
        <v>33</v>
      </c>
      <c r="F6" s="820">
        <f ca="1">VLOOKUP(F4,NSG_Sendouts,CELL("Col",NSG_Deliveries!C7),FALSE)/1000</f>
        <v>32</v>
      </c>
      <c r="G6" s="820">
        <f ca="1">VLOOKUP(G4,NSG_Sendouts,CELL("Col",NSG_Deliveries!C8),FALSE)/1000</f>
        <v>31</v>
      </c>
      <c r="H6" s="820">
        <f ca="1">VLOOKUP(H4,NSG_Sendouts,CELL("Col",NSG_Deliveries!C9),FALSE)/1000</f>
        <v>32</v>
      </c>
      <c r="I6" s="825">
        <f ca="1">VLOOKUP(I4,NSG_Sendouts,CELL("Col",NSG_Deliveries!C10),FALSE)/1000</f>
        <v>32</v>
      </c>
      <c r="J6" s="111"/>
    </row>
    <row r="7" spans="1:10" ht="24.9" customHeight="1">
      <c r="A7" s="819" t="s">
        <v>138</v>
      </c>
      <c r="B7" s="810" t="s">
        <v>139</v>
      </c>
      <c r="C7" s="810" t="s">
        <v>58</v>
      </c>
      <c r="D7" s="820">
        <f>(NSG_Requirements!$K$7+NSG_Requirements!$L$7+NSG_Requirements!$M$7+NSG_Requirements!$N$7)/1000</f>
        <v>0</v>
      </c>
      <c r="E7" s="820">
        <f>(NSG_Requirements!$K$8+NSG_Requirements!$L$8+NSG_Requirements!$M$8+NSG_Requirements!$N$8)/1000</f>
        <v>0</v>
      </c>
      <c r="F7" s="820">
        <f>(NSG_Requirements!$K$9+NSG_Requirements!$L$9+NSG_Requirements!$M$9+NSG_Requirements!$N$9)/1000</f>
        <v>0</v>
      </c>
      <c r="G7" s="820">
        <f>(NSG_Requirements!$K$10+NSG_Requirements!$L$10+NSG_Requirements!$M$10+NSG_Requirements!$N$10)/1000</f>
        <v>0</v>
      </c>
      <c r="H7" s="820">
        <f>(NSG_Requirements!$K$11+NSG_Requirements!$L$11+NSG_Requirements!$M$11+NSG_Requirements!$N$11)/1000</f>
        <v>0</v>
      </c>
      <c r="I7" s="825">
        <f>(NSG_Requirements!$K$12+NSG_Requirements!$L$12+NSG_Requirements!$M$12+NSG_Requirements!$N$12)/1000</f>
        <v>0</v>
      </c>
      <c r="J7" s="111"/>
    </row>
    <row r="8" spans="1:10" ht="24.9" customHeight="1">
      <c r="A8" s="819"/>
      <c r="B8" s="810" t="s">
        <v>137</v>
      </c>
      <c r="C8" s="824" t="s">
        <v>87</v>
      </c>
      <c r="D8" s="820">
        <f>NSG_Requirements!J7/1000</f>
        <v>12</v>
      </c>
      <c r="E8" s="820">
        <f>NSG_Requirements!J8/1000</f>
        <v>0</v>
      </c>
      <c r="F8" s="820">
        <f>NSG_Requirements!J9/1000</f>
        <v>0</v>
      </c>
      <c r="G8" s="820">
        <f>NSG_Requirements!J10/1000</f>
        <v>0</v>
      </c>
      <c r="H8" s="820">
        <f>NSG_Requirements!J11/1000</f>
        <v>0</v>
      </c>
      <c r="I8" s="821">
        <f>NSG_Requirements!J12/1000</f>
        <v>0</v>
      </c>
      <c r="J8" s="110"/>
    </row>
    <row r="9" spans="1:10" ht="24.9" customHeight="1">
      <c r="A9" s="819"/>
      <c r="B9" s="810" t="s">
        <v>135</v>
      </c>
      <c r="C9" s="824" t="s">
        <v>87</v>
      </c>
      <c r="D9" s="820">
        <f>NSG_Requirements!H7/1000</f>
        <v>0</v>
      </c>
      <c r="E9" s="820">
        <f>NSG_Requirements!H8/1000</f>
        <v>0</v>
      </c>
      <c r="F9" s="820">
        <f>NSG_Requirements!H9/1000</f>
        <v>0</v>
      </c>
      <c r="G9" s="820">
        <f>NSG_Requirements!H10/1000</f>
        <v>0</v>
      </c>
      <c r="H9" s="820">
        <f>NSG_Requirements!H11/1000</f>
        <v>0</v>
      </c>
      <c r="I9" s="821">
        <f>NSG_Requirements!H12/1000</f>
        <v>0</v>
      </c>
      <c r="J9" s="110"/>
    </row>
    <row r="10" spans="1:10" ht="24.9" customHeight="1">
      <c r="A10" s="837" t="s">
        <v>154</v>
      </c>
      <c r="B10" s="838" t="s">
        <v>370</v>
      </c>
      <c r="C10" s="838"/>
      <c r="D10" s="852">
        <f>NSG_Requirements!B7/1000</f>
        <v>0</v>
      </c>
      <c r="E10" s="852">
        <f>NSG_Requirements!B8/1000</f>
        <v>0</v>
      </c>
      <c r="F10" s="852">
        <f>NSG_Requirements!B9/1000</f>
        <v>0</v>
      </c>
      <c r="G10" s="852">
        <f>NSG_Requirements!B10/1000</f>
        <v>0</v>
      </c>
      <c r="H10" s="852">
        <f>NSG_Requirements!B11/1000</f>
        <v>0</v>
      </c>
      <c r="I10" s="853">
        <f>NSG_Requirements!B12/1000</f>
        <v>0</v>
      </c>
      <c r="J10" s="110"/>
    </row>
    <row r="11" spans="1:10" ht="24.9" customHeight="1" thickBot="1">
      <c r="A11" s="854" t="s">
        <v>143</v>
      </c>
      <c r="B11" s="844"/>
      <c r="C11" s="844"/>
      <c r="D11" s="829">
        <f t="shared" ref="D11:I11" ca="1" si="1">SUM(D6:D10)</f>
        <v>43.2</v>
      </c>
      <c r="E11" s="829">
        <f t="shared" ca="1" si="1"/>
        <v>33</v>
      </c>
      <c r="F11" s="829">
        <f t="shared" ca="1" si="1"/>
        <v>32</v>
      </c>
      <c r="G11" s="829">
        <f t="shared" ca="1" si="1"/>
        <v>31</v>
      </c>
      <c r="H11" s="829">
        <f t="shared" ca="1" si="1"/>
        <v>32</v>
      </c>
      <c r="I11" s="830">
        <f t="shared" ca="1" si="1"/>
        <v>32</v>
      </c>
      <c r="J11" s="110"/>
    </row>
    <row r="12" spans="1:10" ht="24.9" customHeight="1" thickTop="1" thickBot="1">
      <c r="A12" s="855"/>
      <c r="B12" s="856"/>
      <c r="C12" s="856"/>
      <c r="D12" s="857"/>
      <c r="E12" s="857"/>
      <c r="F12" s="857"/>
      <c r="G12" s="857"/>
      <c r="H12" s="857"/>
      <c r="I12" s="857"/>
      <c r="J12" s="111"/>
    </row>
    <row r="13" spans="1:10" ht="24.9" customHeight="1" thickTop="1" thickBot="1">
      <c r="A13" s="858" t="s">
        <v>144</v>
      </c>
      <c r="B13" s="833"/>
      <c r="C13" s="833"/>
      <c r="D13" s="834"/>
      <c r="E13" s="834"/>
      <c r="F13" s="834"/>
      <c r="G13" s="834"/>
      <c r="H13" s="834"/>
      <c r="I13" s="835"/>
      <c r="J13" s="110"/>
    </row>
    <row r="14" spans="1:10" ht="24.9" customHeight="1" thickTop="1">
      <c r="A14" s="819" t="s">
        <v>685</v>
      </c>
      <c r="B14" s="810" t="s">
        <v>139</v>
      </c>
      <c r="C14" s="810" t="s">
        <v>155</v>
      </c>
      <c r="D14" s="820">
        <f>NSG_Supplies!G7/1000</f>
        <v>0</v>
      </c>
      <c r="E14" s="820">
        <f>NSG_Supplies!G8/1000</f>
        <v>0</v>
      </c>
      <c r="F14" s="820">
        <f>NSG_Supplies!G9/1000</f>
        <v>0</v>
      </c>
      <c r="G14" s="820">
        <f>NSG_Supplies!G10/1000</f>
        <v>0</v>
      </c>
      <c r="H14" s="820">
        <f>NSG_Supplies!G11/1000</f>
        <v>0</v>
      </c>
      <c r="I14" s="821">
        <f>NSG_Supplies!G12/1000</f>
        <v>0</v>
      </c>
      <c r="J14" s="110"/>
    </row>
    <row r="15" spans="1:10" ht="24.9" customHeight="1">
      <c r="A15" s="819"/>
      <c r="B15" s="810" t="s">
        <v>137</v>
      </c>
      <c r="C15" s="810" t="s">
        <v>146</v>
      </c>
      <c r="D15" s="820">
        <f>NSG_Supplies!K7/1000</f>
        <v>0</v>
      </c>
      <c r="E15" s="820">
        <f>NSG_Supplies!K8/1000</f>
        <v>0</v>
      </c>
      <c r="F15" s="820">
        <f>NSG_Supplies!K9/1000</f>
        <v>0</v>
      </c>
      <c r="G15" s="820">
        <f>NSG_Supplies!K10/1000</f>
        <v>0</v>
      </c>
      <c r="H15" s="820">
        <f>NSG_Supplies!K11/1000</f>
        <v>0</v>
      </c>
      <c r="I15" s="821">
        <f>NSG_Supplies!K12/1000</f>
        <v>0</v>
      </c>
      <c r="J15" s="110"/>
    </row>
    <row r="16" spans="1:10" ht="24.9" customHeight="1">
      <c r="A16" s="819"/>
      <c r="B16" s="810"/>
      <c r="C16" s="824" t="s">
        <v>751</v>
      </c>
      <c r="D16" s="820">
        <f>NSG_Supplies!E7/1000</f>
        <v>0</v>
      </c>
      <c r="E16" s="820">
        <f>NSG_Supplies!E8/1000</f>
        <v>0</v>
      </c>
      <c r="F16" s="820">
        <f>NSG_Supplies!E9/1000</f>
        <v>0</v>
      </c>
      <c r="G16" s="820">
        <f>NSG_Supplies!E10/1000</f>
        <v>0</v>
      </c>
      <c r="H16" s="820">
        <f>NSG_Supplies!E11/1000</f>
        <v>0</v>
      </c>
      <c r="I16" s="825">
        <f>NSG_Supplies!E12/1000</f>
        <v>0</v>
      </c>
      <c r="J16" s="111"/>
    </row>
    <row r="17" spans="1:13" ht="24.9" customHeight="1">
      <c r="A17" s="819"/>
      <c r="B17" s="810" t="s">
        <v>135</v>
      </c>
      <c r="C17" s="824" t="s">
        <v>752</v>
      </c>
      <c r="D17" s="820">
        <f>NSG_Supplies!F7/1000</f>
        <v>5.91</v>
      </c>
      <c r="E17" s="820">
        <f>NSG_Supplies!F8/1000</f>
        <v>0</v>
      </c>
      <c r="F17" s="820">
        <f>NSG_Supplies!F9/1000</f>
        <v>0</v>
      </c>
      <c r="G17" s="820">
        <f>NSG_Supplies!F10/1000</f>
        <v>0</v>
      </c>
      <c r="H17" s="820">
        <f>NSG_Supplies!F11/1000</f>
        <v>0</v>
      </c>
      <c r="I17" s="825">
        <f>NSG_Supplies!F12/1000</f>
        <v>0</v>
      </c>
      <c r="J17" s="111"/>
    </row>
    <row r="18" spans="1:13" ht="24.9" customHeight="1">
      <c r="A18" s="819"/>
      <c r="B18" s="810" t="s">
        <v>81</v>
      </c>
      <c r="C18" s="810" t="s">
        <v>686</v>
      </c>
      <c r="D18" s="820">
        <f>NSG_Supplies!T7/1000</f>
        <v>0</v>
      </c>
      <c r="E18" s="820">
        <f>NSG_Supplies!T8/1000</f>
        <v>0</v>
      </c>
      <c r="F18" s="820">
        <f>NSG_Supplies!T9/1000</f>
        <v>0</v>
      </c>
      <c r="G18" s="820">
        <f>NSG_Supplies!T10/1000</f>
        <v>0</v>
      </c>
      <c r="H18" s="820">
        <f>NSG_Supplies!T11/1000</f>
        <v>0</v>
      </c>
      <c r="I18" s="825">
        <f>NSG_Supplies!T12/1000</f>
        <v>0</v>
      </c>
      <c r="J18" s="111"/>
    </row>
    <row r="19" spans="1:13" ht="24.9" customHeight="1">
      <c r="A19" s="819" t="s">
        <v>156</v>
      </c>
      <c r="B19" s="810" t="s">
        <v>135</v>
      </c>
      <c r="C19" s="1062" t="s">
        <v>687</v>
      </c>
      <c r="D19" s="820">
        <f>NSG_Supplies!Q7/1000</f>
        <v>25.29</v>
      </c>
      <c r="E19" s="820">
        <f>NSG_Supplies!Q8/1000</f>
        <v>24.568999999999999</v>
      </c>
      <c r="F19" s="820">
        <f>NSG_Supplies!Q9/1000</f>
        <v>24.568999999999999</v>
      </c>
      <c r="G19" s="820">
        <f>NSG_Supplies!Q10/1000</f>
        <v>24.568999999999999</v>
      </c>
      <c r="H19" s="820">
        <f>NSG_Supplies!Q11/1000</f>
        <v>24.568999999999999</v>
      </c>
      <c r="I19" s="821">
        <f>NSG_Supplies!Q12/1000</f>
        <v>24.568999999999999</v>
      </c>
      <c r="J19" s="110"/>
    </row>
    <row r="20" spans="1:13" ht="24.9" customHeight="1">
      <c r="A20" s="819"/>
      <c r="B20" s="810" t="s">
        <v>137</v>
      </c>
      <c r="C20" s="810" t="s">
        <v>575</v>
      </c>
      <c r="D20" s="820">
        <f>NSG_Supplies!P7/1000</f>
        <v>12</v>
      </c>
      <c r="E20" s="820">
        <f>NSG_Supplies!P8/1000</f>
        <v>12</v>
      </c>
      <c r="F20" s="820">
        <f>NSG_Supplies!P9/1000</f>
        <v>12</v>
      </c>
      <c r="G20" s="820">
        <f>NSG_Supplies!P10/1000</f>
        <v>12</v>
      </c>
      <c r="H20" s="820">
        <f>NSG_Supplies!P11/1000</f>
        <v>12</v>
      </c>
      <c r="I20" s="821">
        <f>NSG_Supplies!P12/1000</f>
        <v>12</v>
      </c>
      <c r="J20" s="110"/>
    </row>
    <row r="21" spans="1:13" ht="24.9" customHeight="1" thickBot="1">
      <c r="A21" s="1208" t="s">
        <v>149</v>
      </c>
      <c r="B21" s="1209"/>
      <c r="C21" s="1209"/>
      <c r="D21" s="1210">
        <f t="shared" ref="D21:I21" si="2">SUM(D14:D20)</f>
        <v>43.2</v>
      </c>
      <c r="E21" s="1210">
        <f t="shared" si="2"/>
        <v>36.569000000000003</v>
      </c>
      <c r="F21" s="1210">
        <f t="shared" si="2"/>
        <v>36.569000000000003</v>
      </c>
      <c r="G21" s="1210">
        <f t="shared" si="2"/>
        <v>36.569000000000003</v>
      </c>
      <c r="H21" s="1210">
        <f t="shared" si="2"/>
        <v>36.569000000000003</v>
      </c>
      <c r="I21" s="1211">
        <f t="shared" si="2"/>
        <v>36.569000000000003</v>
      </c>
      <c r="J21" s="110"/>
      <c r="K21" s="111"/>
      <c r="L21" s="93"/>
      <c r="M21" s="111"/>
    </row>
    <row r="22" spans="1:13" ht="24.9" customHeight="1">
      <c r="A22" s="859" t="s">
        <v>150</v>
      </c>
      <c r="B22" s="860"/>
      <c r="C22" s="860"/>
      <c r="D22" s="861">
        <f t="shared" ref="D22:I22" ca="1" si="3">IF(D21-D11&lt;0,0,D21-D11)</f>
        <v>0</v>
      </c>
      <c r="E22" s="861">
        <f t="shared" ca="1" si="3"/>
        <v>3.5690000000000026</v>
      </c>
      <c r="F22" s="861">
        <f t="shared" ca="1" si="3"/>
        <v>4.5690000000000026</v>
      </c>
      <c r="G22" s="861">
        <f t="shared" ca="1" si="3"/>
        <v>5.5690000000000026</v>
      </c>
      <c r="H22" s="861">
        <f t="shared" ca="1" si="3"/>
        <v>4.5690000000000026</v>
      </c>
      <c r="I22" s="862">
        <f t="shared" ca="1" si="3"/>
        <v>4.5690000000000026</v>
      </c>
      <c r="J22" s="110"/>
      <c r="K22" s="111"/>
      <c r="L22" s="93"/>
      <c r="M22" s="111"/>
    </row>
    <row r="23" spans="1:13" ht="24.9" customHeight="1" thickBot="1">
      <c r="A23" s="863" t="s">
        <v>151</v>
      </c>
      <c r="B23" s="844"/>
      <c r="C23" s="844"/>
      <c r="D23" s="845">
        <f t="shared" ref="D23:I23" ca="1" si="4">IF(D11-D21&lt;0,0,D11-D21)</f>
        <v>0</v>
      </c>
      <c r="E23" s="845">
        <f t="shared" ca="1" si="4"/>
        <v>0</v>
      </c>
      <c r="F23" s="845">
        <f t="shared" ca="1" si="4"/>
        <v>0</v>
      </c>
      <c r="G23" s="845">
        <f t="shared" ca="1" si="4"/>
        <v>0</v>
      </c>
      <c r="H23" s="845">
        <f t="shared" ca="1" si="4"/>
        <v>0</v>
      </c>
      <c r="I23" s="846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63" t="s">
        <v>688</v>
      </c>
      <c r="B24" s="1064"/>
      <c r="C24" s="1064"/>
      <c r="D24" s="1065">
        <f>NSG_Supplies!R7/1000</f>
        <v>15.3</v>
      </c>
      <c r="E24" s="1065">
        <f>NSG_Supplies!R8/1000</f>
        <v>15.3</v>
      </c>
      <c r="F24" s="1065">
        <f>NSG_Supplies!R9/1000</f>
        <v>15.3</v>
      </c>
      <c r="G24" s="1065">
        <f>NSG_Supplies!R10/1000</f>
        <v>15.3</v>
      </c>
      <c r="H24" s="1065">
        <f>NSG_Supplies!R11/1000</f>
        <v>15.3</v>
      </c>
      <c r="I24" s="1066">
        <f>NSG_Supplies!R12/1000</f>
        <v>15.3</v>
      </c>
    </row>
    <row r="25" spans="1:13" ht="24.9" customHeight="1" thickTop="1" thickBot="1">
      <c r="B25" s="865"/>
      <c r="C25" s="865"/>
      <c r="D25" s="865"/>
      <c r="E25" s="865"/>
      <c r="F25" s="865"/>
      <c r="G25" s="864"/>
      <c r="H25" s="864"/>
      <c r="I25" s="864"/>
    </row>
    <row r="26" spans="1:13" ht="24.9" customHeight="1" thickTop="1" thickBot="1">
      <c r="A26" s="866" t="s">
        <v>157</v>
      </c>
      <c r="B26" s="867"/>
      <c r="C26" s="867"/>
      <c r="D26" s="868">
        <f>Weather_Input!D5</f>
        <v>8.6</v>
      </c>
      <c r="E26" s="868">
        <f>Weather_Input!D6</f>
        <v>10</v>
      </c>
      <c r="F26" s="868">
        <f>Weather_Input!D7</f>
        <v>8</v>
      </c>
      <c r="G26" s="869"/>
      <c r="H26" s="864"/>
      <c r="I26" s="864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D12" zoomScale="75" workbookViewId="0">
      <selection activeCell="K19" sqref="K19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07" t="s">
        <v>9</v>
      </c>
      <c r="B1" s="1104" t="s">
        <v>9</v>
      </c>
      <c r="C1" s="1105" t="s">
        <v>664</v>
      </c>
      <c r="D1" s="1106"/>
      <c r="E1" s="1107" t="s">
        <v>9</v>
      </c>
      <c r="F1" s="1108" t="s">
        <v>704</v>
      </c>
      <c r="G1" s="1109" t="s">
        <v>9</v>
      </c>
      <c r="H1" s="1110"/>
      <c r="I1" s="1152" t="s">
        <v>9</v>
      </c>
      <c r="J1" s="575"/>
      <c r="K1" s="575"/>
      <c r="L1" s="576" t="s">
        <v>159</v>
      </c>
      <c r="M1" s="1183">
        <f>Weather_Input!A5</f>
        <v>37104</v>
      </c>
      <c r="N1" s="1184" t="str">
        <f>CHOOSE(WEEKDAY(M1),"SUN","MON","TUE","WED","THU","FRI","SAT")</f>
        <v>WED</v>
      </c>
      <c r="O1" s="580"/>
    </row>
    <row r="2" spans="1:17" ht="16.2" thickTop="1" thickBot="1">
      <c r="A2" s="420" t="s">
        <v>667</v>
      </c>
      <c r="B2" s="319">
        <f>PGL_Supplies!W7/1000</f>
        <v>0</v>
      </c>
      <c r="C2" s="8"/>
      <c r="D2" s="600"/>
      <c r="E2" s="555" t="s">
        <v>395</v>
      </c>
      <c r="F2" s="1084"/>
      <c r="G2" s="550" t="s">
        <v>9</v>
      </c>
      <c r="H2" s="1098" t="s">
        <v>9</v>
      </c>
      <c r="I2" s="254" t="s">
        <v>498</v>
      </c>
      <c r="J2" s="1125" t="s">
        <v>378</v>
      </c>
      <c r="K2" s="1129" t="s">
        <v>162</v>
      </c>
      <c r="L2" s="1130" t="s">
        <v>21</v>
      </c>
      <c r="M2" s="1129" t="s">
        <v>162</v>
      </c>
      <c r="N2" s="1125" t="s">
        <v>21</v>
      </c>
      <c r="O2" s="1131" t="s">
        <v>162</v>
      </c>
      <c r="Q2" s="1103" t="s">
        <v>9</v>
      </c>
    </row>
    <row r="3" spans="1:17" ht="15.6">
      <c r="A3" s="420" t="s">
        <v>699</v>
      </c>
      <c r="B3" s="1144">
        <f>PGL_Requirements!I7/1000</f>
        <v>0.1</v>
      </c>
      <c r="C3" s="936" t="s">
        <v>9</v>
      </c>
      <c r="D3" s="308"/>
      <c r="E3" s="555" t="s">
        <v>444</v>
      </c>
      <c r="F3" s="319">
        <f>PGL_Supplies!H7/1000</f>
        <v>20</v>
      </c>
      <c r="G3" s="383" t="s">
        <v>9</v>
      </c>
      <c r="H3" s="1098" t="s">
        <v>9</v>
      </c>
      <c r="I3" s="1153" t="s">
        <v>9</v>
      </c>
      <c r="J3" s="922">
        <f>Weather_Input!B5</f>
        <v>91</v>
      </c>
      <c r="K3" s="923">
        <f>Weather_Input!C5</f>
        <v>74</v>
      </c>
      <c r="L3" s="591" t="s">
        <v>9</v>
      </c>
      <c r="M3" s="264" t="s">
        <v>9</v>
      </c>
      <c r="N3" s="264"/>
      <c r="O3" s="262"/>
    </row>
    <row r="4" spans="1:17" ht="15.6" thickBot="1">
      <c r="A4" s="244" t="s">
        <v>701</v>
      </c>
      <c r="B4" s="1145">
        <v>0</v>
      </c>
      <c r="C4" s="119"/>
      <c r="D4" s="948"/>
      <c r="E4" s="524" t="s">
        <v>445</v>
      </c>
      <c r="F4" s="1178">
        <v>0</v>
      </c>
      <c r="G4" s="513" t="s">
        <v>9</v>
      </c>
      <c r="H4" s="1203"/>
      <c r="I4" t="s">
        <v>735</v>
      </c>
      <c r="J4" s="1015" t="s">
        <v>9</v>
      </c>
      <c r="K4" s="1223"/>
      <c r="L4" s="429"/>
      <c r="M4" s="1017"/>
      <c r="N4" s="429"/>
      <c r="O4" s="783"/>
    </row>
    <row r="5" spans="1:17" ht="16.2" thickBot="1">
      <c r="A5" s="1026" t="s">
        <v>3</v>
      </c>
      <c r="B5" s="319">
        <f>PGL_Supplies!X7/1000</f>
        <v>101.842</v>
      </c>
      <c r="C5" s="1018" t="s">
        <v>9</v>
      </c>
      <c r="D5" s="344"/>
      <c r="E5" s="1163" t="s">
        <v>421</v>
      </c>
      <c r="F5" s="942">
        <f>F3+F4</f>
        <v>20</v>
      </c>
      <c r="G5" s="553" t="s">
        <v>9</v>
      </c>
      <c r="H5" s="1192" t="s">
        <v>9</v>
      </c>
      <c r="I5" s="1154" t="s">
        <v>388</v>
      </c>
      <c r="J5" s="1055" t="s">
        <v>9</v>
      </c>
      <c r="K5" s="1224">
        <f>PGL_Deliveries!C5/1000</f>
        <v>195</v>
      </c>
      <c r="L5" s="589"/>
      <c r="M5" s="264"/>
      <c r="N5" s="589"/>
      <c r="O5" s="262"/>
    </row>
    <row r="6" spans="1:17" ht="16.2" thickBot="1">
      <c r="A6" s="546" t="s">
        <v>412</v>
      </c>
      <c r="B6" s="1021">
        <f>+B5-B3+B2-B4</f>
        <v>101.742</v>
      </c>
      <c r="C6" s="1022" t="s">
        <v>9</v>
      </c>
      <c r="D6" s="518"/>
      <c r="E6" s="623" t="s">
        <v>9</v>
      </c>
      <c r="F6" s="946" t="s">
        <v>35</v>
      </c>
      <c r="G6" s="947"/>
      <c r="H6" s="1099"/>
      <c r="I6" s="119" t="s">
        <v>682</v>
      </c>
      <c r="J6" s="1056"/>
      <c r="K6" s="1225">
        <f>PGL_Requirements!X7/1000</f>
        <v>0</v>
      </c>
      <c r="L6" s="1056"/>
      <c r="M6" s="1057"/>
      <c r="N6" s="119"/>
      <c r="O6" s="116"/>
    </row>
    <row r="7" spans="1:17" ht="16.2" thickBot="1">
      <c r="A7" s="321" t="s">
        <v>9</v>
      </c>
      <c r="B7" s="1019" t="s">
        <v>9</v>
      </c>
      <c r="C7" s="941" t="s">
        <v>66</v>
      </c>
      <c r="D7" s="1020"/>
      <c r="E7" s="420" t="s">
        <v>423</v>
      </c>
      <c r="F7" s="319">
        <f>PGL_Supplies!P7/1000</f>
        <v>0</v>
      </c>
      <c r="G7" s="376" t="s">
        <v>9</v>
      </c>
      <c r="H7" s="1092"/>
      <c r="I7" s="485"/>
      <c r="J7" s="484" t="s">
        <v>9</v>
      </c>
      <c r="K7" s="484" t="s">
        <v>9</v>
      </c>
      <c r="L7" s="485"/>
      <c r="M7" s="485"/>
      <c r="N7" s="485"/>
      <c r="O7" s="486"/>
    </row>
    <row r="8" spans="1:17">
      <c r="A8" s="420" t="s">
        <v>569</v>
      </c>
      <c r="B8" s="319">
        <f>PGL_Requirements!T7/1000</f>
        <v>0</v>
      </c>
      <c r="C8" s="581"/>
      <c r="D8" s="308"/>
      <c r="E8" s="420" t="s">
        <v>424</v>
      </c>
      <c r="F8" s="383">
        <f>PGL_Requirements!E7/1000</f>
        <v>0</v>
      </c>
      <c r="G8" s="376" t="s">
        <v>9</v>
      </c>
      <c r="H8" s="1092"/>
      <c r="I8" s="1006" t="s">
        <v>697</v>
      </c>
      <c r="J8" s="288" t="s">
        <v>9</v>
      </c>
      <c r="K8" s="1226">
        <f>B4</f>
        <v>0</v>
      </c>
      <c r="L8" s="606"/>
      <c r="M8" s="264"/>
      <c r="N8" s="606"/>
      <c r="O8" s="262" t="s">
        <v>9</v>
      </c>
    </row>
    <row r="9" spans="1:17">
      <c r="A9" s="420" t="s">
        <v>640</v>
      </c>
      <c r="B9" s="319">
        <f>PGL_Supplies!Q7/1000</f>
        <v>0.7</v>
      </c>
      <c r="C9" s="308"/>
      <c r="D9" s="308"/>
      <c r="E9" s="420" t="s">
        <v>425</v>
      </c>
      <c r="F9" s="319">
        <f>PGL_Supplies!F7/1000</f>
        <v>4.5999999999999996</v>
      </c>
      <c r="G9" s="319"/>
      <c r="H9" s="1092"/>
      <c r="I9" s="119" t="s">
        <v>664</v>
      </c>
      <c r="J9" s="1015"/>
      <c r="K9" s="1227">
        <f>+B6</f>
        <v>101.742</v>
      </c>
      <c r="L9" s="1015"/>
      <c r="M9" s="1017"/>
      <c r="N9" s="429"/>
      <c r="O9" s="280" t="s">
        <v>9</v>
      </c>
    </row>
    <row r="10" spans="1:17" ht="15.6" thickBot="1">
      <c r="A10" s="622" t="s">
        <v>626</v>
      </c>
      <c r="B10" s="319">
        <f>PGL_Supplies!Y7/1000</f>
        <v>10.417999999999999</v>
      </c>
      <c r="C10" s="119"/>
      <c r="D10" s="1014"/>
      <c r="E10" s="420" t="s">
        <v>724</v>
      </c>
      <c r="F10" s="950">
        <f>PGL_Supplies!AC7/1000</f>
        <v>37.499000000000002</v>
      </c>
      <c r="G10" s="514"/>
      <c r="H10" s="1093"/>
      <c r="I10" s="1155" t="s">
        <v>717</v>
      </c>
      <c r="J10" s="277" t="s">
        <v>9</v>
      </c>
      <c r="K10" s="1226">
        <f>B11</f>
        <v>11.117999999999999</v>
      </c>
      <c r="L10" s="589"/>
      <c r="M10" s="601" t="s">
        <v>9</v>
      </c>
      <c r="N10" s="589"/>
      <c r="O10" s="280" t="s">
        <v>9</v>
      </c>
    </row>
    <row r="11" spans="1:17" ht="16.2" thickBot="1">
      <c r="A11" s="546" t="s">
        <v>412</v>
      </c>
      <c r="B11" s="553">
        <f>B10+B9-B8</f>
        <v>11.117999999999999</v>
      </c>
      <c r="C11" s="518"/>
      <c r="D11" s="518"/>
      <c r="E11" s="776" t="s">
        <v>513</v>
      </c>
      <c r="F11" s="951">
        <f>+F10+F9-F8+F7</f>
        <v>42.099000000000004</v>
      </c>
      <c r="G11" s="942" t="s">
        <v>9</v>
      </c>
      <c r="H11" s="519"/>
      <c r="I11" s="1155" t="s">
        <v>58</v>
      </c>
      <c r="J11" s="277" t="s">
        <v>9</v>
      </c>
      <c r="K11" s="1226">
        <f>B19</f>
        <v>-121.28</v>
      </c>
      <c r="L11" s="589"/>
      <c r="M11" s="264" t="s">
        <v>9</v>
      </c>
      <c r="N11" s="589"/>
      <c r="O11" s="262"/>
    </row>
    <row r="12" spans="1:17" ht="16.2" thickBot="1">
      <c r="A12" s="542" t="s">
        <v>9</v>
      </c>
      <c r="B12" s="547" t="s">
        <v>9</v>
      </c>
      <c r="C12" s="941" t="s">
        <v>58</v>
      </c>
      <c r="D12" s="545"/>
      <c r="E12" s="1147" t="s">
        <v>9</v>
      </c>
      <c r="F12" s="1146" t="s">
        <v>736</v>
      </c>
      <c r="G12" s="354"/>
      <c r="H12" s="1097"/>
      <c r="I12" s="1155" t="s">
        <v>718</v>
      </c>
      <c r="J12" s="277" t="s">
        <v>9</v>
      </c>
      <c r="K12" s="1226">
        <f>B28</f>
        <v>0</v>
      </c>
      <c r="L12" s="589"/>
      <c r="M12" s="264" t="s">
        <v>9</v>
      </c>
      <c r="N12" s="589"/>
      <c r="O12" s="262"/>
    </row>
    <row r="13" spans="1:17">
      <c r="A13" s="420" t="s">
        <v>70</v>
      </c>
      <c r="B13" s="319">
        <f>PGL_Requirements!O7/1000</f>
        <v>140</v>
      </c>
      <c r="C13" s="308"/>
      <c r="D13" s="536"/>
      <c r="E13" s="568" t="s">
        <v>453</v>
      </c>
      <c r="F13" s="1084" t="s">
        <v>9</v>
      </c>
      <c r="G13" s="561" t="s">
        <v>9</v>
      </c>
      <c r="H13" s="1100" t="s">
        <v>9</v>
      </c>
      <c r="I13" s="1155" t="s">
        <v>719</v>
      </c>
      <c r="J13" s="281" t="s">
        <v>9</v>
      </c>
      <c r="K13" s="1226">
        <f>B34</f>
        <v>266.56399999999996</v>
      </c>
      <c r="L13" s="589"/>
      <c r="M13" s="264" t="s">
        <v>9</v>
      </c>
      <c r="N13" s="589"/>
      <c r="O13" s="262"/>
    </row>
    <row r="14" spans="1:17">
      <c r="A14" s="420" t="s">
        <v>417</v>
      </c>
      <c r="B14" s="319">
        <f>PGL_Supplies!L7/1000</f>
        <v>0</v>
      </c>
      <c r="C14" s="308"/>
      <c r="D14" s="536"/>
      <c r="E14" s="356" t="s">
        <v>454</v>
      </c>
      <c r="F14" s="308"/>
      <c r="G14" s="527"/>
      <c r="H14" s="1101"/>
      <c r="I14" s="1155" t="s">
        <v>391</v>
      </c>
      <c r="J14" s="277" t="s">
        <v>9</v>
      </c>
      <c r="K14" s="1228">
        <f>F5</f>
        <v>20</v>
      </c>
      <c r="L14" s="589"/>
      <c r="M14" s="264" t="s">
        <v>9</v>
      </c>
      <c r="N14" s="589"/>
      <c r="O14" s="262"/>
    </row>
    <row r="15" spans="1:17" ht="16.2" thickBot="1">
      <c r="A15" s="420" t="s">
        <v>418</v>
      </c>
      <c r="B15" s="319">
        <f>SUM(PGL_Requirements!B7/1000)</f>
        <v>0</v>
      </c>
      <c r="C15" s="308"/>
      <c r="D15" s="1092"/>
      <c r="E15" s="1149" t="s">
        <v>627</v>
      </c>
      <c r="F15" s="949"/>
      <c r="G15" s="1056"/>
      <c r="H15" s="1116"/>
      <c r="I15" s="1155" t="s">
        <v>720</v>
      </c>
      <c r="J15" s="277" t="s">
        <v>158</v>
      </c>
      <c r="K15" s="1226">
        <f>F11</f>
        <v>42.099000000000004</v>
      </c>
      <c r="L15" s="589"/>
      <c r="M15" s="264" t="s">
        <v>9</v>
      </c>
      <c r="N15" s="589"/>
      <c r="O15" s="262"/>
    </row>
    <row r="16" spans="1:17" ht="16.2" thickBot="1">
      <c r="A16" s="420" t="s">
        <v>419</v>
      </c>
      <c r="B16" s="319">
        <f>PGL_Supplies!G7/1000</f>
        <v>1</v>
      </c>
      <c r="C16" s="308"/>
      <c r="D16" s="1092"/>
      <c r="E16" s="1150" t="s">
        <v>9</v>
      </c>
      <c r="F16" s="1111" t="s">
        <v>446</v>
      </c>
      <c r="G16" s="1193"/>
      <c r="H16" s="1151"/>
      <c r="I16" s="1155" t="s">
        <v>514</v>
      </c>
      <c r="J16" s="277" t="s">
        <v>158</v>
      </c>
      <c r="K16" s="1228">
        <f>PGL_Supplies!B7/1000</f>
        <v>0</v>
      </c>
      <c r="L16" s="589"/>
      <c r="M16" s="264" t="s">
        <v>9</v>
      </c>
      <c r="N16" s="589"/>
      <c r="O16" s="262"/>
    </row>
    <row r="17" spans="1:15" ht="15" customHeight="1" thickBot="1">
      <c r="A17" s="365" t="s">
        <v>660</v>
      </c>
      <c r="B17" s="319">
        <f>PGL_Requirements!Q7/1000</f>
        <v>0.28000000000000003</v>
      </c>
      <c r="C17" s="308"/>
      <c r="D17" s="1092"/>
      <c r="E17" s="529" t="s">
        <v>447</v>
      </c>
      <c r="F17" s="549">
        <f>+PGL_Supplies!J7/1000</f>
        <v>0</v>
      </c>
      <c r="G17" s="1176" t="s">
        <v>9</v>
      </c>
      <c r="H17" s="1102" t="s">
        <v>9</v>
      </c>
      <c r="I17" s="1148" t="s">
        <v>515</v>
      </c>
      <c r="J17" s="302" t="s">
        <v>9</v>
      </c>
      <c r="K17" s="1229">
        <f>-PGL_Requirements!F7/1000</f>
        <v>-30.36</v>
      </c>
      <c r="L17" s="589"/>
      <c r="M17" s="264"/>
      <c r="N17" s="589"/>
      <c r="O17" s="262"/>
    </row>
    <row r="18" spans="1:15" ht="16.2" thickBot="1">
      <c r="A18" s="420" t="s">
        <v>661</v>
      </c>
      <c r="B18" s="319">
        <f>PGL_Requirements!P7/1000</f>
        <v>2.1</v>
      </c>
      <c r="C18" s="344"/>
      <c r="D18" s="1093"/>
      <c r="E18" s="623" t="s">
        <v>9</v>
      </c>
      <c r="F18" s="1111" t="s">
        <v>705</v>
      </c>
      <c r="G18" s="947"/>
      <c r="H18" s="1099"/>
      <c r="I18" t="s">
        <v>734</v>
      </c>
      <c r="J18" s="1015"/>
      <c r="K18" s="1230">
        <f>-F19</f>
        <v>-88.9</v>
      </c>
      <c r="L18" s="1015"/>
      <c r="M18" s="221"/>
      <c r="N18" s="1015"/>
      <c r="O18" s="783"/>
    </row>
    <row r="19" spans="1:15" ht="16.2" thickBot="1">
      <c r="A19" s="505" t="s">
        <v>421</v>
      </c>
      <c r="B19" s="1174">
        <f>-B13+B14+B16-B17-B15+B20+B21</f>
        <v>-121.28</v>
      </c>
      <c r="C19" s="507"/>
      <c r="D19" s="519"/>
      <c r="E19" s="1112" t="s">
        <v>706</v>
      </c>
      <c r="F19" s="1177">
        <f>PGL_Requirements!J7/1000</f>
        <v>88.9</v>
      </c>
      <c r="G19" s="1004" t="s">
        <v>9</v>
      </c>
      <c r="H19" s="1113" t="s">
        <v>9</v>
      </c>
      <c r="I19" t="s">
        <v>516</v>
      </c>
      <c r="J19" s="1180"/>
      <c r="K19" s="1231">
        <f>-F24</f>
        <v>-87.387</v>
      </c>
      <c r="L19" s="1180"/>
      <c r="M19" s="157"/>
      <c r="N19" s="1180"/>
      <c r="O19" s="1179"/>
    </row>
    <row r="20" spans="1:15" ht="16.2" thickBot="1">
      <c r="A20" s="327" t="s">
        <v>204</v>
      </c>
      <c r="B20" s="319">
        <v>18</v>
      </c>
      <c r="C20" s="510"/>
      <c r="D20" s="1094"/>
      <c r="E20" s="119"/>
      <c r="F20" s="119"/>
      <c r="G20" s="119"/>
      <c r="H20" s="1124"/>
      <c r="I20" s="1156" t="s">
        <v>627</v>
      </c>
      <c r="J20" s="604" t="s">
        <v>9</v>
      </c>
      <c r="K20" s="1232">
        <f>SUM(K8:K19)</f>
        <v>113.59599999999992</v>
      </c>
      <c r="L20" s="608" t="s">
        <v>9</v>
      </c>
      <c r="M20" s="498" t="s">
        <v>9</v>
      </c>
      <c r="N20" s="608" t="s">
        <v>9</v>
      </c>
      <c r="O20" s="609"/>
    </row>
    <row r="21" spans="1:15" ht="16.2" thickBot="1">
      <c r="A21" s="420" t="s">
        <v>202</v>
      </c>
      <c r="B21" s="1088">
        <v>0</v>
      </c>
      <c r="C21" s="537"/>
      <c r="D21" s="1095"/>
      <c r="E21" s="1114" t="s">
        <v>707</v>
      </c>
      <c r="F21" s="1145">
        <v>0</v>
      </c>
      <c r="G21" s="1016"/>
      <c r="H21" s="430"/>
      <c r="I21" s="484" t="s">
        <v>36</v>
      </c>
      <c r="J21" s="492" t="s">
        <v>9</v>
      </c>
      <c r="K21" s="925"/>
      <c r="L21" s="494"/>
      <c r="M21" s="494" t="s">
        <v>716</v>
      </c>
      <c r="N21" s="494"/>
      <c r="O21" s="926"/>
    </row>
    <row r="22" spans="1:15" ht="15.6" thickBot="1">
      <c r="A22" s="1089" t="s">
        <v>698</v>
      </c>
      <c r="B22" s="1076">
        <f>SUM(B4)</f>
        <v>0</v>
      </c>
      <c r="C22" s="1090"/>
      <c r="D22" s="1091"/>
      <c r="E22" s="1114" t="s">
        <v>708</v>
      </c>
      <c r="F22" s="1145">
        <v>0</v>
      </c>
      <c r="G22" s="1016"/>
      <c r="H22" s="430"/>
      <c r="I22" s="1155" t="s">
        <v>567</v>
      </c>
      <c r="J22" s="277" t="s">
        <v>9</v>
      </c>
      <c r="K22" s="1233">
        <f>-PGL_Supplies!I7/1000</f>
        <v>0</v>
      </c>
      <c r="L22" s="261"/>
      <c r="M22" s="264"/>
      <c r="N22" s="261"/>
      <c r="O22" s="255"/>
    </row>
    <row r="23" spans="1:15" ht="18" customHeight="1" thickBot="1">
      <c r="A23" s="542" t="s">
        <v>9</v>
      </c>
      <c r="B23" s="543" t="s">
        <v>9</v>
      </c>
      <c r="C23" s="1194" t="s">
        <v>67</v>
      </c>
      <c r="D23" s="1099"/>
      <c r="E23" s="1115" t="s">
        <v>709</v>
      </c>
      <c r="F23" s="1165">
        <v>0</v>
      </c>
      <c r="G23" s="949"/>
      <c r="H23" s="1116"/>
      <c r="I23" s="1155" t="s">
        <v>394</v>
      </c>
      <c r="J23" s="277" t="s">
        <v>9</v>
      </c>
      <c r="K23" s="1226">
        <f>K5+K6-K20</f>
        <v>81.404000000000082</v>
      </c>
      <c r="L23" s="261"/>
      <c r="M23" s="601" t="s">
        <v>9</v>
      </c>
      <c r="N23" s="261"/>
      <c r="O23" s="291"/>
    </row>
    <row r="24" spans="1:15" ht="16.2" thickBot="1">
      <c r="A24" s="420" t="s">
        <v>415</v>
      </c>
      <c r="B24" s="319">
        <f>PGL_Supplies!C7/1000</f>
        <v>0</v>
      </c>
      <c r="C24" s="347"/>
      <c r="D24" s="1092"/>
      <c r="E24" s="538" t="s">
        <v>710</v>
      </c>
      <c r="F24" s="1177">
        <f>PGL_Requirements!G7/1000*0.5</f>
        <v>87.387</v>
      </c>
      <c r="G24" s="1004"/>
      <c r="H24" s="990"/>
      <c r="I24" s="1157" t="s">
        <v>395</v>
      </c>
      <c r="J24" s="277" t="s">
        <v>9</v>
      </c>
      <c r="K24" s="1226"/>
      <c r="L24" s="292" t="s">
        <v>9</v>
      </c>
      <c r="M24" s="927"/>
      <c r="N24" s="292" t="s">
        <v>9</v>
      </c>
      <c r="O24" s="291"/>
    </row>
    <row r="25" spans="1:15" ht="16.2" thickBot="1">
      <c r="A25" s="420" t="s">
        <v>702</v>
      </c>
      <c r="B25" s="944">
        <f>PGL_Supplies!C7/1000</f>
        <v>0</v>
      </c>
      <c r="C25" s="1173"/>
      <c r="D25" s="1092"/>
      <c r="E25" s="1117" t="s">
        <v>711</v>
      </c>
      <c r="F25" s="1166"/>
      <c r="G25" s="1118"/>
      <c r="H25" s="1119"/>
      <c r="I25" s="1155" t="s">
        <v>396</v>
      </c>
      <c r="J25" s="928" t="s">
        <v>9</v>
      </c>
      <c r="K25" s="1234">
        <f>SUM(B18+B20+B21)</f>
        <v>20.100000000000001</v>
      </c>
      <c r="L25" s="929"/>
      <c r="M25" s="1191"/>
      <c r="N25" s="930" t="s">
        <v>9</v>
      </c>
      <c r="O25" s="255"/>
    </row>
    <row r="26" spans="1:15" ht="16.8" thickTop="1" thickBot="1">
      <c r="A26" s="420" t="s">
        <v>104</v>
      </c>
      <c r="B26" s="944">
        <f>PGL_Supplies!Z7/1000</f>
        <v>0</v>
      </c>
      <c r="C26" s="308"/>
      <c r="D26" s="1092"/>
      <c r="E26" s="119"/>
      <c r="F26" s="1030"/>
      <c r="G26" s="119"/>
      <c r="H26" s="158"/>
      <c r="I26" s="1158" t="s">
        <v>397</v>
      </c>
      <c r="J26" s="931" t="s">
        <v>9</v>
      </c>
      <c r="K26" s="1235">
        <f>SUM(K23:K25)</f>
        <v>101.50400000000008</v>
      </c>
      <c r="L26" s="931" t="s">
        <v>9</v>
      </c>
      <c r="M26" s="601"/>
      <c r="N26" s="932" t="s">
        <v>9</v>
      </c>
      <c r="O26" s="933" t="s">
        <v>9</v>
      </c>
    </row>
    <row r="27" spans="1:15" ht="15.75" customHeight="1" thickTop="1" thickBot="1">
      <c r="A27" s="420" t="s">
        <v>703</v>
      </c>
      <c r="B27" s="319">
        <f>PGL_Supplies!R7/1000</f>
        <v>0</v>
      </c>
      <c r="C27" s="347"/>
      <c r="D27" s="1092"/>
      <c r="E27" s="1112" t="s">
        <v>712</v>
      </c>
      <c r="F27" s="1164"/>
      <c r="G27" s="1004"/>
      <c r="H27" s="1113"/>
      <c r="I27" s="1159" t="s">
        <v>655</v>
      </c>
      <c r="J27" s="934"/>
      <c r="K27" s="1233">
        <f>SUM(-PGL_Supplies!L7/1000)</f>
        <v>0</v>
      </c>
      <c r="L27" s="1007"/>
      <c r="M27" s="1008"/>
      <c r="N27" s="501"/>
      <c r="O27" s="937"/>
    </row>
    <row r="28" spans="1:15" ht="16.2" thickBot="1">
      <c r="A28" s="546" t="s">
        <v>412</v>
      </c>
      <c r="B28" s="942">
        <f>-B24+B25+B26+B27</f>
        <v>0</v>
      </c>
      <c r="C28" s="943"/>
      <c r="D28" s="519"/>
      <c r="E28" s="119"/>
      <c r="F28" s="1030"/>
      <c r="G28" s="119"/>
      <c r="H28" s="158"/>
      <c r="I28" s="1155" t="s">
        <v>405</v>
      </c>
      <c r="J28" s="938"/>
      <c r="K28" s="1229">
        <f>PGL_Requirements!N7/1000</f>
        <v>0</v>
      </c>
      <c r="L28" s="302"/>
      <c r="M28" s="924" t="s">
        <v>9</v>
      </c>
      <c r="N28" s="501"/>
      <c r="O28" s="935" t="s">
        <v>9</v>
      </c>
    </row>
    <row r="29" spans="1:15" ht="16.2" thickBot="1">
      <c r="A29" s="353" t="s">
        <v>9</v>
      </c>
      <c r="B29" s="1189" t="s">
        <v>390</v>
      </c>
      <c r="C29" s="354"/>
      <c r="D29" s="355"/>
      <c r="E29" s="1120" t="s">
        <v>438</v>
      </c>
      <c r="F29" s="1165"/>
      <c r="G29" s="949"/>
      <c r="H29" s="1121"/>
      <c r="I29" s="1155" t="s">
        <v>406</v>
      </c>
      <c r="J29" s="939"/>
      <c r="K29" s="1236">
        <f>-PGL_Supplies!K7/1000</f>
        <v>-33.9</v>
      </c>
      <c r="L29" s="302"/>
      <c r="M29" s="936" t="s">
        <v>9</v>
      </c>
      <c r="N29" s="501"/>
      <c r="O29" s="940" t="s">
        <v>9</v>
      </c>
    </row>
    <row r="30" spans="1:15" ht="15.6" thickBot="1">
      <c r="A30" s="365" t="s">
        <v>449</v>
      </c>
      <c r="B30" s="383">
        <f>PGL_Requirements!D7/1000</f>
        <v>19.899999999999999</v>
      </c>
      <c r="C30" s="527"/>
      <c r="D30" s="383" t="s">
        <v>9</v>
      </c>
      <c r="E30" s="1123" t="s">
        <v>713</v>
      </c>
      <c r="F30" s="1145"/>
      <c r="G30" s="1016"/>
      <c r="H30" s="1096"/>
      <c r="I30" s="1160" t="s">
        <v>183</v>
      </c>
      <c r="J30" s="1126"/>
      <c r="K30" s="1225">
        <f>-PGL_Supplies!AB7/1000</f>
        <v>-47.604999999999997</v>
      </c>
      <c r="L30" s="1127"/>
      <c r="M30" s="1029">
        <f>-PGL_Supplies!AB7/1000</f>
        <v>-47.604999999999997</v>
      </c>
      <c r="N30" s="1128"/>
      <c r="O30" s="1188">
        <f>-PGL_Supplies!AB7/1000</f>
        <v>-47.604999999999997</v>
      </c>
    </row>
    <row r="31" spans="1:15" ht="16.2" thickBot="1">
      <c r="A31" s="365" t="s">
        <v>450</v>
      </c>
      <c r="B31" s="944">
        <f>PGL_Supplies!D7/1000</f>
        <v>0</v>
      </c>
      <c r="C31" s="944" t="s">
        <v>9</v>
      </c>
      <c r="D31" s="945" t="s">
        <v>9</v>
      </c>
      <c r="E31" s="157" t="s">
        <v>714</v>
      </c>
      <c r="F31" s="1167"/>
      <c r="G31" s="1014"/>
      <c r="H31" s="1122"/>
      <c r="I31" s="324" t="s">
        <v>188</v>
      </c>
      <c r="J31" s="323"/>
      <c r="K31" s="1134"/>
      <c r="L31" s="1135"/>
      <c r="M31" s="326"/>
      <c r="N31" s="326"/>
      <c r="O31" s="326"/>
    </row>
    <row r="32" spans="1:15" ht="16.2" thickBot="1">
      <c r="A32" s="420" t="s">
        <v>104</v>
      </c>
      <c r="B32" s="944">
        <f>PGL_Supplies!AA7/1000+NSG_Supplies!M7/1000</f>
        <v>246.464</v>
      </c>
      <c r="C32" s="944" t="s">
        <v>9</v>
      </c>
      <c r="D32" s="945" t="s">
        <v>9</v>
      </c>
      <c r="E32" s="538" t="s">
        <v>715</v>
      </c>
      <c r="F32" s="1168"/>
      <c r="G32" s="425"/>
      <c r="H32" s="990"/>
      <c r="I32" s="1159" t="s">
        <v>429</v>
      </c>
      <c r="J32" s="510"/>
      <c r="K32" s="1195"/>
      <c r="L32" s="1175" t="s">
        <v>721</v>
      </c>
      <c r="M32" s="119"/>
      <c r="N32" s="1202"/>
      <c r="O32" s="1200"/>
    </row>
    <row r="33" spans="1:15" ht="15.6" thickBot="1">
      <c r="A33" s="1083" t="s">
        <v>564</v>
      </c>
      <c r="B33" s="944">
        <f>PGL_Supplies!S7/1000</f>
        <v>80</v>
      </c>
      <c r="C33" s="944" t="s">
        <v>9</v>
      </c>
      <c r="D33" s="948"/>
      <c r="E33" s="119"/>
      <c r="F33" s="119"/>
      <c r="G33" s="119"/>
      <c r="H33" s="158"/>
      <c r="I33" s="1161" t="s">
        <v>430</v>
      </c>
      <c r="J33" s="1199"/>
      <c r="K33" s="1196"/>
      <c r="L33" s="1136" t="s">
        <v>438</v>
      </c>
      <c r="M33" s="1017"/>
      <c r="N33" s="1015"/>
      <c r="O33" s="783"/>
    </row>
    <row r="34" spans="1:15" ht="16.2" thickBot="1">
      <c r="A34" s="1139" t="s">
        <v>623</v>
      </c>
      <c r="B34" s="1164">
        <f>-B30+B31+B32+B33*0.5</f>
        <v>266.56399999999996</v>
      </c>
      <c r="C34" s="1004"/>
      <c r="D34" s="992" t="s">
        <v>9</v>
      </c>
      <c r="E34" s="1215" t="s">
        <v>723</v>
      </c>
      <c r="F34" s="119"/>
      <c r="G34" s="119"/>
      <c r="H34" s="158"/>
      <c r="I34" s="1162" t="s">
        <v>431</v>
      </c>
      <c r="J34" s="536"/>
      <c r="K34" s="1197"/>
      <c r="L34" s="1136" t="s">
        <v>439</v>
      </c>
      <c r="M34" s="1017"/>
      <c r="N34" s="1015"/>
      <c r="O34" s="783"/>
    </row>
    <row r="35" spans="1:15">
      <c r="A35" s="1078" t="s">
        <v>731</v>
      </c>
      <c r="B35" s="995"/>
      <c r="C35" s="995"/>
      <c r="D35" s="993" t="s">
        <v>9</v>
      </c>
      <c r="E35" s="1215" t="s">
        <v>770</v>
      </c>
      <c r="F35" s="119"/>
      <c r="G35" s="119"/>
      <c r="H35" s="158"/>
      <c r="I35" s="1162" t="s">
        <v>432</v>
      </c>
      <c r="J35" s="536"/>
      <c r="K35" s="1196"/>
      <c r="L35" s="1137" t="s">
        <v>440</v>
      </c>
      <c r="M35" s="1017"/>
      <c r="N35" s="1015"/>
      <c r="O35" s="783"/>
    </row>
    <row r="36" spans="1:15">
      <c r="A36" s="1079" t="s">
        <v>732</v>
      </c>
      <c r="B36" s="319">
        <f>B34-B35-B37</f>
        <v>179.17699999999996</v>
      </c>
      <c r="C36" s="996" t="s">
        <v>9</v>
      </c>
      <c r="D36" s="994" t="s">
        <v>9</v>
      </c>
      <c r="E36" s="1215" t="s">
        <v>722</v>
      </c>
      <c r="F36" s="119"/>
      <c r="G36" s="119"/>
      <c r="H36" s="158"/>
      <c r="I36" s="1162" t="s">
        <v>433</v>
      </c>
      <c r="J36" s="536"/>
      <c r="K36" s="1196"/>
      <c r="L36" s="1137" t="s">
        <v>372</v>
      </c>
      <c r="M36" s="1017"/>
      <c r="N36" s="1015"/>
      <c r="O36" s="783"/>
    </row>
    <row r="37" spans="1:15">
      <c r="A37" s="1080" t="s">
        <v>733</v>
      </c>
      <c r="B37" s="1186">
        <f>F24</f>
        <v>87.387</v>
      </c>
      <c r="C37" s="1015"/>
      <c r="D37" s="1072" t="s">
        <v>9</v>
      </c>
      <c r="E37" s="119"/>
      <c r="F37" s="119"/>
      <c r="G37" s="119"/>
      <c r="H37" s="119"/>
      <c r="I37" s="1185" t="s">
        <v>434</v>
      </c>
      <c r="J37" s="536"/>
      <c r="K37" s="1196"/>
      <c r="L37" s="1138" t="s">
        <v>441</v>
      </c>
      <c r="M37" s="1017"/>
      <c r="N37" s="1015"/>
      <c r="O37" s="783"/>
    </row>
    <row r="38" spans="1:15">
      <c r="A38" s="1213" t="s">
        <v>769</v>
      </c>
      <c r="B38" s="1145">
        <f>PGL_Requirements!J7/1000</f>
        <v>88.9</v>
      </c>
      <c r="C38" s="1016"/>
      <c r="D38" s="948"/>
      <c r="E38" s="119"/>
      <c r="F38" s="119"/>
      <c r="G38" s="119"/>
      <c r="H38" s="119"/>
      <c r="I38" s="1181" t="s">
        <v>435</v>
      </c>
      <c r="J38" s="536"/>
      <c r="K38" s="1196"/>
      <c r="L38" s="581" t="s">
        <v>442</v>
      </c>
      <c r="M38" s="119"/>
      <c r="N38" s="1217"/>
      <c r="O38" s="1218"/>
    </row>
    <row r="39" spans="1:15" ht="16.2" thickBot="1">
      <c r="A39" s="1085" t="s">
        <v>2</v>
      </c>
      <c r="B39" s="1187">
        <f>B35+B36+B37+B38</f>
        <v>355.46399999999994</v>
      </c>
      <c r="C39" s="1086"/>
      <c r="D39" s="1087" t="s">
        <v>9</v>
      </c>
      <c r="E39" s="119"/>
      <c r="F39" s="119"/>
      <c r="G39" s="119"/>
      <c r="H39" s="119"/>
      <c r="I39" s="1182" t="s">
        <v>436</v>
      </c>
      <c r="J39" s="571"/>
      <c r="K39" s="1198"/>
      <c r="L39" s="1219" t="s">
        <v>771</v>
      </c>
      <c r="M39" s="1057"/>
      <c r="N39" s="1220"/>
      <c r="O39" s="1201"/>
    </row>
    <row r="40" spans="1:15" ht="16.8" thickTop="1" thickBot="1">
      <c r="A40" s="1214" t="s">
        <v>9</v>
      </c>
      <c r="B40" s="431"/>
      <c r="C40" s="431"/>
      <c r="D40" s="431"/>
      <c r="E40" s="117"/>
      <c r="F40" s="117"/>
      <c r="G40" s="117"/>
      <c r="H40" s="117"/>
      <c r="I40" s="117"/>
      <c r="J40" s="952" t="s">
        <v>9</v>
      </c>
      <c r="K40" s="1140"/>
      <c r="L40" s="1216" t="s">
        <v>210</v>
      </c>
      <c r="M40" s="1221"/>
      <c r="N40" s="117" t="s">
        <v>9</v>
      </c>
      <c r="O40" s="1141"/>
    </row>
    <row r="41" spans="1:15" ht="15.6" thickTop="1">
      <c r="A41" s="769"/>
      <c r="B41" s="769"/>
      <c r="C41" s="769"/>
      <c r="D41" s="769"/>
      <c r="E41" s="769"/>
      <c r="F41" s="769"/>
      <c r="G41" s="769"/>
      <c r="H41" s="769"/>
      <c r="I41" s="769"/>
      <c r="J41" s="1142"/>
      <c r="K41" s="1142"/>
      <c r="L41" s="1143"/>
      <c r="M41" s="769"/>
      <c r="N41" s="769"/>
      <c r="O41" s="769"/>
    </row>
    <row r="42" spans="1:15">
      <c r="A42" s="1081"/>
      <c r="B42" s="119"/>
      <c r="C42" s="119"/>
      <c r="D42" s="1082"/>
      <c r="I42" s="119"/>
      <c r="J42" s="1132"/>
      <c r="K42" s="581"/>
      <c r="L42" s="1133"/>
    </row>
    <row r="43" spans="1:15">
      <c r="I43" s="119"/>
      <c r="J43" s="1132"/>
      <c r="K43" s="581"/>
      <c r="L43" s="1133"/>
    </row>
    <row r="44" spans="1:15">
      <c r="I44" s="119"/>
      <c r="J44" s="8"/>
      <c r="K44" s="8"/>
      <c r="L44" s="1133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05" t="s">
        <v>9</v>
      </c>
      <c r="B1" s="624"/>
      <c r="C1" s="624" t="s">
        <v>9</v>
      </c>
      <c r="D1" s="625"/>
      <c r="E1" s="576" t="s">
        <v>159</v>
      </c>
      <c r="F1" s="576" t="str">
        <f>CHOOSE(WEEKDAY(G1),"SUN","MON","TUE","WED","THU","FRI","SAT")</f>
        <v>WED</v>
      </c>
      <c r="G1" s="1190">
        <f>Weather_Input!A5</f>
        <v>37104</v>
      </c>
      <c r="H1" s="576" t="s">
        <v>244</v>
      </c>
      <c r="I1" s="580"/>
    </row>
    <row r="2" spans="1:9" ht="20.399999999999999">
      <c r="A2" s="626" t="s">
        <v>9</v>
      </c>
      <c r="B2" s="770" t="s">
        <v>510</v>
      </c>
      <c r="C2" s="913">
        <v>84.5</v>
      </c>
      <c r="D2" s="772" t="s">
        <v>511</v>
      </c>
      <c r="E2" s="771"/>
      <c r="F2" s="772" t="s">
        <v>512</v>
      </c>
      <c r="G2" s="771"/>
      <c r="H2" s="773" t="s">
        <v>464</v>
      </c>
      <c r="I2" s="629"/>
    </row>
    <row r="3" spans="1:9" ht="21">
      <c r="A3" s="997" t="s">
        <v>465</v>
      </c>
      <c r="B3" s="630" t="s">
        <v>21</v>
      </c>
      <c r="C3" s="631"/>
      <c r="D3" s="632" t="s">
        <v>21</v>
      </c>
      <c r="E3" s="631" t="s">
        <v>22</v>
      </c>
      <c r="F3" s="632" t="s">
        <v>21</v>
      </c>
      <c r="G3" s="632" t="s">
        <v>22</v>
      </c>
      <c r="H3" s="630" t="s">
        <v>21</v>
      </c>
      <c r="I3" s="633" t="s">
        <v>22</v>
      </c>
    </row>
    <row r="4" spans="1:9" ht="21" thickBot="1">
      <c r="A4" s="634"/>
      <c r="B4" s="635">
        <f>Weather_Input!B5</f>
        <v>91</v>
      </c>
      <c r="C4" s="742">
        <f>Weather_Input!C5</f>
        <v>74</v>
      </c>
      <c r="D4" s="636"/>
      <c r="E4" s="637"/>
      <c r="F4" s="636"/>
      <c r="G4" s="637"/>
      <c r="H4" s="638"/>
      <c r="I4" s="639"/>
    </row>
    <row r="5" spans="1:9" ht="23.4" thickBot="1">
      <c r="A5" s="640" t="s">
        <v>134</v>
      </c>
      <c r="B5" s="641"/>
      <c r="C5" s="642">
        <f>NSG_Deliveries!C5/1000</f>
        <v>31.2</v>
      </c>
      <c r="D5" s="641"/>
      <c r="E5" s="643"/>
      <c r="F5" s="641"/>
      <c r="G5" s="643" t="s">
        <v>9</v>
      </c>
      <c r="H5" s="641"/>
      <c r="I5" s="644"/>
    </row>
    <row r="6" spans="1:9" ht="12" customHeight="1" thickBot="1">
      <c r="A6" s="645" t="s">
        <v>9</v>
      </c>
      <c r="B6" s="646"/>
      <c r="C6" s="647"/>
      <c r="D6" s="648"/>
      <c r="E6" s="647"/>
      <c r="F6" s="648"/>
      <c r="G6" s="648"/>
      <c r="H6" s="646"/>
      <c r="I6" s="649"/>
    </row>
    <row r="7" spans="1:9" ht="23.4" thickBot="1">
      <c r="A7" s="650" t="s">
        <v>84</v>
      </c>
      <c r="B7" s="641"/>
      <c r="C7" s="747">
        <f>C5-C9-C11-C12</f>
        <v>31.2</v>
      </c>
      <c r="D7" s="651"/>
      <c r="E7" s="643"/>
      <c r="F7" s="651"/>
      <c r="G7" s="651" t="s">
        <v>9</v>
      </c>
      <c r="H7" s="641"/>
      <c r="I7" s="644"/>
    </row>
    <row r="8" spans="1:9" ht="12" customHeight="1" thickBot="1">
      <c r="A8" s="645"/>
      <c r="B8" s="652"/>
      <c r="C8" s="647"/>
      <c r="D8" s="648"/>
      <c r="E8" s="647"/>
      <c r="F8" s="648"/>
      <c r="G8" s="648"/>
      <c r="H8" s="646"/>
      <c r="I8" s="649"/>
    </row>
    <row r="9" spans="1:9" s="112" customFormat="1" ht="21" customHeight="1" thickBot="1">
      <c r="A9" s="799" t="s">
        <v>576</v>
      </c>
      <c r="B9" s="659"/>
      <c r="C9" s="1013">
        <f>B45</f>
        <v>0</v>
      </c>
      <c r="D9" s="657"/>
      <c r="E9" s="658"/>
      <c r="F9" s="657"/>
      <c r="G9" s="657"/>
      <c r="H9" s="659"/>
      <c r="I9" s="660"/>
    </row>
    <row r="10" spans="1:9" ht="12" customHeight="1" thickBot="1">
      <c r="A10" s="795"/>
      <c r="B10" s="652"/>
      <c r="C10" s="647"/>
      <c r="D10" s="796"/>
      <c r="E10" s="653"/>
      <c r="F10" s="796"/>
      <c r="G10" s="796"/>
      <c r="H10" s="652"/>
      <c r="I10" s="797"/>
    </row>
    <row r="11" spans="1:9" ht="22.8">
      <c r="A11" s="654" t="s">
        <v>466</v>
      </c>
      <c r="B11" s="655"/>
      <c r="C11" s="656">
        <f>B37</f>
        <v>0</v>
      </c>
      <c r="D11" s="657"/>
      <c r="E11" s="658"/>
      <c r="F11" s="657"/>
      <c r="G11" s="657" t="s">
        <v>9</v>
      </c>
      <c r="H11" s="659"/>
      <c r="I11" s="660"/>
    </row>
    <row r="12" spans="1:9" ht="22.8">
      <c r="A12" s="661" t="s">
        <v>467</v>
      </c>
      <c r="B12" s="662"/>
      <c r="C12" s="663">
        <v>0</v>
      </c>
      <c r="D12" s="664"/>
      <c r="E12" s="665"/>
      <c r="F12" s="664"/>
      <c r="G12" s="664"/>
      <c r="H12" s="662"/>
      <c r="I12" s="666"/>
    </row>
    <row r="13" spans="1:9" ht="21" thickBot="1">
      <c r="A13" s="669" t="s">
        <v>95</v>
      </c>
      <c r="B13" s="667"/>
      <c r="C13" s="668"/>
      <c r="D13" s="664"/>
      <c r="E13" s="665"/>
      <c r="F13" s="664"/>
      <c r="G13" s="664"/>
      <c r="H13" s="662"/>
      <c r="I13" s="666"/>
    </row>
    <row r="14" spans="1:9" ht="21" thickBot="1">
      <c r="A14" s="669" t="s">
        <v>105</v>
      </c>
      <c r="B14" s="670"/>
      <c r="C14" s="671"/>
      <c r="D14" s="670"/>
      <c r="E14" s="671"/>
      <c r="F14" s="670"/>
      <c r="G14" s="670"/>
      <c r="H14" s="672"/>
      <c r="I14" s="673"/>
    </row>
    <row r="15" spans="1:9" ht="23.4" thickBot="1">
      <c r="A15" s="674" t="s">
        <v>468</v>
      </c>
      <c r="B15" s="675"/>
      <c r="C15" s="747">
        <v>0</v>
      </c>
      <c r="D15" s="677"/>
      <c r="E15" s="676"/>
      <c r="F15" s="677"/>
      <c r="G15" s="677" t="s">
        <v>9</v>
      </c>
      <c r="H15" s="675"/>
      <c r="I15" s="678"/>
    </row>
    <row r="16" spans="1:9" ht="21.6" thickBot="1">
      <c r="A16" s="679" t="s">
        <v>9</v>
      </c>
      <c r="B16" s="646"/>
      <c r="C16" s="647"/>
      <c r="D16" s="648"/>
      <c r="E16" s="647"/>
      <c r="F16" s="648"/>
      <c r="G16" s="648"/>
      <c r="H16" s="646"/>
      <c r="I16" s="649"/>
    </row>
    <row r="17" spans="1:9" ht="23.4" thickBot="1">
      <c r="A17" s="680" t="s">
        <v>469</v>
      </c>
      <c r="B17" s="681"/>
      <c r="C17" s="682" t="s">
        <v>9</v>
      </c>
      <c r="D17" s="683"/>
      <c r="E17" s="684"/>
      <c r="F17" s="683"/>
      <c r="G17" s="683"/>
      <c r="H17" s="681"/>
      <c r="I17" s="685"/>
    </row>
    <row r="18" spans="1:9" ht="21.6" thickBot="1">
      <c r="A18" s="686" t="s">
        <v>470</v>
      </c>
      <c r="B18" s="646"/>
      <c r="C18" s="647" t="s">
        <v>9</v>
      </c>
      <c r="D18" s="648"/>
      <c r="E18" s="647"/>
      <c r="F18" s="648"/>
      <c r="G18" s="494" t="s">
        <v>580</v>
      </c>
      <c r="H18" s="646"/>
      <c r="I18" s="800"/>
    </row>
    <row r="19" spans="1:9" ht="23.4" thickBot="1">
      <c r="A19" s="687" t="s">
        <v>397</v>
      </c>
      <c r="B19" s="688"/>
      <c r="C19" s="689">
        <f>C7+C12</f>
        <v>31.2</v>
      </c>
      <c r="D19" s="690"/>
      <c r="E19" s="691"/>
      <c r="F19" s="690"/>
      <c r="G19" s="690" t="s">
        <v>9</v>
      </c>
      <c r="H19" s="688"/>
      <c r="I19" s="692"/>
    </row>
    <row r="20" spans="1:9" ht="20.399999999999999">
      <c r="A20" s="693" t="s">
        <v>399</v>
      </c>
      <c r="B20" s="694"/>
      <c r="C20" s="695">
        <f>NSG_Requirements!C7/1000</f>
        <v>0</v>
      </c>
      <c r="D20" s="696"/>
      <c r="E20" s="695">
        <f>NSG_Requirements!C7/1000</f>
        <v>0</v>
      </c>
      <c r="F20" s="696"/>
      <c r="G20" s="695">
        <f>NSG_Requirements!C7/1000</f>
        <v>0</v>
      </c>
      <c r="H20" s="694"/>
      <c r="I20" s="756">
        <f>NSG_Requirements!C7/1000</f>
        <v>0</v>
      </c>
    </row>
    <row r="21" spans="1:9" ht="20.399999999999999">
      <c r="A21" s="697" t="s">
        <v>402</v>
      </c>
      <c r="B21" s="698"/>
      <c r="C21" s="695">
        <f>NSG_Requirements!R7/1000</f>
        <v>0</v>
      </c>
      <c r="D21" s="699"/>
      <c r="E21" s="695">
        <f>NSG_Requirements!R7/1000</f>
        <v>0</v>
      </c>
      <c r="F21" s="699"/>
      <c r="G21" s="695">
        <f>NSG_Requirements!R7/1000</f>
        <v>0</v>
      </c>
      <c r="H21" s="698"/>
      <c r="I21" s="757">
        <f>NSG_Requirements!R7/1000</f>
        <v>0</v>
      </c>
    </row>
    <row r="22" spans="1:9" ht="20.399999999999999">
      <c r="A22" s="697" t="s">
        <v>471</v>
      </c>
      <c r="B22" s="701"/>
      <c r="C22" s="695">
        <f>NSG_Supplies!J7/1000</f>
        <v>0</v>
      </c>
      <c r="D22" s="702"/>
      <c r="E22" s="695">
        <f>NSG_Supplies!J7/1000</f>
        <v>0</v>
      </c>
      <c r="F22" s="702"/>
      <c r="G22" s="695">
        <f>NSG_Supplies!J7/1000</f>
        <v>0</v>
      </c>
      <c r="H22" s="701"/>
      <c r="I22" s="758">
        <f>NSG_Supplies!J7/1000</f>
        <v>0</v>
      </c>
    </row>
    <row r="23" spans="1:9" ht="20.399999999999999">
      <c r="A23" s="693" t="s">
        <v>405</v>
      </c>
      <c r="B23" s="701"/>
      <c r="C23" s="695">
        <f>NSG_Requirements!H7/1000</f>
        <v>0</v>
      </c>
      <c r="D23" s="702"/>
      <c r="E23" s="695" t="s">
        <v>9</v>
      </c>
      <c r="F23" s="702"/>
      <c r="G23" s="695" t="s">
        <v>9</v>
      </c>
      <c r="H23" s="701"/>
      <c r="I23" s="695" t="s">
        <v>9</v>
      </c>
    </row>
    <row r="24" spans="1:9" ht="20.399999999999999">
      <c r="A24" s="693" t="s">
        <v>406</v>
      </c>
      <c r="B24" s="698"/>
      <c r="C24" s="695">
        <f>-NSG_Supplies!F7/1000</f>
        <v>-5.91</v>
      </c>
      <c r="D24" s="699"/>
      <c r="E24" s="695" t="s">
        <v>9</v>
      </c>
      <c r="F24" s="699"/>
      <c r="G24" s="695" t="s">
        <v>9</v>
      </c>
      <c r="H24" s="698"/>
      <c r="I24" s="695" t="s">
        <v>9</v>
      </c>
    </row>
    <row r="25" spans="1:9" ht="20.399999999999999">
      <c r="A25" s="693" t="s">
        <v>183</v>
      </c>
      <c r="B25" s="701"/>
      <c r="C25" s="695">
        <f>-NSG_Supplies!Q7/1000</f>
        <v>-25.29</v>
      </c>
      <c r="D25" s="702"/>
      <c r="E25" s="695">
        <f>-NSG_Supplies!Q7/1000</f>
        <v>-25.29</v>
      </c>
      <c r="F25" s="702"/>
      <c r="G25" s="695">
        <f>-NSG_Supplies!Q7/1000</f>
        <v>-25.29</v>
      </c>
      <c r="H25" s="701"/>
      <c r="I25" s="758">
        <f>-NSG_Supplies!Q7/1000</f>
        <v>-25.29</v>
      </c>
    </row>
    <row r="26" spans="1:9" ht="20.399999999999999">
      <c r="A26" s="693" t="s">
        <v>404</v>
      </c>
      <c r="B26" s="701"/>
      <c r="C26" s="695">
        <v>0</v>
      </c>
      <c r="D26" s="702"/>
      <c r="E26" s="695">
        <v>0</v>
      </c>
      <c r="F26" s="702"/>
      <c r="G26" s="695">
        <v>0</v>
      </c>
      <c r="H26" s="701"/>
      <c r="I26" s="758">
        <v>0</v>
      </c>
    </row>
    <row r="27" spans="1:9" ht="21" thickBot="1">
      <c r="A27" s="748" t="s">
        <v>495</v>
      </c>
      <c r="B27" s="704"/>
      <c r="C27" s="695">
        <f>-NSG_Supplies!G7/1000+NSG_Requirements!L7/1000</f>
        <v>0</v>
      </c>
      <c r="D27" s="699"/>
      <c r="E27" s="695">
        <f>-NSG_Supplies!G7/1000+NSG_Requirements!L7/1000</f>
        <v>0</v>
      </c>
      <c r="F27" s="699"/>
      <c r="G27" s="695">
        <f>-NSG_Supplies!G7/1000+NSG_Requirements!L7/1000</f>
        <v>0</v>
      </c>
      <c r="H27" s="704"/>
      <c r="I27" s="766">
        <f>-NSG_Supplies!G7/1000+NSG_Requirements!L7/1000</f>
        <v>0</v>
      </c>
    </row>
    <row r="28" spans="1:9" ht="23.4" thickBot="1">
      <c r="A28" s="706"/>
      <c r="B28" s="707"/>
      <c r="C28" s="708" t="s">
        <v>466</v>
      </c>
      <c r="D28" s="707"/>
      <c r="E28" s="709"/>
      <c r="F28" s="707"/>
      <c r="G28" s="710" t="s">
        <v>9</v>
      </c>
      <c r="H28" s="707"/>
      <c r="I28" s="711"/>
    </row>
    <row r="29" spans="1:9" ht="21">
      <c r="A29" s="764" t="s">
        <v>409</v>
      </c>
      <c r="B29" s="744">
        <f>NSG_Requirements!O7/1000</f>
        <v>0</v>
      </c>
      <c r="C29" s="713" t="s">
        <v>9</v>
      </c>
      <c r="D29" s="714"/>
      <c r="E29" s="715"/>
      <c r="F29" s="716" t="s">
        <v>269</v>
      </c>
      <c r="G29" s="717"/>
      <c r="H29" s="717"/>
      <c r="I29" s="718"/>
    </row>
    <row r="30" spans="1:9" ht="20.399999999999999">
      <c r="A30" s="765" t="s">
        <v>496</v>
      </c>
      <c r="B30" s="743">
        <f>NSG_Supplies!K7/1000+PGL_Requirements!V7/1000</f>
        <v>0</v>
      </c>
      <c r="C30" s="702"/>
      <c r="D30" s="720"/>
      <c r="E30" s="703"/>
      <c r="F30" s="627"/>
      <c r="G30" s="699"/>
      <c r="H30" s="699"/>
      <c r="I30" s="718"/>
    </row>
    <row r="31" spans="1:9" ht="20.399999999999999">
      <c r="A31" s="765" t="s">
        <v>497</v>
      </c>
      <c r="B31" s="743">
        <f>NSG_Supplies!L7/1000</f>
        <v>0</v>
      </c>
      <c r="C31" s="699"/>
      <c r="D31" s="721"/>
      <c r="E31" s="700"/>
      <c r="F31" s="627"/>
      <c r="G31" s="699"/>
      <c r="H31" s="699"/>
      <c r="I31" s="718"/>
    </row>
    <row r="32" spans="1:9" ht="20.399999999999999">
      <c r="A32" s="764" t="s">
        <v>472</v>
      </c>
      <c r="B32" s="745">
        <f>(NSG_Requirements!S7+NSG_Requirements!T7+NSG_Requirements!U7)/1000</f>
        <v>0</v>
      </c>
      <c r="C32" s="702"/>
      <c r="D32" s="720"/>
      <c r="E32" s="703"/>
      <c r="F32" s="627"/>
      <c r="G32" s="699"/>
      <c r="H32" s="699"/>
      <c r="I32" s="718"/>
    </row>
    <row r="33" spans="1:9" ht="20.399999999999999">
      <c r="A33" s="764" t="s">
        <v>86</v>
      </c>
      <c r="B33" s="743">
        <f>NSG_Requirements!D7/1000</f>
        <v>0</v>
      </c>
      <c r="C33" s="702"/>
      <c r="D33" s="720"/>
      <c r="E33" s="703"/>
      <c r="F33" s="627"/>
      <c r="G33" s="699"/>
      <c r="H33" s="699"/>
      <c r="I33" s="718"/>
    </row>
    <row r="34" spans="1:9" ht="20.399999999999999">
      <c r="A34" s="765" t="s">
        <v>484</v>
      </c>
      <c r="B34" s="745">
        <f>NSG_Requirements!B7/1000</f>
        <v>0</v>
      </c>
      <c r="C34" s="702"/>
      <c r="D34" s="720"/>
      <c r="E34" s="703"/>
      <c r="F34" s="627"/>
      <c r="G34" s="699"/>
      <c r="H34" s="699"/>
      <c r="I34" s="718"/>
    </row>
    <row r="35" spans="1:9" ht="20.399999999999999">
      <c r="A35" s="765" t="s">
        <v>485</v>
      </c>
      <c r="B35" s="745">
        <f>NSG_Supplies!B7/1000</f>
        <v>0</v>
      </c>
      <c r="C35" s="702"/>
      <c r="D35" s="720"/>
      <c r="E35" s="703"/>
      <c r="F35" s="627"/>
      <c r="G35" s="699"/>
      <c r="H35" s="699"/>
      <c r="I35" s="718"/>
    </row>
    <row r="36" spans="1:9" ht="21" thickBot="1">
      <c r="A36" s="764" t="s">
        <v>104</v>
      </c>
      <c r="B36" s="743">
        <f>NSG_Supplies!O7/1000</f>
        <v>0</v>
      </c>
      <c r="C36" s="723"/>
      <c r="D36" s="724"/>
      <c r="E36" s="705"/>
      <c r="F36" s="627"/>
      <c r="G36" s="699"/>
      <c r="H36" s="699"/>
      <c r="I36" s="718"/>
    </row>
    <row r="37" spans="1:9" ht="21.6" thickBot="1">
      <c r="A37" s="725" t="s">
        <v>473</v>
      </c>
      <c r="B37" s="746">
        <f>-B29+B30+B31-B32-B33-B34+B35+B36</f>
        <v>0</v>
      </c>
      <c r="C37" s="627"/>
      <c r="D37" s="726"/>
      <c r="E37" s="727"/>
      <c r="F37" s="627"/>
      <c r="G37" s="699"/>
      <c r="H37" s="699"/>
      <c r="I37" s="718"/>
    </row>
    <row r="38" spans="1:9" ht="23.4" thickBot="1">
      <c r="A38" s="706"/>
      <c r="B38" s="707"/>
      <c r="C38" s="801" t="s">
        <v>581</v>
      </c>
      <c r="D38" s="707"/>
      <c r="E38" s="709"/>
      <c r="F38" s="627"/>
      <c r="G38" s="699"/>
      <c r="H38" s="699"/>
      <c r="I38" s="718"/>
    </row>
    <row r="39" spans="1:9" ht="20.399999999999999">
      <c r="A39" s="693" t="s">
        <v>474</v>
      </c>
      <c r="B39" s="791">
        <v>0</v>
      </c>
      <c r="C39" s="627"/>
      <c r="D39" s="728"/>
      <c r="E39" s="729"/>
      <c r="F39" s="627"/>
      <c r="G39" s="699"/>
      <c r="H39" s="699"/>
      <c r="I39" s="718"/>
    </row>
    <row r="40" spans="1:9" ht="20.399999999999999">
      <c r="A40" s="693" t="s">
        <v>475</v>
      </c>
      <c r="B40" s="792">
        <f>NSG_Requirements!J7/1000</f>
        <v>12</v>
      </c>
      <c r="C40" s="702"/>
      <c r="D40" s="720"/>
      <c r="E40" s="703"/>
      <c r="F40" s="627"/>
      <c r="G40" s="699"/>
      <c r="H40" s="699"/>
      <c r="I40" s="718"/>
    </row>
    <row r="41" spans="1:9" ht="20.399999999999999">
      <c r="A41" s="693" t="s">
        <v>476</v>
      </c>
      <c r="B41" s="793">
        <f>NSG_Supplies!E7/1000</f>
        <v>0</v>
      </c>
      <c r="C41" s="627"/>
      <c r="D41" s="730"/>
      <c r="E41" s="731"/>
      <c r="F41" s="627"/>
      <c r="G41" s="699"/>
      <c r="H41" s="699"/>
      <c r="I41" s="718"/>
    </row>
    <row r="42" spans="1:9" ht="20.399999999999999">
      <c r="A42" s="693" t="s">
        <v>477</v>
      </c>
      <c r="B42" s="792">
        <v>0</v>
      </c>
      <c r="C42" s="702"/>
      <c r="D42" s="720"/>
      <c r="E42" s="703"/>
      <c r="F42" s="627"/>
      <c r="G42" s="699"/>
      <c r="H42" s="699"/>
      <c r="I42" s="718"/>
    </row>
    <row r="43" spans="1:9" ht="20.399999999999999">
      <c r="A43" s="693" t="s">
        <v>478</v>
      </c>
      <c r="B43" s="792">
        <v>0</v>
      </c>
      <c r="C43" s="702"/>
      <c r="D43" s="720"/>
      <c r="E43" s="703"/>
      <c r="F43" s="627"/>
      <c r="G43" s="699"/>
      <c r="H43" s="699"/>
      <c r="I43" s="718"/>
    </row>
    <row r="44" spans="1:9" ht="21" thickBot="1">
      <c r="A44" s="622" t="s">
        <v>577</v>
      </c>
      <c r="B44" s="793">
        <f>NSG_Supplies!P7/1000</f>
        <v>12</v>
      </c>
      <c r="C44" s="627"/>
      <c r="D44" s="730"/>
      <c r="E44" s="731"/>
      <c r="F44" s="627"/>
      <c r="G44" s="699"/>
      <c r="H44" s="699"/>
      <c r="I44" s="718"/>
    </row>
    <row r="45" spans="1:9" ht="21.6" thickBot="1">
      <c r="A45" s="725" t="s">
        <v>473</v>
      </c>
      <c r="B45" s="794">
        <f>B44+B41-B40</f>
        <v>0</v>
      </c>
      <c r="C45" s="733"/>
      <c r="D45" s="732"/>
      <c r="E45" s="734"/>
      <c r="F45" s="627"/>
      <c r="G45" s="699"/>
      <c r="H45" s="699"/>
      <c r="I45" s="718"/>
    </row>
    <row r="46" spans="1:9" ht="23.4" thickBot="1">
      <c r="A46" s="706"/>
      <c r="B46" s="707"/>
      <c r="C46" s="708" t="s">
        <v>67</v>
      </c>
      <c r="D46" s="707"/>
      <c r="E46" s="709"/>
      <c r="F46" s="627"/>
      <c r="G46" s="699"/>
      <c r="H46" s="699"/>
      <c r="I46" s="718"/>
    </row>
    <row r="47" spans="1:9" ht="20.399999999999999">
      <c r="A47" s="693" t="s">
        <v>479</v>
      </c>
      <c r="B47" s="712">
        <f>(NSG_Requirements!V7+NSG_Requirements!W7+NSG_Requirements!X7)/1000</f>
        <v>0</v>
      </c>
      <c r="C47" s="735"/>
      <c r="D47" s="720"/>
      <c r="E47" s="703"/>
      <c r="F47" s="627"/>
      <c r="G47" s="699"/>
      <c r="H47" s="699"/>
      <c r="I47" s="718"/>
    </row>
    <row r="48" spans="1:9" ht="20.399999999999999">
      <c r="A48" s="693" t="s">
        <v>480</v>
      </c>
      <c r="B48" s="719">
        <f>NSG_Requirements!M7/1000</f>
        <v>0</v>
      </c>
      <c r="C48" s="739"/>
      <c r="D48" s="739"/>
      <c r="E48" s="628"/>
      <c r="F48" s="627"/>
      <c r="G48" s="699"/>
      <c r="H48" s="699"/>
      <c r="I48" s="718"/>
    </row>
    <row r="49" spans="1:9" ht="20.399999999999999">
      <c r="A49" s="693" t="s">
        <v>86</v>
      </c>
      <c r="B49" s="719">
        <f>NSG_Requirements!E7/1000</f>
        <v>0</v>
      </c>
      <c r="C49" s="736"/>
      <c r="D49" s="730"/>
      <c r="E49" s="731"/>
      <c r="F49" s="627"/>
      <c r="G49" s="699"/>
      <c r="H49" s="699"/>
      <c r="I49" s="718"/>
    </row>
    <row r="50" spans="1:9" ht="21" thickBot="1">
      <c r="A50" s="693" t="s">
        <v>104</v>
      </c>
      <c r="B50" s="722">
        <f>NSG_Supplies!N7/1000</f>
        <v>0</v>
      </c>
      <c r="C50" s="735"/>
      <c r="D50" s="720"/>
      <c r="E50" s="703"/>
      <c r="F50" s="627"/>
      <c r="G50" s="699"/>
      <c r="H50" s="699"/>
      <c r="I50" s="718"/>
    </row>
    <row r="51" spans="1:9" ht="23.4" thickBot="1">
      <c r="A51" s="706"/>
      <c r="B51" s="707"/>
      <c r="C51" s="708" t="s">
        <v>481</v>
      </c>
      <c r="D51" s="707"/>
      <c r="E51" s="709"/>
      <c r="F51" s="627"/>
      <c r="G51" s="699"/>
      <c r="H51" s="699"/>
      <c r="I51" s="718"/>
    </row>
    <row r="52" spans="1:9" ht="20.399999999999999">
      <c r="A52" s="737" t="s">
        <v>482</v>
      </c>
      <c r="B52" s="738"/>
      <c r="C52" s="627"/>
      <c r="D52" s="728"/>
      <c r="E52" s="729"/>
      <c r="F52" s="627"/>
      <c r="G52" s="699"/>
      <c r="H52" s="699"/>
      <c r="I52" s="718"/>
    </row>
    <row r="53" spans="1:9" ht="21.6" thickBot="1">
      <c r="A53" s="740" t="s">
        <v>483</v>
      </c>
      <c r="B53" s="749"/>
      <c r="C53" s="750"/>
      <c r="D53" s="751"/>
      <c r="E53" s="752"/>
      <c r="F53" s="741"/>
      <c r="G53" s="753"/>
      <c r="H53" s="999"/>
      <c r="I53" s="998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6" t="s">
        <v>9</v>
      </c>
      <c r="B1" s="249"/>
      <c r="C1" s="249"/>
      <c r="D1" s="249"/>
      <c r="E1" s="250" t="s">
        <v>159</v>
      </c>
      <c r="F1" s="449">
        <f>Weather_Input!A5</f>
        <v>37104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44" t="s">
        <v>499</v>
      </c>
      <c r="C3" s="440">
        <v>44</v>
      </c>
      <c r="D3" s="254"/>
      <c r="E3" s="254"/>
      <c r="F3" s="440" t="s">
        <v>365</v>
      </c>
      <c r="G3" s="440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91</v>
      </c>
      <c r="C5" s="261">
        <f>Weather_Input!C5</f>
        <v>74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195</v>
      </c>
      <c r="C8" s="269">
        <f>NSG_Deliveries!C5/1000</f>
        <v>31.2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43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128.613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20</v>
      </c>
      <c r="C13" s="263"/>
      <c r="D13" s="448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3.9410000000000025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48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30.36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368</v>
      </c>
      <c r="B18" s="445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31.2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2.1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31.2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39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75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0.28000000000000003</v>
      </c>
      <c r="C27" s="305">
        <f>NSG_Requirements!P7/1000</f>
        <v>0</v>
      </c>
      <c r="D27" s="305">
        <f>PGL_Requirements!Q7/1000</f>
        <v>0.28000000000000003</v>
      </c>
      <c r="E27" s="305">
        <f>NSG_Requirements!P7/1000</f>
        <v>0</v>
      </c>
      <c r="F27" s="305">
        <f>PGL_Requirements!Q7/1000</f>
        <v>0.28000000000000003</v>
      </c>
      <c r="G27" s="305">
        <f>NSG_Requirements!P7/1000</f>
        <v>0</v>
      </c>
      <c r="H27" s="306">
        <f>+B27</f>
        <v>0.28000000000000003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374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-47.604999999999997</v>
      </c>
      <c r="C32" s="310">
        <f>-NSG_Supplies!Q7/1000</f>
        <v>-25.29</v>
      </c>
      <c r="D32" s="310">
        <f>B32</f>
        <v>-47.604999999999997</v>
      </c>
      <c r="E32" s="310">
        <f>C32</f>
        <v>-25.29</v>
      </c>
      <c r="F32" s="310">
        <f>B32</f>
        <v>-47.604999999999997</v>
      </c>
      <c r="G32" s="310">
        <f>C32</f>
        <v>-25.29</v>
      </c>
      <c r="H32" s="315">
        <f>B32</f>
        <v>-47.604999999999997</v>
      </c>
      <c r="I32" s="316">
        <f>C32</f>
        <v>-25.29</v>
      </c>
    </row>
    <row r="33" spans="1:9" ht="17.100000000000001" customHeight="1">
      <c r="A33" s="314" t="s">
        <v>362</v>
      </c>
      <c r="B33" s="310">
        <f>-PGL_Supplies!W7/1000</f>
        <v>0</v>
      </c>
      <c r="C33" s="310">
        <f>-NSG_Supplies!R7/1000</f>
        <v>-15.3</v>
      </c>
      <c r="D33" s="310">
        <f>B33</f>
        <v>0</v>
      </c>
      <c r="E33" s="310">
        <f>C33</f>
        <v>-15.3</v>
      </c>
      <c r="F33" s="310">
        <f>B33</f>
        <v>0</v>
      </c>
      <c r="G33" s="310">
        <f>C33</f>
        <v>-15.3</v>
      </c>
      <c r="H33" s="315">
        <f>B33</f>
        <v>0</v>
      </c>
      <c r="I33" s="316">
        <f>C33</f>
        <v>-15.3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-33.9</v>
      </c>
      <c r="C36" s="310">
        <f>-NSG_Supplies!F7/1000</f>
        <v>-5.91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375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74" t="s">
        <v>382</v>
      </c>
      <c r="C39" s="472"/>
      <c r="D39" s="473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140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2.1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2.1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379</v>
      </c>
      <c r="B50" s="319">
        <f>PGL_Supplies!U7/1000+PGL_Supplies!C7/1000</f>
        <v>128.71299999999999</v>
      </c>
      <c r="C50" s="308"/>
      <c r="D50" s="308"/>
      <c r="E50" s="308"/>
      <c r="F50" s="314" t="s">
        <v>371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0.1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128.613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362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463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0.7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384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381</v>
      </c>
      <c r="D63" s="342"/>
      <c r="E63" s="470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362</v>
      </c>
      <c r="B64" s="319">
        <f>PGL_Supplies!X7/1000</f>
        <v>101.842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462</v>
      </c>
      <c r="B65" s="319">
        <f>PGL_Supplies!AC7/1000+PGL_Supplies!F7/1000-PGL_Requirements!E7/1000</f>
        <v>42.099000000000004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78"/>
      <c r="F69" s="390" t="s">
        <v>231</v>
      </c>
      <c r="G69" s="380" t="s">
        <v>9</v>
      </c>
      <c r="H69" s="391" t="s">
        <v>367</v>
      </c>
      <c r="I69" s="377"/>
    </row>
    <row r="70" spans="1:10" ht="17.100000000000001" customHeight="1">
      <c r="A70" s="327" t="s">
        <v>232</v>
      </c>
      <c r="B70" s="383">
        <f>PGL_Requirements!O7/1000</f>
        <v>140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0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3.9410000000000025</v>
      </c>
      <c r="C72" s="395" t="s">
        <v>9</v>
      </c>
      <c r="D72" s="396"/>
      <c r="E72" s="397"/>
      <c r="F72" s="392"/>
      <c r="G72" s="479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WED</v>
      </c>
      <c r="H73" s="401">
        <f>Weather_Input!A5</f>
        <v>37104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4" t="s">
        <v>389</v>
      </c>
      <c r="B90" s="575"/>
      <c r="C90" s="575"/>
      <c r="D90" s="575"/>
      <c r="E90" s="576" t="s">
        <v>159</v>
      </c>
      <c r="F90" s="577">
        <f>Weather_Input!L5</f>
        <v>1</v>
      </c>
      <c r="G90" s="578" t="s">
        <v>9</v>
      </c>
      <c r="H90" s="579"/>
      <c r="I90" s="580"/>
    </row>
    <row r="91" spans="1:9" ht="15.6">
      <c r="A91" s="253"/>
      <c r="B91" s="596" t="s">
        <v>386</v>
      </c>
      <c r="C91" s="264" t="s">
        <v>9</v>
      </c>
      <c r="D91" s="588" t="s">
        <v>457</v>
      </c>
      <c r="E91" s="595"/>
      <c r="F91" s="593" t="s">
        <v>458</v>
      </c>
      <c r="G91" s="594"/>
      <c r="H91" s="592" t="s">
        <v>160</v>
      </c>
      <c r="I91" s="255"/>
    </row>
    <row r="92" spans="1:9" ht="15">
      <c r="A92" s="480" t="s">
        <v>387</v>
      </c>
      <c r="B92" s="587" t="s">
        <v>378</v>
      </c>
      <c r="C92" s="256" t="s">
        <v>162</v>
      </c>
      <c r="D92" s="587" t="s">
        <v>21</v>
      </c>
      <c r="E92" s="256" t="s">
        <v>162</v>
      </c>
      <c r="F92" s="590" t="s">
        <v>21</v>
      </c>
      <c r="G92" s="256" t="s">
        <v>162</v>
      </c>
      <c r="H92" s="587" t="s">
        <v>21</v>
      </c>
      <c r="I92" s="481" t="s">
        <v>162</v>
      </c>
    </row>
    <row r="93" spans="1:9" ht="15.6">
      <c r="A93" s="253" t="s">
        <v>9</v>
      </c>
      <c r="B93" s="263"/>
      <c r="C93" s="261"/>
      <c r="D93" s="589"/>
      <c r="E93" s="589"/>
      <c r="F93" s="591"/>
      <c r="G93" s="264"/>
      <c r="H93" s="264"/>
      <c r="I93" s="262"/>
    </row>
    <row r="94" spans="1:9" ht="16.2" thickBot="1">
      <c r="A94" s="253" t="s">
        <v>388</v>
      </c>
      <c r="B94" s="488" t="s">
        <v>9</v>
      </c>
      <c r="C94" s="487" t="s">
        <v>9</v>
      </c>
      <c r="D94" s="482" t="s">
        <v>9</v>
      </c>
      <c r="E94" s="489"/>
      <c r="F94" s="490"/>
      <c r="G94" s="266"/>
      <c r="H94" s="490"/>
      <c r="I94" s="255"/>
    </row>
    <row r="95" spans="1:9" ht="16.2" thickBot="1">
      <c r="A95" s="483"/>
      <c r="B95" s="484" t="s">
        <v>9</v>
      </c>
      <c r="C95" s="484" t="s">
        <v>9</v>
      </c>
      <c r="D95" s="485"/>
      <c r="E95" s="485"/>
      <c r="F95" s="485"/>
      <c r="G95" s="485"/>
      <c r="H95" s="485"/>
      <c r="I95" s="486"/>
    </row>
    <row r="96" spans="1:9" ht="15">
      <c r="A96" s="480" t="s">
        <v>168</v>
      </c>
      <c r="B96" s="288" t="s">
        <v>9</v>
      </c>
      <c r="C96" s="610" t="e">
        <f>I150</f>
        <v>#REF!</v>
      </c>
      <c r="D96" s="606"/>
      <c r="E96" s="264"/>
      <c r="F96" s="606"/>
      <c r="G96" s="264"/>
      <c r="H96" s="606"/>
      <c r="I96" s="262" t="s">
        <v>9</v>
      </c>
    </row>
    <row r="97" spans="1:9" ht="15">
      <c r="A97" s="480" t="s">
        <v>66</v>
      </c>
      <c r="B97" s="277" t="s">
        <v>9</v>
      </c>
      <c r="C97" s="610" t="e">
        <f>B133</f>
        <v>#REF!</v>
      </c>
      <c r="D97" s="589"/>
      <c r="E97" s="601" t="e">
        <f>+C97</f>
        <v>#REF!</v>
      </c>
      <c r="F97" s="589"/>
      <c r="G97" s="601" t="e">
        <f>+C97</f>
        <v>#REF!</v>
      </c>
      <c r="H97" s="589"/>
      <c r="I97" s="280" t="e">
        <f>+C97</f>
        <v>#REF!</v>
      </c>
    </row>
    <row r="98" spans="1:9" ht="15">
      <c r="A98" s="480" t="s">
        <v>58</v>
      </c>
      <c r="B98" s="277" t="s">
        <v>9</v>
      </c>
      <c r="C98" s="610">
        <f>B149</f>
        <v>1</v>
      </c>
      <c r="D98" s="589"/>
      <c r="E98" s="264"/>
      <c r="F98" s="589"/>
      <c r="G98" s="264"/>
      <c r="H98" s="589"/>
      <c r="I98" s="262"/>
    </row>
    <row r="99" spans="1:9" ht="15">
      <c r="A99" s="480" t="s">
        <v>67</v>
      </c>
      <c r="B99" s="277" t="s">
        <v>9</v>
      </c>
      <c r="C99" s="610">
        <f>B141</f>
        <v>28.712999999999994</v>
      </c>
      <c r="D99" s="607"/>
      <c r="E99" s="264"/>
      <c r="F99" s="589"/>
      <c r="G99" s="264"/>
      <c r="H99" s="589"/>
      <c r="I99" s="262"/>
    </row>
    <row r="100" spans="1:9" ht="15">
      <c r="A100" s="480" t="s">
        <v>390</v>
      </c>
      <c r="B100" s="281" t="s">
        <v>9</v>
      </c>
      <c r="C100" s="610">
        <f>I157+I158</f>
        <v>0</v>
      </c>
      <c r="D100" s="589"/>
      <c r="E100" s="264"/>
      <c r="F100" s="589"/>
      <c r="G100" s="264"/>
      <c r="H100" s="589"/>
      <c r="I100" s="262"/>
    </row>
    <row r="101" spans="1:9" ht="15">
      <c r="A101" s="480" t="s">
        <v>391</v>
      </c>
      <c r="B101" s="277" t="s">
        <v>9</v>
      </c>
      <c r="C101" s="610" t="e">
        <f>I146</f>
        <v>#REF!</v>
      </c>
      <c r="D101" s="589" t="s">
        <v>9</v>
      </c>
      <c r="E101" s="264"/>
      <c r="F101" s="589"/>
      <c r="G101" s="264"/>
      <c r="H101" s="589"/>
      <c r="I101" s="262"/>
    </row>
    <row r="102" spans="1:9" ht="15">
      <c r="A102" s="480" t="s">
        <v>35</v>
      </c>
      <c r="B102" s="277" t="s">
        <v>158</v>
      </c>
      <c r="C102" s="610">
        <f>B162</f>
        <v>143.941</v>
      </c>
      <c r="D102" s="589"/>
      <c r="E102" s="264"/>
      <c r="F102" s="589"/>
      <c r="G102" s="264"/>
      <c r="H102" s="589"/>
      <c r="I102" s="262"/>
    </row>
    <row r="103" spans="1:9" ht="15">
      <c r="A103" s="480" t="s">
        <v>95</v>
      </c>
      <c r="B103" s="277" t="s">
        <v>9</v>
      </c>
      <c r="C103" s="610">
        <f>PGL_Requirements!F7/1000</f>
        <v>30.36</v>
      </c>
      <c r="D103" s="607"/>
      <c r="E103" s="264"/>
      <c r="F103" s="589"/>
      <c r="G103" s="264"/>
      <c r="H103" s="589"/>
      <c r="I103" s="262"/>
    </row>
    <row r="104" spans="1:9" ht="15.6" thickBot="1">
      <c r="A104" s="287" t="s">
        <v>105</v>
      </c>
      <c r="B104" s="602" t="s">
        <v>9</v>
      </c>
      <c r="C104" s="610">
        <f>PGL_Supplies!B7/1000</f>
        <v>0</v>
      </c>
      <c r="D104" s="588"/>
      <c r="E104" s="264"/>
      <c r="F104" s="589"/>
      <c r="G104" s="264"/>
      <c r="H104" s="589"/>
      <c r="I104" s="262"/>
    </row>
    <row r="105" spans="1:9" ht="16.2" thickBot="1">
      <c r="A105" s="603" t="s">
        <v>392</v>
      </c>
      <c r="B105" s="604" t="s">
        <v>9</v>
      </c>
      <c r="C105" s="498" t="s">
        <v>9</v>
      </c>
      <c r="D105" s="608" t="s">
        <v>9</v>
      </c>
      <c r="E105" s="605" t="s">
        <v>9</v>
      </c>
      <c r="F105" s="608" t="s">
        <v>9</v>
      </c>
      <c r="G105" s="605" t="s">
        <v>9</v>
      </c>
      <c r="H105" s="608" t="s">
        <v>9</v>
      </c>
      <c r="I105" s="609"/>
    </row>
    <row r="106" spans="1:9" ht="16.2" thickBot="1">
      <c r="A106" s="491" t="s">
        <v>36</v>
      </c>
      <c r="B106" s="492">
        <f>-PGL_Supplies!T7/1000</f>
        <v>0</v>
      </c>
      <c r="C106" s="493">
        <f>-NSG_Supplies!AE7/1000</f>
        <v>0</v>
      </c>
      <c r="D106" s="494"/>
      <c r="E106" s="495"/>
      <c r="F106" s="494"/>
      <c r="G106" s="495"/>
      <c r="H106" s="496"/>
      <c r="I106" s="497"/>
    </row>
    <row r="107" spans="1:9" ht="15">
      <c r="A107" s="480" t="s">
        <v>393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0" t="s">
        <v>394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0" t="s">
        <v>395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499" t="s">
        <v>396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0" t="s">
        <v>397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39">
        <f>B111</f>
        <v>0</v>
      </c>
      <c r="I111" s="303">
        <f>C111</f>
        <v>0</v>
      </c>
    </row>
    <row r="112" spans="1:9" ht="15">
      <c r="A112" s="480" t="s">
        <v>398</v>
      </c>
      <c r="B112" s="301"/>
      <c r="C112" s="301"/>
      <c r="D112" s="302"/>
      <c r="E112" s="301"/>
      <c r="F112" s="302"/>
      <c r="G112" s="301"/>
      <c r="H112" s="501"/>
      <c r="I112" s="502"/>
    </row>
    <row r="113" spans="1:9" ht="15.6">
      <c r="A113" s="420" t="s">
        <v>399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400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401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402</v>
      </c>
      <c r="B116" s="414">
        <f>-PGL_Supplies!Y7/1000</f>
        <v>-10.417999999999999</v>
      </c>
      <c r="C116" s="414">
        <f>-NSG_Supplies!V7/1000</f>
        <v>0</v>
      </c>
      <c r="D116" s="310">
        <f>-PGL_Supplies!Y7/1000</f>
        <v>-10.417999999999999</v>
      </c>
      <c r="E116" s="310">
        <f>-NSG_Supplies!V7/1000</f>
        <v>0</v>
      </c>
      <c r="F116" s="310">
        <f>-PGL_Supplies!Y7/1000</f>
        <v>-10.417999999999999</v>
      </c>
      <c r="G116" s="310">
        <f>-NSG_Supplies!V7/1000</f>
        <v>0</v>
      </c>
      <c r="H116" s="315">
        <f>-PGL_Supplies!Y7/1000</f>
        <v>-10.417999999999999</v>
      </c>
      <c r="I116" s="316">
        <f>-NSG_Supplies!V7/1000</f>
        <v>0</v>
      </c>
    </row>
    <row r="117" spans="1:9" ht="15">
      <c r="A117" s="420" t="s">
        <v>403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405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406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404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407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408</v>
      </c>
      <c r="B123" s="310">
        <f>-PGL_Supplies!W7/1000</f>
        <v>0</v>
      </c>
      <c r="C123" s="310">
        <f>-NSG_Supplies!R7/1000</f>
        <v>-15.3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74" t="s">
        <v>9</v>
      </c>
      <c r="C124" s="503" t="s">
        <v>66</v>
      </c>
      <c r="D124" s="473"/>
      <c r="E124" s="323"/>
      <c r="F124" s="324" t="s">
        <v>188</v>
      </c>
      <c r="G124" s="323"/>
      <c r="H124" s="325"/>
      <c r="I124" s="326"/>
    </row>
    <row r="125" spans="1:9" ht="15">
      <c r="A125" s="420" t="s">
        <v>409</v>
      </c>
      <c r="B125" s="310">
        <f>PGL_Requirements!T7/1000</f>
        <v>0</v>
      </c>
      <c r="F125" s="529" t="s">
        <v>9</v>
      </c>
      <c r="G125" s="530"/>
      <c r="H125" s="597"/>
      <c r="I125" s="331"/>
    </row>
    <row r="126" spans="1:9" ht="15">
      <c r="A126" s="420" t="s">
        <v>366</v>
      </c>
      <c r="B126" s="319">
        <f>PGL_Supplies!Q7/1000</f>
        <v>0.7</v>
      </c>
      <c r="C126" s="310" t="s">
        <v>9</v>
      </c>
      <c r="D126" s="308"/>
      <c r="E126" s="328"/>
      <c r="F126" s="420" t="s">
        <v>429</v>
      </c>
      <c r="G126" s="531"/>
      <c r="H126" s="536"/>
      <c r="I126" s="331"/>
    </row>
    <row r="127" spans="1:9" ht="15">
      <c r="A127" s="420" t="s">
        <v>459</v>
      </c>
      <c r="B127" s="310">
        <f>PGL_Requirements!N7/1000</f>
        <v>0</v>
      </c>
      <c r="C127" s="310" t="s">
        <v>9</v>
      </c>
      <c r="D127" s="308"/>
      <c r="E127" s="328"/>
      <c r="F127" s="420" t="s">
        <v>430</v>
      </c>
      <c r="G127" s="531"/>
      <c r="H127" s="312"/>
      <c r="I127" s="331"/>
    </row>
    <row r="128" spans="1:9" ht="15">
      <c r="A128" s="420" t="s">
        <v>399</v>
      </c>
      <c r="B128" s="310">
        <f>PGL_Requirements!H7/1000</f>
        <v>0</v>
      </c>
      <c r="C128" s="310" t="s">
        <v>9</v>
      </c>
      <c r="D128" s="308"/>
      <c r="E128" s="328"/>
      <c r="F128" s="420" t="s">
        <v>431</v>
      </c>
      <c r="G128" s="531"/>
      <c r="H128" s="312"/>
      <c r="I128" s="331"/>
    </row>
    <row r="129" spans="1:9" ht="15">
      <c r="A129" s="420" t="s">
        <v>410</v>
      </c>
      <c r="B129" s="310" t="e">
        <f>PGL_Requirements!#REF!/1000</f>
        <v>#REF!</v>
      </c>
      <c r="C129" s="308"/>
      <c r="D129" s="308"/>
      <c r="E129" s="328"/>
      <c r="F129" s="420" t="s">
        <v>432</v>
      </c>
      <c r="G129" s="531"/>
      <c r="H129" s="312"/>
      <c r="I129" s="331"/>
    </row>
    <row r="130" spans="1:9" ht="15">
      <c r="A130" s="420" t="s">
        <v>411</v>
      </c>
      <c r="B130" s="310">
        <f>PGL_Requirements!Z7/1000</f>
        <v>0</v>
      </c>
      <c r="C130" s="581"/>
      <c r="D130" s="308"/>
      <c r="E130" s="328"/>
      <c r="F130" s="420" t="s">
        <v>433</v>
      </c>
      <c r="G130" s="531"/>
      <c r="H130" s="312"/>
      <c r="I130" s="331"/>
    </row>
    <row r="131" spans="1:9" ht="15">
      <c r="A131" s="412" t="s">
        <v>104</v>
      </c>
      <c r="B131" s="319">
        <f>PGL_Supplies!Y7/1000</f>
        <v>10.417999999999999</v>
      </c>
      <c r="C131" s="308"/>
      <c r="D131" s="308"/>
      <c r="E131" s="328"/>
      <c r="F131" s="365" t="s">
        <v>434</v>
      </c>
      <c r="G131" s="531"/>
      <c r="H131" s="312"/>
      <c r="I131" s="331"/>
    </row>
    <row r="132" spans="1:9" ht="15.6" thickBot="1">
      <c r="A132" s="420" t="s">
        <v>362</v>
      </c>
      <c r="B132" s="319">
        <f>PGL_Supplies!T7/1000</f>
        <v>0</v>
      </c>
      <c r="C132" s="344"/>
      <c r="D132" s="344"/>
      <c r="E132" s="541"/>
      <c r="F132" s="420" t="s">
        <v>435</v>
      </c>
      <c r="G132" s="531"/>
      <c r="H132" s="312"/>
      <c r="I132" s="331"/>
    </row>
    <row r="133" spans="1:9" ht="16.2" thickBot="1">
      <c r="A133" s="546" t="s">
        <v>412</v>
      </c>
      <c r="B133" s="553" t="e">
        <f>B126+B127+B130+B131+B132-B125-B128-B129</f>
        <v>#REF!</v>
      </c>
      <c r="C133" s="518"/>
      <c r="D133" s="518"/>
      <c r="E133" s="508"/>
      <c r="F133" s="420" t="s">
        <v>436</v>
      </c>
      <c r="G133" s="531"/>
      <c r="H133" s="312"/>
      <c r="I133" s="331"/>
    </row>
    <row r="134" spans="1:9" ht="16.2" thickBot="1">
      <c r="A134" s="542" t="s">
        <v>9</v>
      </c>
      <c r="B134" s="543" t="s">
        <v>9</v>
      </c>
      <c r="C134" s="544" t="s">
        <v>67</v>
      </c>
      <c r="D134" s="545"/>
      <c r="E134" s="545" t="s">
        <v>9</v>
      </c>
      <c r="F134" s="533" t="s">
        <v>437</v>
      </c>
      <c r="G134" s="532"/>
      <c r="H134" s="312"/>
      <c r="I134" s="331"/>
    </row>
    <row r="135" spans="1:9" ht="15">
      <c r="A135" s="420" t="s">
        <v>399</v>
      </c>
      <c r="B135" s="132">
        <f>PGL_Requirements!I7</f>
        <v>100</v>
      </c>
      <c r="C135" s="8"/>
      <c r="D135" s="8"/>
      <c r="E135" s="8"/>
      <c r="F135" s="534" t="s">
        <v>438</v>
      </c>
      <c r="G135" s="532"/>
      <c r="H135" s="345"/>
      <c r="I135" s="331"/>
    </row>
    <row r="136" spans="1:9" ht="15">
      <c r="A136" s="420" t="s">
        <v>413</v>
      </c>
      <c r="B136" s="319">
        <f>NSG_Supplies!N7/1011</f>
        <v>0</v>
      </c>
      <c r="C136" s="308"/>
      <c r="D136" s="308"/>
      <c r="E136" s="308"/>
      <c r="F136" s="420" t="s">
        <v>439</v>
      </c>
      <c r="G136" s="531"/>
      <c r="H136" s="347"/>
      <c r="I136" s="331"/>
    </row>
    <row r="137" spans="1:9" ht="15">
      <c r="A137" s="420" t="s">
        <v>414</v>
      </c>
      <c r="B137" s="319">
        <f>PGL_Supplies!Z7/1000</f>
        <v>0</v>
      </c>
      <c r="C137" s="581"/>
      <c r="D137" s="308"/>
      <c r="E137" s="308"/>
      <c r="F137" s="420" t="s">
        <v>440</v>
      </c>
      <c r="G137" s="531"/>
      <c r="H137" s="312"/>
      <c r="I137" s="331"/>
    </row>
    <row r="138" spans="1:9" ht="15">
      <c r="A138" s="420" t="s">
        <v>415</v>
      </c>
      <c r="B138" s="132">
        <f>PGL_Requirements!C7</f>
        <v>0</v>
      </c>
      <c r="C138" s="308"/>
      <c r="D138" s="308"/>
      <c r="E138" s="308"/>
      <c r="F138" s="420" t="s">
        <v>372</v>
      </c>
      <c r="G138" s="531"/>
      <c r="H138" s="347"/>
      <c r="I138" s="331"/>
    </row>
    <row r="139" spans="1:9" ht="15">
      <c r="A139" s="420" t="s">
        <v>416</v>
      </c>
      <c r="B139" s="319">
        <f>PGL_Supplies!C7/1000</f>
        <v>0</v>
      </c>
      <c r="C139" s="308"/>
      <c r="D139" s="308"/>
      <c r="E139" s="308"/>
      <c r="F139" s="365" t="s">
        <v>441</v>
      </c>
      <c r="G139" s="535"/>
      <c r="H139" s="526"/>
      <c r="I139" s="331"/>
    </row>
    <row r="140" spans="1:9" ht="15.6" thickBot="1">
      <c r="A140" s="420" t="s">
        <v>362</v>
      </c>
      <c r="B140" s="319">
        <f>PGL_Supplies!U7/1000</f>
        <v>128.71299999999999</v>
      </c>
      <c r="C140" s="344"/>
      <c r="D140" s="344"/>
      <c r="E140" s="344"/>
      <c r="F140" s="365" t="s">
        <v>442</v>
      </c>
      <c r="G140" s="535"/>
      <c r="H140" s="537"/>
      <c r="I140" s="331"/>
    </row>
    <row r="141" spans="1:9" ht="16.2" thickBot="1">
      <c r="A141" s="546" t="s">
        <v>412</v>
      </c>
      <c r="B141" s="548">
        <f>-B135+B136+B137-B138+B139+B140</f>
        <v>28.712999999999994</v>
      </c>
      <c r="C141" s="549"/>
      <c r="D141" s="518"/>
      <c r="E141" s="519"/>
      <c r="F141" s="538" t="s">
        <v>210</v>
      </c>
      <c r="G141" s="539"/>
      <c r="H141" s="540"/>
      <c r="I141" s="331"/>
    </row>
    <row r="142" spans="1:9" ht="16.2" thickBot="1">
      <c r="A142" s="542" t="s">
        <v>9</v>
      </c>
      <c r="B142" s="547" t="s">
        <v>9</v>
      </c>
      <c r="C142" s="544" t="s">
        <v>58</v>
      </c>
      <c r="D142" s="545"/>
      <c r="E142" s="545"/>
      <c r="F142" s="515" t="s">
        <v>9</v>
      </c>
      <c r="G142" s="516" t="s">
        <v>443</v>
      </c>
      <c r="H142" s="516" t="s">
        <v>9</v>
      </c>
      <c r="I142" s="355"/>
    </row>
    <row r="143" spans="1:9" ht="15">
      <c r="A143" s="420" t="s">
        <v>70</v>
      </c>
      <c r="B143" s="319">
        <f>PGL_Requirements!O7/1000</f>
        <v>140</v>
      </c>
      <c r="C143" s="308"/>
      <c r="D143" s="308"/>
      <c r="E143" s="308"/>
      <c r="F143" s="555" t="s">
        <v>395</v>
      </c>
      <c r="G143" s="528"/>
      <c r="H143" s="550" t="s">
        <v>9</v>
      </c>
      <c r="I143" s="361">
        <f>NSG_Supplies!AB7/1000</f>
        <v>0</v>
      </c>
    </row>
    <row r="144" spans="1:9" ht="15">
      <c r="A144" s="420" t="s">
        <v>417</v>
      </c>
      <c r="B144" s="319">
        <f>PGL_Supplies!L7/1000</f>
        <v>0</v>
      </c>
      <c r="C144" s="308"/>
      <c r="D144" s="308"/>
      <c r="E144" s="308"/>
      <c r="F144" s="356" t="s">
        <v>444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418</v>
      </c>
      <c r="B145" s="319">
        <f>PGL_Requirements!B7/1000</f>
        <v>0</v>
      </c>
      <c r="C145" s="308"/>
      <c r="D145" s="308"/>
      <c r="E145" s="308"/>
      <c r="F145" s="524" t="s">
        <v>445</v>
      </c>
      <c r="G145" s="350"/>
      <c r="H145" s="513" t="s">
        <v>9</v>
      </c>
      <c r="I145" s="402"/>
    </row>
    <row r="146" spans="1:9" ht="15.6" thickBot="1">
      <c r="A146" s="420" t="s">
        <v>419</v>
      </c>
      <c r="B146" s="319">
        <f>PGL_Supplies!G7/1000</f>
        <v>1</v>
      </c>
      <c r="C146" s="308"/>
      <c r="D146" s="308"/>
      <c r="E146" s="308"/>
      <c r="F146" s="552" t="s">
        <v>421</v>
      </c>
      <c r="G146" s="518"/>
      <c r="H146" s="553" t="s">
        <v>9</v>
      </c>
      <c r="I146" s="554" t="e">
        <f>PGL_Requirements!#REF!/1000</f>
        <v>#REF!</v>
      </c>
    </row>
    <row r="147" spans="1:9" ht="16.2" thickBot="1">
      <c r="A147" s="365" t="s">
        <v>396</v>
      </c>
      <c r="B147" s="319" t="s">
        <v>9</v>
      </c>
      <c r="C147" s="308"/>
      <c r="D147" s="308"/>
      <c r="E147" s="308"/>
      <c r="F147" s="353" t="s">
        <v>446</v>
      </c>
      <c r="G147" s="354"/>
      <c r="H147" s="354"/>
      <c r="I147" s="355"/>
    </row>
    <row r="148" spans="1:9" ht="15.6" thickBot="1">
      <c r="A148" s="420" t="s">
        <v>420</v>
      </c>
      <c r="B148" s="319">
        <f>PGL_Requirements!P7/1000</f>
        <v>2.1</v>
      </c>
      <c r="C148" s="344"/>
      <c r="D148" s="344"/>
      <c r="E148" s="344"/>
      <c r="F148" s="529" t="s">
        <v>447</v>
      </c>
      <c r="G148" s="530"/>
      <c r="H148" s="556" t="s">
        <v>9</v>
      </c>
      <c r="I148" s="557">
        <f>+NSG_Supplies!Y7/1000</f>
        <v>0</v>
      </c>
    </row>
    <row r="149" spans="1:9" ht="16.2" thickBot="1">
      <c r="A149" s="505" t="s">
        <v>421</v>
      </c>
      <c r="B149" s="506">
        <f>B144+B146</f>
        <v>1</v>
      </c>
      <c r="C149" s="507"/>
      <c r="D149" s="507"/>
      <c r="E149" s="508"/>
      <c r="F149" s="420" t="s">
        <v>9</v>
      </c>
      <c r="G149" s="531"/>
      <c r="H149" s="558" t="s">
        <v>9</v>
      </c>
      <c r="I149" s="559">
        <f>NSG_Supplies!Z7/1000</f>
        <v>0</v>
      </c>
    </row>
    <row r="150" spans="1:9" ht="15.6" thickBot="1">
      <c r="A150" s="420" t="s">
        <v>204</v>
      </c>
      <c r="B150" s="509">
        <f>PGL_Deliveries!AF5</f>
        <v>27976</v>
      </c>
      <c r="C150" s="510"/>
      <c r="D150" s="510"/>
      <c r="E150" s="511"/>
      <c r="F150" s="552" t="s">
        <v>421</v>
      </c>
      <c r="G150" s="518"/>
      <c r="H150" s="553" t="s">
        <v>9</v>
      </c>
      <c r="I150" s="554" t="e">
        <f>PGL_Requirements!#REF!/1000</f>
        <v>#REF!</v>
      </c>
    </row>
    <row r="151" spans="1:9" ht="16.2" thickBot="1">
      <c r="A151" s="420" t="s">
        <v>202</v>
      </c>
      <c r="B151" s="509">
        <f>PGL_Deliveries!AH5</f>
        <v>0</v>
      </c>
      <c r="C151" s="372"/>
      <c r="D151" s="372"/>
      <c r="E151" s="372"/>
      <c r="F151" s="353" t="s">
        <v>390</v>
      </c>
      <c r="G151" s="354"/>
      <c r="H151" s="354"/>
      <c r="I151" s="355"/>
    </row>
    <row r="152" spans="1:9" ht="16.2" thickBot="1">
      <c r="A152" s="341" t="s">
        <v>9</v>
      </c>
      <c r="B152" s="322"/>
      <c r="C152" s="504" t="s">
        <v>35</v>
      </c>
      <c r="D152" s="342"/>
      <c r="E152" s="470" t="s">
        <v>9</v>
      </c>
      <c r="F152" s="529" t="s">
        <v>448</v>
      </c>
      <c r="G152" s="530"/>
      <c r="H152" s="561"/>
      <c r="I152" s="383">
        <f>PGL_Requirements!S7/1000</f>
        <v>0</v>
      </c>
    </row>
    <row r="153" spans="1:9" ht="15">
      <c r="A153" s="420" t="s">
        <v>422</v>
      </c>
      <c r="B153" s="383">
        <f>PGL_Requirements!M7/1000</f>
        <v>0</v>
      </c>
      <c r="C153" s="308"/>
      <c r="D153" s="308"/>
      <c r="E153" s="375"/>
      <c r="F153" s="525" t="s">
        <v>449</v>
      </c>
      <c r="G153" s="532"/>
      <c r="H153" s="527"/>
      <c r="I153" s="383">
        <f>PGL_Requirements!S7/1000</f>
        <v>0</v>
      </c>
    </row>
    <row r="154" spans="1:9" ht="15">
      <c r="A154" s="420" t="s">
        <v>423</v>
      </c>
      <c r="B154" s="319">
        <f>PGL_Supplies!AD7/1000</f>
        <v>0</v>
      </c>
      <c r="C154" s="376" t="s">
        <v>9</v>
      </c>
      <c r="D154" s="308"/>
      <c r="E154" s="377"/>
      <c r="F154" s="524" t="s">
        <v>450</v>
      </c>
      <c r="G154" s="531"/>
      <c r="H154" s="527"/>
      <c r="I154" s="319">
        <f>PGL_Supplies!AK7/1000</f>
        <v>0</v>
      </c>
    </row>
    <row r="155" spans="1:9" ht="15">
      <c r="A155" s="420" t="s">
        <v>424</v>
      </c>
      <c r="B155" s="383">
        <f>PGL_Requirements!E7/1000</f>
        <v>0</v>
      </c>
      <c r="C155" s="376" t="s">
        <v>9</v>
      </c>
      <c r="D155" s="308"/>
      <c r="E155" s="377"/>
      <c r="F155" s="420" t="s">
        <v>104</v>
      </c>
      <c r="G155" s="560"/>
      <c r="H155" s="527"/>
      <c r="I155" s="319">
        <f>PGL_Supplies!AK8/1000</f>
        <v>0</v>
      </c>
    </row>
    <row r="156" spans="1:9" ht="15.6" thickBot="1">
      <c r="A156" s="420" t="s">
        <v>425</v>
      </c>
      <c r="B156" s="319">
        <f>PGL_Supplies!F7/1000</f>
        <v>4.5999999999999996</v>
      </c>
      <c r="C156" s="384" t="s">
        <v>9</v>
      </c>
      <c r="D156" s="308"/>
      <c r="E156" s="377"/>
      <c r="F156" s="365" t="s">
        <v>362</v>
      </c>
      <c r="G156" s="560"/>
      <c r="H156" s="537"/>
      <c r="I156" s="319">
        <f>PGL_Supplies!AK9/1000</f>
        <v>0</v>
      </c>
    </row>
    <row r="157" spans="1:9" ht="15.6">
      <c r="A157" s="420" t="s">
        <v>426</v>
      </c>
      <c r="B157" s="383">
        <f>PGL_Requirements!S7/1000</f>
        <v>0</v>
      </c>
      <c r="C157" s="376" t="s">
        <v>9</v>
      </c>
      <c r="D157" s="308"/>
      <c r="E157" s="377"/>
      <c r="F157" s="562" t="s">
        <v>451</v>
      </c>
      <c r="G157" s="563"/>
      <c r="H157" s="561"/>
      <c r="I157" s="564">
        <v>0</v>
      </c>
    </row>
    <row r="158" spans="1:9" ht="15.6" thickBot="1">
      <c r="A158" s="420" t="s">
        <v>427</v>
      </c>
      <c r="B158" s="319">
        <f>PGL_Supplies!O7/1000</f>
        <v>0</v>
      </c>
      <c r="C158" s="384" t="s">
        <v>9</v>
      </c>
      <c r="D158" s="308"/>
      <c r="E158" s="478"/>
      <c r="F158" s="565" t="s">
        <v>452</v>
      </c>
      <c r="G158" s="387"/>
      <c r="H158" s="566"/>
      <c r="I158" s="567">
        <v>0</v>
      </c>
    </row>
    <row r="159" spans="1:9" ht="16.2" thickBot="1">
      <c r="A159" s="420" t="s">
        <v>104</v>
      </c>
      <c r="B159" s="319">
        <f>PGL_Supplies!AC7/1000</f>
        <v>37.499000000000002</v>
      </c>
      <c r="C159" s="384" t="s">
        <v>9</v>
      </c>
      <c r="D159" s="308"/>
      <c r="E159" s="377"/>
      <c r="F159" s="515" t="s">
        <v>237</v>
      </c>
      <c r="G159" s="516"/>
      <c r="H159" s="517"/>
      <c r="I159" s="355"/>
    </row>
    <row r="160" spans="1:9" ht="15.6" thickBot="1">
      <c r="A160" s="420" t="s">
        <v>362</v>
      </c>
      <c r="B160" s="598">
        <f>PGL_Supplies!X7/1000</f>
        <v>101.842</v>
      </c>
      <c r="C160" s="514" t="s">
        <v>9</v>
      </c>
      <c r="D160" s="344"/>
      <c r="E160" s="512"/>
      <c r="F160" s="568" t="s">
        <v>453</v>
      </c>
      <c r="G160" s="528" t="s">
        <v>9</v>
      </c>
      <c r="H160" s="510"/>
      <c r="I160" s="573"/>
    </row>
    <row r="161" spans="1:9" ht="16.2" thickBot="1">
      <c r="A161" s="582" t="s">
        <v>428</v>
      </c>
      <c r="B161" s="600"/>
      <c r="C161" s="520" t="s">
        <v>9</v>
      </c>
      <c r="D161" s="521"/>
      <c r="E161" s="522"/>
      <c r="F161" s="551" t="s">
        <v>454</v>
      </c>
      <c r="G161" s="344"/>
      <c r="H161" s="571"/>
      <c r="I161" s="572" t="s">
        <v>9</v>
      </c>
    </row>
    <row r="162" spans="1:9" ht="16.2" thickBot="1">
      <c r="A162" s="394" t="s">
        <v>421</v>
      </c>
      <c r="B162" s="599">
        <f>B154+B156+B158+B159+B160-B153-B155-B157-B161</f>
        <v>143.941</v>
      </c>
      <c r="C162" s="395"/>
      <c r="D162" s="396"/>
      <c r="E162" s="523"/>
      <c r="F162" s="569" t="s">
        <v>241</v>
      </c>
      <c r="G162" s="518"/>
      <c r="H162" s="507"/>
      <c r="I162" s="570"/>
    </row>
    <row r="163" spans="1:9" ht="12" thickBot="1">
      <c r="A163" s="583"/>
      <c r="B163" s="584" t="s">
        <v>455</v>
      </c>
      <c r="C163" s="584"/>
      <c r="D163" s="584" t="s">
        <v>456</v>
      </c>
      <c r="E163" s="584"/>
      <c r="F163" s="584"/>
      <c r="G163" s="584"/>
      <c r="H163" s="585" t="s">
        <v>244</v>
      </c>
      <c r="I163" s="586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352</v>
      </c>
      <c r="F5" s="194" t="s">
        <v>247</v>
      </c>
      <c r="G5" s="122" t="s">
        <v>353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354</v>
      </c>
    </row>
    <row r="9" spans="1:10">
      <c r="D9" s="122" t="s">
        <v>356</v>
      </c>
      <c r="G9" s="122" t="s">
        <v>355</v>
      </c>
    </row>
    <row r="10" spans="1:10">
      <c r="D10" s="122" t="s">
        <v>357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361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37105.159983912039</v>
      </c>
      <c r="F22" s="161" t="s">
        <v>257</v>
      </c>
      <c r="G22" s="188">
        <f ca="1">NOW()</f>
        <v>37105.159983912039</v>
      </c>
    </row>
    <row r="24" spans="2:9">
      <c r="B24" s="161" t="s">
        <v>258</v>
      </c>
      <c r="D24" s="225" t="s">
        <v>376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377</v>
      </c>
      <c r="C28" s="122" t="s">
        <v>358</v>
      </c>
    </row>
    <row r="29" spans="2:9">
      <c r="B29" t="s">
        <v>9</v>
      </c>
      <c r="C29" s="161" t="s">
        <v>359</v>
      </c>
    </row>
    <row r="30" spans="2:9">
      <c r="C30" s="161" t="s">
        <v>9</v>
      </c>
    </row>
    <row r="32" spans="2:9">
      <c r="B32" s="161" t="s">
        <v>263</v>
      </c>
      <c r="E32" s="437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2" t="s">
        <v>360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37104</v>
      </c>
      <c r="C5" s="15"/>
      <c r="D5" s="22" t="s">
        <v>275</v>
      </c>
      <c r="E5" s="23">
        <f>Weather_Input!B5</f>
        <v>91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74</v>
      </c>
      <c r="F6" s="24" t="s">
        <v>278</v>
      </c>
      <c r="G6" s="25">
        <f>Weather_Input!F5</f>
        <v>0</v>
      </c>
      <c r="H6" s="26" t="s">
        <v>279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82.5</v>
      </c>
      <c r="F7" s="24" t="s">
        <v>281</v>
      </c>
      <c r="G7" s="25">
        <f>Weather_Input!G5</f>
        <v>0</v>
      </c>
      <c r="H7" s="26" t="s">
        <v>281</v>
      </c>
      <c r="I7" s="120">
        <f ca="1">G7-(VLOOKUP(B5,DD_Normal_Data,CELL("Col",D4),FALSE))</f>
        <v>0</v>
      </c>
      <c r="J7" s="120"/>
    </row>
    <row r="8" spans="1:109" ht="15">
      <c r="A8" s="18"/>
      <c r="B8" s="20"/>
      <c r="C8" s="15"/>
      <c r="D8" s="32" t="str">
        <f>IF(Weather_Input!I5=""," ",Weather_Input!I5)</f>
        <v>SWELTERING HEAT AND HUMIDITY…MOSTLY SUNNY AND HAZY. S.W. WINDS 10/15 MP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H. OVERNIGHT…BECOMING MOSTLY CLOUDY WITH A 50% CHANCE OF T'STORMS.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37105</v>
      </c>
      <c r="C10" s="15"/>
      <c r="D10" s="150" t="s">
        <v>275</v>
      </c>
      <c r="E10" s="23">
        <f>Weather_Input!B6</f>
        <v>87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69</v>
      </c>
      <c r="F11" s="24" t="s">
        <v>278</v>
      </c>
      <c r="G11" s="25">
        <f>IF(DAY(B10)=1,G10,G6+G10)</f>
        <v>0</v>
      </c>
      <c r="H11" s="30" t="s">
        <v>279</v>
      </c>
      <c r="I11" s="27">
        <f ca="1">G11-(VLOOKUP(B10,DD_Normal_Data,CELL("Col",C12),FALSE))</f>
        <v>0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78</v>
      </c>
      <c r="F12" s="24" t="s">
        <v>281</v>
      </c>
      <c r="G12" s="25">
        <f>IF(AND(DAY(B10)=1,MONTH(B10)=8),G10,G7+G10)</f>
        <v>0</v>
      </c>
      <c r="H12" s="26" t="s">
        <v>281</v>
      </c>
      <c r="I12" s="27">
        <f ca="1">G12-(VLOOKUP(B10,DD_Normal_Data,CELL("Col",D9),FALSE))</f>
        <v>0</v>
      </c>
    </row>
    <row r="13" spans="1:109" ht="15">
      <c r="A13" s="18"/>
      <c r="B13" s="21"/>
      <c r="C13" s="15"/>
      <c r="D13" s="32" t="str">
        <f>IF(Weather_Input!I6=""," ",Weather_Input!I6)</f>
        <v>MOSTLY CLOUDY WITH A 50% CHANCE OF SHOWERS AND T'STORMS. NOT AS WAR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M BUT STILL HUMID. OVERNIGHT…A 30% CHANCE OF EVENING SHOWERS/T'STORMS.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37106</v>
      </c>
      <c r="C15" s="15"/>
      <c r="D15" s="22" t="s">
        <v>275</v>
      </c>
      <c r="E15" s="23">
        <f>Weather_Input!B7</f>
        <v>85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68</v>
      </c>
      <c r="F16" s="24" t="s">
        <v>278</v>
      </c>
      <c r="G16" s="25">
        <f>IF(DAY(B15)=1,G15,G11+G15)</f>
        <v>0</v>
      </c>
      <c r="H16" s="30" t="s">
        <v>279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76.5</v>
      </c>
      <c r="F17" s="24" t="s">
        <v>281</v>
      </c>
      <c r="G17" s="25">
        <f>IF(AND(DAY(B15)=1,MONTH(B15)=8),G15,G12+G15)</f>
        <v>0</v>
      </c>
      <c r="H17" s="26" t="s">
        <v>281</v>
      </c>
      <c r="I17" s="27">
        <f ca="1">G17-(VLOOKUP(B15,DD_Normal_Data,CELL("Col",D14),FALSE))</f>
        <v>0</v>
      </c>
    </row>
    <row r="18" spans="1:109" ht="15">
      <c r="A18" s="18"/>
      <c r="B18" s="20"/>
      <c r="C18" s="15"/>
      <c r="D18" s="32" t="str">
        <f>IF(Weather_Input!I7=""," ",Weather_Input!I7)</f>
        <v xml:space="preserve">PARTLY CLOUDY. ..BUT COOLER NEAR LAKE.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37107</v>
      </c>
      <c r="C20" s="15"/>
      <c r="D20" s="22" t="s">
        <v>275</v>
      </c>
      <c r="E20" s="23">
        <f>Weather_Input!B8</f>
        <v>86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68</v>
      </c>
      <c r="F21" s="24" t="s">
        <v>278</v>
      </c>
      <c r="G21" s="25">
        <f>IF(DAY(B20)=1,G20,G16+G20)</f>
        <v>0</v>
      </c>
      <c r="H21" s="30" t="s">
        <v>279</v>
      </c>
      <c r="I21" s="27">
        <f ca="1">G21-(VLOOKUP(B20,DD_Normal_Data,CELL("Col",C22),FALSE))</f>
        <v>0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77</v>
      </c>
      <c r="F22" s="24" t="s">
        <v>281</v>
      </c>
      <c r="G22" s="25">
        <f>IF(AND(DAY(B20)=1,MONTH(B20)=8),G20,G17+G20)</f>
        <v>0</v>
      </c>
      <c r="H22" s="26" t="s">
        <v>281</v>
      </c>
      <c r="I22" s="27">
        <f ca="1">G22-(VLOOKUP(B20,DD_Normal_Data,CELL("Col",D19),FALSE))</f>
        <v>0</v>
      </c>
    </row>
    <row r="23" spans="1:109" ht="15">
      <c r="A23" s="18"/>
      <c r="B23" s="21"/>
      <c r="C23" s="15"/>
      <c r="D23" s="32" t="str">
        <f>IF(Weather_Input!I8=""," ",Weather_Input!I8)</f>
        <v xml:space="preserve">SUNNY.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37108</v>
      </c>
      <c r="C25" s="15"/>
      <c r="D25" s="22" t="s">
        <v>275</v>
      </c>
      <c r="E25" s="23">
        <f>Weather_Input!B9</f>
        <v>89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70</v>
      </c>
      <c r="F26" s="24" t="s">
        <v>278</v>
      </c>
      <c r="G26" s="25">
        <f>IF(DAY(B25)=1,G25,G21+G25)</f>
        <v>0</v>
      </c>
      <c r="H26" s="30" t="s">
        <v>279</v>
      </c>
      <c r="I26" s="27">
        <f ca="1">G26-(VLOOKUP(B25,DD_Normal_Data,CELL("Col",C27),FALSE))</f>
        <v>0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79.5</v>
      </c>
      <c r="F27" s="24" t="s">
        <v>281</v>
      </c>
      <c r="G27" s="25">
        <f>IF(AND(DAY(B25)=1,MONTH(B25)=8),G25,G22+G25)</f>
        <v>0</v>
      </c>
      <c r="H27" s="26" t="s">
        <v>281</v>
      </c>
      <c r="I27" s="27">
        <f ca="1">G27-(VLOOKUP(B25,DD_Normal_Data,CELL("Col",D24),FALSE))</f>
        <v>0</v>
      </c>
    </row>
    <row r="28" spans="1:109" ht="15">
      <c r="A28" s="18"/>
      <c r="B28" s="20"/>
      <c r="C28" s="15"/>
      <c r="D28" s="32" t="str">
        <f>IF(Weather_Input!I9=""," ",Weather_Input!I9)</f>
        <v xml:space="preserve">MOSTLY SUNNY.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37109</v>
      </c>
      <c r="C30" s="15"/>
      <c r="D30" s="22" t="s">
        <v>275</v>
      </c>
      <c r="E30" s="23">
        <f>Weather_Input!B10</f>
        <v>89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70</v>
      </c>
      <c r="F31" s="24" t="s">
        <v>278</v>
      </c>
      <c r="G31" s="25">
        <f>IF(DAY(B30)=1,G30,G26+G30)</f>
        <v>0</v>
      </c>
      <c r="H31" s="30" t="s">
        <v>279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79.5</v>
      </c>
      <c r="F32" s="24" t="s">
        <v>281</v>
      </c>
      <c r="G32" s="25">
        <f>IF(AND(DAY(B30)=1,MONTH(B30)=8),G30,G27+G30)</f>
        <v>0</v>
      </c>
      <c r="H32" s="26" t="s">
        <v>281</v>
      </c>
      <c r="I32" s="27">
        <f ca="1">G32-(VLOOKUP(B30,DD_Normal_Data,CELL("Col",D29),FALSE))</f>
        <v>0</v>
      </c>
    </row>
    <row r="33" spans="1:9" ht="15">
      <c r="A33" s="15"/>
      <c r="B33" s="34"/>
      <c r="C33" s="15"/>
      <c r="D33" s="32" t="str">
        <f>IF(Weather_Input!I10=""," ",Weather_Input!I10)</f>
        <v xml:space="preserve">MOSTLY SUNNY.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37104</v>
      </c>
      <c r="C36" s="89">
        <f>B10</f>
        <v>37105</v>
      </c>
      <c r="D36" s="89">
        <f>B15</f>
        <v>37106</v>
      </c>
      <c r="E36" s="89">
        <f xml:space="preserve">       B20</f>
        <v>37107</v>
      </c>
      <c r="F36" s="89">
        <f>B25</f>
        <v>37108</v>
      </c>
      <c r="G36" s="89">
        <f>B30</f>
        <v>37109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195</v>
      </c>
      <c r="C37" s="41">
        <f ca="1">(VLOOKUP(C36,PGL_Sendouts,(CELL("COL",PGL_Deliveries!C7))))/1000</f>
        <v>200</v>
      </c>
      <c r="D37" s="41">
        <f ca="1">(VLOOKUP(D36,PGL_Sendouts,(CELL("COL",PGL_Deliveries!C8))))/1000</f>
        <v>190</v>
      </c>
      <c r="E37" s="41">
        <f ca="1">(VLOOKUP(E36,PGL_Sendouts,(CELL("COL",PGL_Deliveries!C9))))/1000</f>
        <v>180</v>
      </c>
      <c r="F37" s="41">
        <f ca="1">(VLOOKUP(F36,PGL_Sendouts,(CELL("COL",PGL_Deliveries!C10))))/1000</f>
        <v>190</v>
      </c>
      <c r="G37" s="41">
        <f ca="1">(VLOOKUP(G36,PGL_Sendouts,(CELL("COL",PGL_Deliveries!C10))))/1000</f>
        <v>190</v>
      </c>
      <c r="H37" s="14"/>
      <c r="I37" s="15"/>
    </row>
    <row r="38" spans="1:9" ht="15">
      <c r="A38" s="15" t="s">
        <v>286</v>
      </c>
      <c r="B38" s="41">
        <f>PGL_6_Day_Report!D25</f>
        <v>564.02700000000004</v>
      </c>
      <c r="C38" s="41">
        <f>PGL_6_Day_Report!E25</f>
        <v>472.81</v>
      </c>
      <c r="D38" s="41">
        <f>PGL_6_Day_Report!F25</f>
        <v>324.26</v>
      </c>
      <c r="E38" s="41">
        <f>PGL_6_Day_Report!G25</f>
        <v>314.26</v>
      </c>
      <c r="F38" s="41">
        <f>PGL_6_Day_Report!H25</f>
        <v>324.26</v>
      </c>
      <c r="G38" s="41">
        <f>PGL_6_Day_Report!I25</f>
        <v>324.26</v>
      </c>
      <c r="H38" s="14"/>
      <c r="I38" s="15"/>
    </row>
    <row r="39" spans="1:9" ht="15">
      <c r="A39" s="42" t="s">
        <v>104</v>
      </c>
      <c r="B39" s="41">
        <f>SUM(PGL_Supplies!Y7:AD7)/1000</f>
        <v>341.98599999999999</v>
      </c>
      <c r="C39" s="41">
        <f>SUM(PGL_Supplies!Y8:AD8)/1000</f>
        <v>352.98</v>
      </c>
      <c r="D39" s="41">
        <f>SUM(PGL_Supplies!Y9:AD9)/1000</f>
        <v>352.98</v>
      </c>
      <c r="E39" s="41">
        <f>SUM(PGL_Supplies!Y10:AD10)/1000</f>
        <v>352.98</v>
      </c>
      <c r="F39" s="41">
        <f>SUM(PGL_Supplies!Y11:AD11)/1000</f>
        <v>352.98</v>
      </c>
      <c r="G39" s="41">
        <f>SUM(PGL_Supplies!Y12:AD12)/1000</f>
        <v>352.98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0.7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0.28000000000000003</v>
      </c>
      <c r="C41" s="41">
        <f>SUM(PGL_Requirements!Q7:T7)/1000</f>
        <v>0.28000000000000003</v>
      </c>
      <c r="D41" s="41">
        <f>SUM(PGL_Requirements!Q7:T7)/1000</f>
        <v>0.28000000000000003</v>
      </c>
      <c r="E41" s="41">
        <f>SUM(PGL_Requirements!Q7:T7)/1000</f>
        <v>0.28000000000000003</v>
      </c>
      <c r="F41" s="41">
        <f>SUM(PGL_Requirements!Q7:T7)/1000</f>
        <v>0.28000000000000003</v>
      </c>
      <c r="G41" s="41">
        <f>SUM(PGL_Requirements!Q7:T7)/1000</f>
        <v>0.28000000000000003</v>
      </c>
      <c r="H41" s="14"/>
      <c r="I41" s="15"/>
    </row>
    <row r="42" spans="1:9" ht="15">
      <c r="A42" s="15" t="s">
        <v>127</v>
      </c>
      <c r="B42" s="41">
        <f>PGL_Supplies!U7/1000</f>
        <v>128.71299999999999</v>
      </c>
      <c r="C42" s="41">
        <f>PGL_Supplies!U8/1000</f>
        <v>128.71299999999999</v>
      </c>
      <c r="D42" s="41">
        <f>PGL_Supplies!U9/1000</f>
        <v>128.71299999999999</v>
      </c>
      <c r="E42" s="41">
        <f>PGL_Supplies!U10/1000</f>
        <v>128.71299999999999</v>
      </c>
      <c r="F42" s="41">
        <f>PGL_Supplies!U11/1000</f>
        <v>128.71299999999999</v>
      </c>
      <c r="G42" s="41">
        <f>PGL_Supplies!U12/1000</f>
        <v>128.71299999999999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37104</v>
      </c>
      <c r="C44" s="89">
        <f t="shared" si="0"/>
        <v>37105</v>
      </c>
      <c r="D44" s="89">
        <f t="shared" si="0"/>
        <v>37106</v>
      </c>
      <c r="E44" s="89">
        <f t="shared" si="0"/>
        <v>37107</v>
      </c>
      <c r="F44" s="89">
        <f t="shared" si="0"/>
        <v>37108</v>
      </c>
      <c r="G44" s="89">
        <f t="shared" si="0"/>
        <v>37109</v>
      </c>
      <c r="H44" s="14"/>
      <c r="I44" s="15"/>
    </row>
    <row r="45" spans="1:9" ht="15">
      <c r="A45" s="15" t="s">
        <v>54</v>
      </c>
      <c r="B45" s="41">
        <f ca="1">NSG_6_Day_Report!D6</f>
        <v>31.2</v>
      </c>
      <c r="C45" s="41">
        <f ca="1">NSG_6_Day_Report!E6</f>
        <v>33</v>
      </c>
      <c r="D45" s="41">
        <f ca="1">NSG_6_Day_Report!F6</f>
        <v>32</v>
      </c>
      <c r="E45" s="41">
        <f ca="1">NSG_6_Day_Report!G6</f>
        <v>31</v>
      </c>
      <c r="F45" s="41">
        <f ca="1">NSG_6_Day_Report!H6</f>
        <v>32</v>
      </c>
      <c r="G45" s="41">
        <f ca="1">NSG_6_Day_Report!I6</f>
        <v>32</v>
      </c>
      <c r="H45" s="14"/>
      <c r="I45" s="15"/>
    </row>
    <row r="46" spans="1:9" ht="15">
      <c r="A46" s="42" t="s">
        <v>286</v>
      </c>
      <c r="B46" s="41">
        <f ca="1">NSG_6_Day_Report!D11</f>
        <v>43.2</v>
      </c>
      <c r="C46" s="41">
        <f ca="1">NSG_6_Day_Report!E11</f>
        <v>33</v>
      </c>
      <c r="D46" s="41">
        <f ca="1">NSG_6_Day_Report!F11</f>
        <v>32</v>
      </c>
      <c r="E46" s="41">
        <f ca="1">NSG_6_Day_Report!G11</f>
        <v>31</v>
      </c>
      <c r="F46" s="41">
        <f ca="1">NSG_6_Day_Report!H11</f>
        <v>32</v>
      </c>
      <c r="G46" s="41">
        <f ca="1">NSG_6_Day_Report!I11</f>
        <v>32</v>
      </c>
      <c r="H46" s="14"/>
      <c r="I46" s="15"/>
    </row>
    <row r="47" spans="1:9" ht="15">
      <c r="A47" s="42" t="s">
        <v>104</v>
      </c>
      <c r="B47" s="41">
        <f>SUM(NSG_Supplies!O7:Q7)/1000</f>
        <v>37.29</v>
      </c>
      <c r="C47" s="41">
        <f>SUM(NSG_Supplies!O8:Q8)/1000</f>
        <v>36.569000000000003</v>
      </c>
      <c r="D47" s="41">
        <f>SUM(NSG_Supplies!O9:Q9)/1000</f>
        <v>36.569000000000003</v>
      </c>
      <c r="E47" s="41">
        <f>SUM(NSG_Supplies!O10:Q10)/1000</f>
        <v>36.569000000000003</v>
      </c>
      <c r="F47" s="41">
        <f>SUM(NSG_Supplies!O11:Q11)/1000</f>
        <v>36.569000000000003</v>
      </c>
      <c r="G47" s="41">
        <f>SUM(NSG_Supplies!O12:Q12)/1000</f>
        <v>36.569000000000003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15.3</v>
      </c>
      <c r="C50" s="41">
        <f>NSG_Supplies!R8/1000</f>
        <v>15.3</v>
      </c>
      <c r="D50" s="41">
        <f>NSG_Supplies!R9/1000</f>
        <v>15.3</v>
      </c>
      <c r="E50" s="41">
        <f>NSG_Supplies!R10/1000</f>
        <v>15.3</v>
      </c>
      <c r="F50" s="41">
        <f>NSG_Supplies!R11/1000</f>
        <v>15.3</v>
      </c>
      <c r="G50" s="41">
        <f>NSG_Supplies!R12/1000</f>
        <v>15.3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37104</v>
      </c>
      <c r="C52" s="89">
        <f t="shared" si="1"/>
        <v>37105</v>
      </c>
      <c r="D52" s="89">
        <f t="shared" si="1"/>
        <v>37106</v>
      </c>
      <c r="E52" s="89">
        <f t="shared" si="1"/>
        <v>37107</v>
      </c>
      <c r="F52" s="89">
        <f t="shared" si="1"/>
        <v>37108</v>
      </c>
      <c r="G52" s="89">
        <f t="shared" si="1"/>
        <v>37109</v>
      </c>
      <c r="H52" s="14"/>
      <c r="I52" s="15"/>
    </row>
    <row r="53" spans="1:9" ht="15">
      <c r="A53" s="92" t="s">
        <v>290</v>
      </c>
      <c r="B53" s="41">
        <f>PGL_Requirements!O7/1000</f>
        <v>140</v>
      </c>
      <c r="C53" s="41">
        <f>PGL_Requirements!O8/1000</f>
        <v>132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9" t="s">
        <v>656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7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32"/>
    </row>
    <row r="3" spans="1:8" ht="16.2" thickBot="1">
      <c r="A3" s="96" t="s">
        <v>296</v>
      </c>
    </row>
    <row r="4" spans="1:8">
      <c r="A4" s="97"/>
      <c r="B4" s="1033" t="str">
        <f>Six_Day_Summary!A10</f>
        <v>Thursday</v>
      </c>
      <c r="C4" s="1034" t="str">
        <f>Six_Day_Summary!A15</f>
        <v>Friday</v>
      </c>
      <c r="D4" s="1034" t="str">
        <f>Six_Day_Summary!A20</f>
        <v>Saturday</v>
      </c>
      <c r="E4" s="1034" t="str">
        <f>Six_Day_Summary!A25</f>
        <v>Sunday</v>
      </c>
      <c r="F4" s="1035" t="str">
        <f>Six_Day_Summary!A30</f>
        <v>Monday</v>
      </c>
      <c r="G4" s="98"/>
    </row>
    <row r="5" spans="1:8">
      <c r="A5" s="101" t="s">
        <v>297</v>
      </c>
      <c r="B5" s="1036">
        <f>Weather_Input!A6</f>
        <v>37105</v>
      </c>
      <c r="C5" s="1037">
        <f>Weather_Input!A7</f>
        <v>37106</v>
      </c>
      <c r="D5" s="1037">
        <f>Weather_Input!A8</f>
        <v>37107</v>
      </c>
      <c r="E5" s="1037">
        <f>Weather_Input!A9</f>
        <v>37108</v>
      </c>
      <c r="F5" s="1038">
        <f>Weather_Input!A10</f>
        <v>37109</v>
      </c>
      <c r="G5" s="98"/>
    </row>
    <row r="6" spans="1:8">
      <c r="A6" s="98" t="s">
        <v>298</v>
      </c>
      <c r="B6" s="1039">
        <f>PGL_Supplies!AB8/1000+PGL_Supplies!K8/1000-PGL_Requirements!N8/1000-PGL_Requirements!S8/1000+B8</f>
        <v>56.156999999999996</v>
      </c>
      <c r="C6" s="1039">
        <f>PGL_Supplies!AB9/1000+PGL_Supplies!K9/1000-PGL_Requirements!N9/1000+C15-PGL_Requirements!S9/1000</f>
        <v>56.156999999999996</v>
      </c>
      <c r="D6" s="1039">
        <f>PGL_Supplies!AB10/1000+PGL_Supplies!K10/1000-PGL_Requirements!N10/1000+D15-PGL_Requirements!S10/1000</f>
        <v>56.156999999999996</v>
      </c>
      <c r="E6" s="1039">
        <f>PGL_Supplies!AB11/1000+PGL_Supplies!K11/1000-PGL_Requirements!N11/1000+E15-PGL_Requirements!S11/1000</f>
        <v>56.156999999999996</v>
      </c>
      <c r="F6" s="1040">
        <f>PGL_Supplies!AB12/1000+PGL_Supplies!K12/1000-PGL_Requirements!N12/1000+F15-PGL_Requirements!S12/1000</f>
        <v>56.156999999999996</v>
      </c>
      <c r="G6" s="98"/>
      <c r="H6" t="s">
        <v>9</v>
      </c>
    </row>
    <row r="7" spans="1:8">
      <c r="A7" s="98" t="s">
        <v>299</v>
      </c>
      <c r="B7" s="1039">
        <f>PGL_Supplies!M8/1000</f>
        <v>0</v>
      </c>
      <c r="C7" s="1039">
        <f>PGL_Supplies!M9/1000</f>
        <v>0</v>
      </c>
      <c r="D7" s="1039">
        <f>PGL_Supplies!M10/1000</f>
        <v>0</v>
      </c>
      <c r="E7" s="1039">
        <f>PGL_Supplies!M11/1000</f>
        <v>0</v>
      </c>
      <c r="F7" s="1041">
        <f>PGL_Supplies!M12/1000</f>
        <v>0</v>
      </c>
      <c r="G7" s="98"/>
    </row>
    <row r="8" spans="1:8">
      <c r="A8" s="98" t="s">
        <v>300</v>
      </c>
      <c r="B8" s="1039">
        <f>PGL_Supplies!N8/1000</f>
        <v>0</v>
      </c>
      <c r="C8" s="1039">
        <f>PGL_Supplies!N9/1000</f>
        <v>0</v>
      </c>
      <c r="D8" s="1039">
        <f>PGL_Supplies!N10/1000</f>
        <v>0</v>
      </c>
      <c r="E8" s="1039">
        <f>PGL_Supplies!N11/1000</f>
        <v>0</v>
      </c>
      <c r="F8" s="1041">
        <f>PGL_Supplies!N12/1000</f>
        <v>0</v>
      </c>
      <c r="G8" s="98"/>
    </row>
    <row r="9" spans="1:8">
      <c r="A9" s="98" t="s">
        <v>301</v>
      </c>
      <c r="B9" s="1039">
        <v>0</v>
      </c>
      <c r="C9" s="1039">
        <v>0</v>
      </c>
      <c r="D9" s="1039">
        <v>0</v>
      </c>
      <c r="E9" s="1039">
        <v>0</v>
      </c>
      <c r="F9" s="1041">
        <v>0</v>
      </c>
      <c r="G9" s="98"/>
    </row>
    <row r="10" spans="1:8">
      <c r="A10" s="99"/>
      <c r="B10" s="1042"/>
      <c r="C10" s="1042"/>
      <c r="D10" s="1042"/>
      <c r="E10" s="1042"/>
      <c r="F10" s="1043"/>
      <c r="G10" s="98"/>
    </row>
    <row r="11" spans="1:8">
      <c r="A11" s="98" t="s">
        <v>302</v>
      </c>
      <c r="B11" s="1039">
        <v>0</v>
      </c>
      <c r="C11" s="1039">
        <v>0</v>
      </c>
      <c r="D11" s="1039">
        <v>0</v>
      </c>
      <c r="E11" s="1039">
        <v>0</v>
      </c>
      <c r="F11" s="1041">
        <v>0</v>
      </c>
      <c r="G11" s="98"/>
      <c r="H11" s="119" t="s">
        <v>9</v>
      </c>
    </row>
    <row r="12" spans="1:8">
      <c r="A12" s="98" t="s">
        <v>303</v>
      </c>
      <c r="B12" s="1039">
        <f>PGL_Requirements!R8/1000</f>
        <v>0</v>
      </c>
      <c r="C12" s="1039">
        <f>PGL_Requirements!R9/1000</f>
        <v>0</v>
      </c>
      <c r="D12" s="1039">
        <f>PGL_Requirements!R10/1000</f>
        <v>0</v>
      </c>
      <c r="E12" s="1039">
        <f>PGL_Requirements!R11/1000</f>
        <v>0</v>
      </c>
      <c r="F12" s="1041">
        <f>PGL_Requirements!R12/1000</f>
        <v>0</v>
      </c>
      <c r="G12" s="98"/>
    </row>
    <row r="13" spans="1:8">
      <c r="A13" s="98" t="s">
        <v>304</v>
      </c>
      <c r="B13" s="1039">
        <v>0</v>
      </c>
      <c r="C13" s="1039">
        <v>0</v>
      </c>
      <c r="D13" s="1039">
        <v>0</v>
      </c>
      <c r="E13" s="1039">
        <v>0</v>
      </c>
      <c r="F13" s="1041">
        <v>0</v>
      </c>
      <c r="G13" s="98"/>
    </row>
    <row r="14" spans="1:8">
      <c r="A14" s="98" t="s">
        <v>175</v>
      </c>
      <c r="B14" s="1039">
        <v>0</v>
      </c>
      <c r="C14" s="1045"/>
      <c r="D14" s="1045"/>
      <c r="E14" s="1045"/>
      <c r="F14" s="1041"/>
      <c r="G14" s="98"/>
    </row>
    <row r="15" spans="1:8">
      <c r="A15" s="98" t="s">
        <v>642</v>
      </c>
      <c r="B15" s="1044">
        <v>0</v>
      </c>
      <c r="C15" s="1044">
        <v>0</v>
      </c>
      <c r="D15" s="1044">
        <v>0</v>
      </c>
      <c r="E15" s="1044">
        <v>0</v>
      </c>
      <c r="F15" s="1073">
        <v>0</v>
      </c>
      <c r="G15" s="119"/>
    </row>
    <row r="16" spans="1:8">
      <c r="A16" s="98" t="s">
        <v>305</v>
      </c>
      <c r="B16" s="1044">
        <v>0</v>
      </c>
      <c r="C16" s="1045"/>
      <c r="D16" s="1045"/>
      <c r="E16" s="1045"/>
      <c r="F16" s="1041"/>
      <c r="G16" s="98"/>
    </row>
    <row r="17" spans="1:7" ht="15.6" thickBot="1">
      <c r="A17" s="100" t="s">
        <v>693</v>
      </c>
      <c r="B17" s="1046">
        <v>0</v>
      </c>
      <c r="C17" s="1047"/>
      <c r="D17" s="1047"/>
      <c r="E17" s="1047"/>
      <c r="F17" s="1048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49" t="str">
        <f t="shared" ref="B21:F22" si="0">B4</f>
        <v>Thursday</v>
      </c>
      <c r="C21" s="1049" t="str">
        <f t="shared" si="0"/>
        <v>Friday</v>
      </c>
      <c r="D21" s="1049" t="str">
        <f t="shared" si="0"/>
        <v>Saturday</v>
      </c>
      <c r="E21" s="1049" t="str">
        <f t="shared" si="0"/>
        <v>Sunday</v>
      </c>
      <c r="F21" s="1050" t="str">
        <f t="shared" si="0"/>
        <v>Monday</v>
      </c>
      <c r="G21" s="98"/>
    </row>
    <row r="22" spans="1:7">
      <c r="A22" s="105" t="s">
        <v>297</v>
      </c>
      <c r="B22" s="1051">
        <f t="shared" si="0"/>
        <v>37105</v>
      </c>
      <c r="C22" s="1051">
        <f t="shared" si="0"/>
        <v>37106</v>
      </c>
      <c r="D22" s="1051">
        <f t="shared" si="0"/>
        <v>37107</v>
      </c>
      <c r="E22" s="1051">
        <f t="shared" si="0"/>
        <v>37108</v>
      </c>
      <c r="F22" s="1052">
        <f t="shared" si="0"/>
        <v>37109</v>
      </c>
      <c r="G22" s="98"/>
    </row>
    <row r="23" spans="1:7">
      <c r="A23" s="98" t="s">
        <v>298</v>
      </c>
      <c r="B23" s="1045">
        <f>NSG_Supplies!Q8/1000+NSG_Supplies!F8/1000-NSG_Requirements!H8/1000</f>
        <v>24.568999999999999</v>
      </c>
      <c r="C23" s="1045">
        <f>NSG_Supplies!Q9/1000+NSG_Supplies!F9/1000-NSG_Requirements!H9/1000</f>
        <v>24.568999999999999</v>
      </c>
      <c r="D23" s="1045">
        <f>NSG_Supplies!Q10/1000+NSG_Supplies!F10/1000-NSG_Requirements!H10/1000</f>
        <v>24.568999999999999</v>
      </c>
      <c r="E23" s="1045">
        <f>NSG_Supplies!Q12/1000+NSG_Supplies!F11/1000-NSG_Requirements!H11/1000</f>
        <v>24.568999999999999</v>
      </c>
      <c r="F23" s="1040">
        <f>NSG_Supplies!Q12/1000+NSG_Supplies!F12/1000-NSG_Requirements!H12/1000</f>
        <v>24.568999999999999</v>
      </c>
      <c r="G23" s="98"/>
    </row>
    <row r="24" spans="1:7">
      <c r="A24" s="98" t="s">
        <v>307</v>
      </c>
      <c r="B24" s="1045">
        <f>NSG_Supplies!G8/1000</f>
        <v>0</v>
      </c>
      <c r="C24" s="1045">
        <f>NSG_Supplies!G9/1000</f>
        <v>0</v>
      </c>
      <c r="D24" s="1045">
        <f>NSG_Supplies!G10/1000</f>
        <v>0</v>
      </c>
      <c r="E24" s="1045">
        <f>NSG_Supplies!G11/1000</f>
        <v>0</v>
      </c>
      <c r="F24" s="1041">
        <f>NSG_Supplies!G12/1000</f>
        <v>0</v>
      </c>
      <c r="G24" s="98"/>
    </row>
    <row r="25" spans="1:7">
      <c r="A25" s="98" t="s">
        <v>299</v>
      </c>
      <c r="B25" s="1045">
        <f>NSG_Supplies!H8/1000</f>
        <v>0</v>
      </c>
      <c r="C25" s="1045">
        <f>NSG_Supplies!H9/1000</f>
        <v>0</v>
      </c>
      <c r="D25" s="1045">
        <f>NSG_Supplies!H10/1000</f>
        <v>0</v>
      </c>
      <c r="E25" s="1045">
        <f>NSG_Supplies!H11/1000</f>
        <v>0</v>
      </c>
      <c r="F25" s="1041">
        <f>NSG_Supplies!H12/1000</f>
        <v>0</v>
      </c>
      <c r="G25" s="98"/>
    </row>
    <row r="26" spans="1:7">
      <c r="A26" s="102" t="s">
        <v>300</v>
      </c>
      <c r="B26" s="1045">
        <f>NSG_Supplies!I8/1000</f>
        <v>0</v>
      </c>
      <c r="C26" s="1045">
        <f>NSG_Supplies!I9/1000</f>
        <v>0</v>
      </c>
      <c r="D26" s="1045">
        <f>NSG_Supplies!I10/1000</f>
        <v>0</v>
      </c>
      <c r="E26" s="1045">
        <f>NSG_Supplies!I11/1000</f>
        <v>0</v>
      </c>
      <c r="F26" s="1041">
        <f>NSG_Supplies!I12/1000</f>
        <v>0</v>
      </c>
      <c r="G26" s="98"/>
    </row>
    <row r="27" spans="1:7">
      <c r="A27" s="98" t="s">
        <v>301</v>
      </c>
      <c r="B27" s="1045">
        <f>NSG_Supplies!J8/1000</f>
        <v>0</v>
      </c>
      <c r="C27" s="1045">
        <f>NSG_Supplies!J9/1000</f>
        <v>0</v>
      </c>
      <c r="D27" s="1045">
        <f>NSG_Supplies!J10/1000</f>
        <v>0</v>
      </c>
      <c r="E27" s="1045">
        <f>NSG_Supplies!J11/1000</f>
        <v>0</v>
      </c>
      <c r="F27" s="1041">
        <f>NSG_Supplies!J12/1000</f>
        <v>0</v>
      </c>
      <c r="G27" s="98"/>
    </row>
    <row r="28" spans="1:7">
      <c r="A28" s="98" t="s">
        <v>308</v>
      </c>
      <c r="B28" s="1045" t="s">
        <v>9</v>
      </c>
      <c r="C28" s="1045"/>
      <c r="D28" s="1045"/>
      <c r="E28" s="1045"/>
      <c r="F28" s="1041"/>
      <c r="G28" s="98"/>
    </row>
    <row r="29" spans="1:7">
      <c r="A29" s="99"/>
      <c r="B29" s="1042"/>
      <c r="C29" s="1042"/>
      <c r="D29" s="1042"/>
      <c r="E29" s="1042"/>
      <c r="F29" s="1043"/>
      <c r="G29" s="98"/>
    </row>
    <row r="30" spans="1:7">
      <c r="A30" s="98" t="s">
        <v>302</v>
      </c>
      <c r="B30" s="1045">
        <f>NSG_Requirements!P8/1000</f>
        <v>0</v>
      </c>
      <c r="C30" s="1045">
        <f>NSG_Requirements!P9/1000</f>
        <v>0</v>
      </c>
      <c r="D30" s="1045">
        <f>NSG_Requirements!P10/1000</f>
        <v>0</v>
      </c>
      <c r="E30" s="1045">
        <f>NSG_Requirements!P11/1000</f>
        <v>0</v>
      </c>
      <c r="F30" s="1041">
        <f>NSG_Supplies!J12/1000</f>
        <v>0</v>
      </c>
      <c r="G30" s="98"/>
    </row>
    <row r="31" spans="1:7">
      <c r="A31" s="98" t="s">
        <v>303</v>
      </c>
      <c r="B31" s="1045">
        <f>NSG_Requirements!R8/1000</f>
        <v>0</v>
      </c>
      <c r="C31" s="1045">
        <f>NSG_Requirements!R9/1000</f>
        <v>0</v>
      </c>
      <c r="D31" s="1045">
        <f>NSG_Requirements!R10/1000</f>
        <v>0</v>
      </c>
      <c r="E31" s="1045">
        <f>NSG_Requirements!R11/1000</f>
        <v>0</v>
      </c>
      <c r="F31" s="1041">
        <f>NSG_Supplies!L12/1000</f>
        <v>0</v>
      </c>
      <c r="G31" s="98"/>
    </row>
    <row r="32" spans="1:7">
      <c r="A32" s="98" t="s">
        <v>304</v>
      </c>
      <c r="B32" s="1045">
        <f>NSG_Requirements!Q8/1000</f>
        <v>0</v>
      </c>
      <c r="C32" s="1045">
        <f>NSG_Requirements!Q9/1000</f>
        <v>0</v>
      </c>
      <c r="D32" s="1045">
        <f>NSG_Requirements!Q10/1000</f>
        <v>0</v>
      </c>
      <c r="E32" s="1045">
        <f>NSG_Requirements!Q11/1000</f>
        <v>0</v>
      </c>
      <c r="F32" s="1041">
        <f>NSG_Requirements!Q12/1000</f>
        <v>0</v>
      </c>
      <c r="G32" s="98"/>
    </row>
    <row r="33" spans="1:7" ht="15.6" thickBot="1">
      <c r="A33" s="100" t="s">
        <v>309</v>
      </c>
      <c r="B33" s="1047">
        <f>NSG_Requirements!L8/1000</f>
        <v>0</v>
      </c>
      <c r="C33" s="1047">
        <f>NSG_Requirements!L9/1000</f>
        <v>0</v>
      </c>
      <c r="D33" s="1047">
        <f>NSG_Requirements!L10/1000</f>
        <v>0</v>
      </c>
      <c r="E33" s="1047">
        <f>NSG_Requirements!L11/1000</f>
        <v>0</v>
      </c>
      <c r="F33" s="1048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42"/>
      <c r="B1" s="1237" t="s">
        <v>774</v>
      </c>
      <c r="C1" s="1238">
        <f>Weather_Input!A6</f>
        <v>37105</v>
      </c>
      <c r="D1" s="1239" t="s">
        <v>775</v>
      </c>
      <c r="E1" s="1240"/>
      <c r="F1" s="1241"/>
      <c r="G1" s="425"/>
      <c r="H1" s="425"/>
      <c r="I1" s="990"/>
    </row>
    <row r="2" spans="1:11" ht="15.75" customHeight="1" thickBot="1">
      <c r="A2" s="428"/>
      <c r="B2" s="1242" t="s">
        <v>776</v>
      </c>
      <c r="E2" s="158"/>
      <c r="I2" s="158"/>
    </row>
    <row r="3" spans="1:11" ht="15.75" customHeight="1" thickTop="1">
      <c r="B3" s="169" t="s">
        <v>104</v>
      </c>
      <c r="C3" s="1243">
        <f>NSG_Supplies!P8/1000</f>
        <v>12</v>
      </c>
      <c r="E3" s="158"/>
      <c r="F3" s="1244" t="s">
        <v>155</v>
      </c>
      <c r="G3" s="769"/>
      <c r="H3" s="1245" t="s">
        <v>777</v>
      </c>
      <c r="I3" s="1246" t="s">
        <v>778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30">
        <f>NSG_Supplies!E8/1000</f>
        <v>0</v>
      </c>
      <c r="D4" s="132">
        <f>NSG_Requirements!J8/1000</f>
        <v>0</v>
      </c>
      <c r="E4" s="1247"/>
      <c r="F4" s="169" t="s">
        <v>779</v>
      </c>
      <c r="G4" s="60"/>
      <c r="H4" s="151">
        <f>PGL_Requirements!O8/1000</f>
        <v>132</v>
      </c>
      <c r="I4" s="173">
        <f>AVERAGE(H4/1.025)</f>
        <v>128.78048780487805</v>
      </c>
      <c r="J4" t="s">
        <v>9</v>
      </c>
    </row>
    <row r="5" spans="1:11" ht="15.75" customHeight="1" thickTop="1" thickBot="1">
      <c r="B5" s="1248" t="s">
        <v>780</v>
      </c>
      <c r="C5" s="1249">
        <f>C3+C4-D4</f>
        <v>12</v>
      </c>
      <c r="D5" s="431"/>
      <c r="E5" s="1250">
        <f>AVERAGE(C5/24)</f>
        <v>0.5</v>
      </c>
      <c r="F5" s="167" t="s">
        <v>417</v>
      </c>
      <c r="G5" s="207">
        <f>PGL_Supplies!L8/1000</f>
        <v>0</v>
      </c>
      <c r="H5" s="165"/>
      <c r="I5" s="1251">
        <f>AVERAGE(G5/1.025)</f>
        <v>0</v>
      </c>
      <c r="K5" t="s">
        <v>9</v>
      </c>
    </row>
    <row r="6" spans="1:11" ht="15.75" customHeight="1" thickTop="1" thickBot="1">
      <c r="B6" s="1252" t="s">
        <v>781</v>
      </c>
      <c r="C6" s="1253"/>
      <c r="D6" s="119"/>
      <c r="E6" s="1254"/>
      <c r="F6" t="s">
        <v>782</v>
      </c>
      <c r="G6" s="1253">
        <f>AVERAGE(H4/24)</f>
        <v>5.5</v>
      </c>
      <c r="H6" s="425"/>
      <c r="I6" s="990"/>
    </row>
    <row r="7" spans="1:11" ht="15.75" customHeight="1">
      <c r="B7" s="169" t="s">
        <v>783</v>
      </c>
      <c r="C7" s="151">
        <f>NSG_Supplies!K8/1000</f>
        <v>0</v>
      </c>
      <c r="D7" s="60"/>
      <c r="E7" s="1255"/>
      <c r="F7" s="1242" t="s">
        <v>784</v>
      </c>
      <c r="G7" s="1256"/>
      <c r="H7" s="60"/>
      <c r="I7" s="158"/>
    </row>
    <row r="8" spans="1:11" ht="15.75" customHeight="1">
      <c r="B8" s="169" t="s">
        <v>492</v>
      </c>
      <c r="C8" s="151">
        <f>PGL_Requirements!V8/1000</f>
        <v>0</v>
      </c>
      <c r="D8" s="60"/>
      <c r="E8" s="1255"/>
      <c r="F8" s="169" t="s">
        <v>785</v>
      </c>
      <c r="G8" s="151">
        <f>PGL_Supplies!S8/1000*0.75</f>
        <v>56.25</v>
      </c>
      <c r="H8" s="60"/>
      <c r="I8" s="158"/>
    </row>
    <row r="9" spans="1:11" ht="15.75" customHeight="1" thickBot="1">
      <c r="B9" s="169" t="s">
        <v>786</v>
      </c>
      <c r="C9" s="151">
        <f>NSG_Requirements!B8/1000</f>
        <v>0</v>
      </c>
      <c r="D9" s="60"/>
      <c r="E9" s="1255"/>
      <c r="F9" s="1" t="s">
        <v>787</v>
      </c>
      <c r="G9" s="151">
        <f>PGL_Supplies!T8/1000</f>
        <v>0</v>
      </c>
      <c r="I9" s="158"/>
    </row>
    <row r="10" spans="1:11" ht="15.75" customHeight="1" thickTop="1" thickBot="1">
      <c r="B10" s="1248" t="s">
        <v>788</v>
      </c>
      <c r="C10" s="1249">
        <f>C7+C8-C9</f>
        <v>0</v>
      </c>
      <c r="D10" s="431"/>
      <c r="E10" s="1250">
        <f>AVERAGE(C10/24)</f>
        <v>0</v>
      </c>
      <c r="F10" s="169" t="s">
        <v>414</v>
      </c>
      <c r="G10" s="151">
        <f>PGL_Supplies!AA8/1000</f>
        <v>258.90600000000001</v>
      </c>
      <c r="H10" s="151" t="s">
        <v>9</v>
      </c>
      <c r="I10" s="158"/>
    </row>
    <row r="11" spans="1:11" ht="15.75" customHeight="1" thickTop="1">
      <c r="A11" t="s">
        <v>9</v>
      </c>
      <c r="B11" s="1257" t="s">
        <v>669</v>
      </c>
      <c r="C11" s="151">
        <f>PGL_Supplies!X8/1000</f>
        <v>97.825999999999993</v>
      </c>
      <c r="D11" s="769"/>
      <c r="E11" s="1258"/>
      <c r="F11" s="1259" t="s">
        <v>789</v>
      </c>
      <c r="G11" s="1260">
        <f>G8+G10</f>
        <v>315.15600000000001</v>
      </c>
      <c r="H11" s="429"/>
      <c r="I11" s="430"/>
    </row>
    <row r="12" spans="1:11" ht="15.75" customHeight="1">
      <c r="B12" s="244" t="s">
        <v>790</v>
      </c>
      <c r="C12" s="151">
        <v>0</v>
      </c>
      <c r="D12" s="119"/>
      <c r="E12" s="158"/>
      <c r="F12" s="170" t="s">
        <v>791</v>
      </c>
      <c r="G12" s="151">
        <f>PGL_Supplies!D8/1000</f>
        <v>0</v>
      </c>
      <c r="H12" s="60"/>
      <c r="I12" s="1255"/>
    </row>
    <row r="13" spans="1:11" ht="15.75" customHeight="1" thickBot="1">
      <c r="B13" s="244" t="s">
        <v>670</v>
      </c>
      <c r="C13" s="119"/>
      <c r="D13" s="151">
        <f>PGL_Requirements!I8/1000</f>
        <v>0</v>
      </c>
      <c r="E13" s="158"/>
      <c r="F13" s="170" t="s">
        <v>792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61" t="s">
        <v>793</v>
      </c>
      <c r="C14" s="1249">
        <f>C11-C12</f>
        <v>97.825999999999993</v>
      </c>
      <c r="D14" s="431"/>
      <c r="E14" s="1250">
        <f>AVERAGE(C14/24)</f>
        <v>4.0760833333333331</v>
      </c>
      <c r="F14" s="1262" t="s">
        <v>794</v>
      </c>
      <c r="G14" s="1249">
        <v>0</v>
      </c>
      <c r="H14" s="431"/>
      <c r="I14" s="1250">
        <f>AVERAGE(G14/24)</f>
        <v>0</v>
      </c>
    </row>
    <row r="15" spans="1:11" ht="15.75" customHeight="1" thickTop="1" thickBot="1">
      <c r="B15" s="169" t="s">
        <v>795</v>
      </c>
      <c r="C15" s="151">
        <f>PGL_Supplies!Y8/1000</f>
        <v>10.417999999999999</v>
      </c>
      <c r="D15" s="60"/>
      <c r="E15" s="158"/>
      <c r="F15" s="1262" t="s">
        <v>796</v>
      </c>
      <c r="G15" s="1260">
        <f>SUM(G11)-G16-G17</f>
        <v>133.05600000000001</v>
      </c>
      <c r="H15" s="431" t="s">
        <v>9</v>
      </c>
      <c r="I15" s="1250">
        <f>AVERAGE(G15/24)</f>
        <v>5.5440000000000005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</v>
      </c>
      <c r="E16" s="158"/>
      <c r="F16" s="1262" t="s">
        <v>797</v>
      </c>
      <c r="G16" s="1249">
        <f>PGL_Requirements!G8/1000</f>
        <v>87.1</v>
      </c>
      <c r="H16" s="1249" t="s">
        <v>9</v>
      </c>
      <c r="I16" s="1250">
        <f>AVERAGE(G16/24)</f>
        <v>3.6291666666666664</v>
      </c>
    </row>
    <row r="17" spans="1:9" ht="15.75" customHeight="1" thickTop="1" thickBot="1">
      <c r="B17" s="1259" t="s">
        <v>789</v>
      </c>
      <c r="C17" s="1260">
        <f>SUM(C15:C16)-SUM(D15:D16)</f>
        <v>10.417999999999999</v>
      </c>
      <c r="D17" s="429"/>
      <c r="E17" s="430"/>
      <c r="F17" s="1263" t="s">
        <v>798</v>
      </c>
      <c r="G17" s="1249">
        <f>PGL_Requirements!J8/1000</f>
        <v>95</v>
      </c>
      <c r="H17" s="1264"/>
      <c r="I17" s="1265">
        <f>AVERAGE(G17/24)</f>
        <v>3.9583333333333335</v>
      </c>
    </row>
    <row r="18" spans="1:9" ht="15.75" customHeight="1">
      <c r="B18" s="1266"/>
      <c r="C18" s="1267"/>
      <c r="D18" s="616"/>
      <c r="E18" s="1268"/>
      <c r="F18" s="1269" t="s">
        <v>799</v>
      </c>
      <c r="G18" s="60" t="s">
        <v>9</v>
      </c>
      <c r="H18" s="60"/>
      <c r="I18" s="158"/>
    </row>
    <row r="19" spans="1:9" ht="15.75" customHeight="1" thickBot="1">
      <c r="B19" s="1266"/>
      <c r="C19" s="616"/>
      <c r="D19" s="1267"/>
      <c r="E19" s="1268"/>
      <c r="F19" s="167" t="s">
        <v>800</v>
      </c>
      <c r="G19" s="165"/>
      <c r="H19" s="207">
        <v>0</v>
      </c>
      <c r="I19" s="433"/>
    </row>
    <row r="20" spans="1:9" ht="15.75" customHeight="1" thickTop="1" thickBot="1">
      <c r="B20" s="1248" t="s">
        <v>801</v>
      </c>
      <c r="C20" s="1249">
        <f>C17+C18-D19</f>
        <v>10.417999999999999</v>
      </c>
      <c r="D20" s="1270" t="s">
        <v>9</v>
      </c>
      <c r="E20" s="1250">
        <f>AVERAGE(C20/24)</f>
        <v>0.43408333333333332</v>
      </c>
      <c r="F20" s="1271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802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27.498999999999999</v>
      </c>
      <c r="H21" s="151" t="s">
        <v>9</v>
      </c>
      <c r="I21" s="158"/>
    </row>
    <row r="22" spans="1:9" ht="15.75" customHeight="1">
      <c r="B22" s="1259" t="s">
        <v>789</v>
      </c>
      <c r="C22" s="1260">
        <f>SUM(C21:C21)-SUM(D21)</f>
        <v>0</v>
      </c>
      <c r="D22" s="429"/>
      <c r="E22" s="430"/>
      <c r="F22" s="1259" t="s">
        <v>789</v>
      </c>
      <c r="G22" s="1260">
        <f>G21</f>
        <v>27.498999999999999</v>
      </c>
      <c r="H22" s="429"/>
      <c r="I22" s="430"/>
    </row>
    <row r="23" spans="1:9" ht="15.75" customHeight="1">
      <c r="B23" s="169" t="s">
        <v>803</v>
      </c>
      <c r="C23" s="151">
        <f>PGL_Supplies!C8/1000</f>
        <v>0</v>
      </c>
      <c r="D23" s="60"/>
      <c r="E23" s="158"/>
      <c r="F23" s="169" t="s">
        <v>804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805</v>
      </c>
      <c r="C24" s="60">
        <v>0</v>
      </c>
      <c r="D24" s="151">
        <f>PGL_Requirements!C8/1000</f>
        <v>0</v>
      </c>
      <c r="E24" s="158"/>
      <c r="F24" s="169" t="s">
        <v>806</v>
      </c>
      <c r="G24" s="60"/>
      <c r="H24" s="151">
        <f>PGL_Requirements!E8/1000</f>
        <v>0</v>
      </c>
      <c r="I24" s="158"/>
    </row>
    <row r="25" spans="1:9" ht="15.75" customHeight="1" thickTop="1" thickBot="1">
      <c r="B25" s="1248" t="s">
        <v>807</v>
      </c>
      <c r="C25" s="1249">
        <f>C22+C23-D24</f>
        <v>0</v>
      </c>
      <c r="D25" s="431"/>
      <c r="E25" s="1250">
        <f>AVERAGE(C25/24)</f>
        <v>0</v>
      </c>
      <c r="F25" s="538" t="s">
        <v>808</v>
      </c>
      <c r="G25" s="871">
        <f>G22+G23-H24+G20</f>
        <v>27.498999999999999</v>
      </c>
      <c r="H25" s="425"/>
      <c r="I25" s="1272">
        <f>AVERAGE(G25/24)</f>
        <v>1.1457916666666665</v>
      </c>
    </row>
    <row r="26" spans="1:9" ht="15.75" customHeight="1" thickTop="1">
      <c r="B26" t="s">
        <v>809</v>
      </c>
    </row>
    <row r="27" spans="1:9" ht="15.75" customHeight="1">
      <c r="B27" t="s">
        <v>810</v>
      </c>
    </row>
    <row r="28" spans="1:9" ht="15.75" customHeight="1">
      <c r="A28" t="s">
        <v>9</v>
      </c>
      <c r="B28" s="777" t="s">
        <v>811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582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58" customWidth="1"/>
    <col min="2" max="2" width="8.08984375" style="958" customWidth="1"/>
    <col min="3" max="3" width="7.90625" style="958" customWidth="1"/>
    <col min="4" max="4" width="5.90625" style="958" customWidth="1"/>
    <col min="5" max="5" width="4.453125" style="958" customWidth="1"/>
    <col min="6" max="6" width="5.1796875" style="958" customWidth="1"/>
    <col min="7" max="7" width="9" style="958" customWidth="1"/>
    <col min="8" max="11" width="8.90625" style="958"/>
    <col min="12" max="12" width="14.90625" style="958" customWidth="1"/>
    <col min="13" max="13" width="5.6328125" style="958" customWidth="1"/>
    <col min="14" max="16384" width="8.90625" style="958"/>
  </cols>
  <sheetData>
    <row r="1" spans="1:22" ht="20.399999999999999">
      <c r="A1" s="899"/>
      <c r="B1" s="895"/>
      <c r="C1" s="906" t="s">
        <v>586</v>
      </c>
      <c r="D1" s="903"/>
      <c r="E1" s="903" t="s">
        <v>587</v>
      </c>
      <c r="F1" s="903"/>
      <c r="G1" s="956" t="s">
        <v>310</v>
      </c>
      <c r="H1" s="957">
        <f>Weather_Input!A6</f>
        <v>37105</v>
      </c>
      <c r="I1" s="892"/>
      <c r="J1" s="894"/>
      <c r="K1" s="894"/>
    </row>
    <row r="2" spans="1:22" ht="16.5" customHeight="1">
      <c r="A2" s="912" t="s">
        <v>614</v>
      </c>
      <c r="C2" s="959">
        <v>337</v>
      </c>
      <c r="F2" s="960">
        <v>339</v>
      </c>
      <c r="H2" s="894"/>
      <c r="I2" s="892" t="s">
        <v>616</v>
      </c>
      <c r="J2" s="914">
        <f>NSG_Supplies!P8/1000</f>
        <v>12</v>
      </c>
    </row>
    <row r="3" spans="1:22" ht="16.5" customHeight="1">
      <c r="A3" s="961">
        <f>PGL_Supplies!I8/1000</f>
        <v>0</v>
      </c>
      <c r="C3" s="958" t="s">
        <v>9</v>
      </c>
      <c r="G3" s="892"/>
      <c r="H3" s="894"/>
    </row>
    <row r="4" spans="1:22" ht="16.5" customHeight="1">
      <c r="A4" s="902" t="s">
        <v>588</v>
      </c>
      <c r="G4" s="920"/>
      <c r="H4" s="894"/>
      <c r="I4" s="892"/>
      <c r="J4" s="892" t="s">
        <v>612</v>
      </c>
      <c r="K4" s="914">
        <f>Billy_Sheet!C5</f>
        <v>12</v>
      </c>
      <c r="N4" s="914"/>
    </row>
    <row r="5" spans="1:22" ht="16.5" customHeight="1">
      <c r="A5" s="962">
        <f>PGL_Supplies!J7/1000</f>
        <v>0</v>
      </c>
      <c r="B5" s="963"/>
      <c r="G5" s="895"/>
      <c r="H5" s="914"/>
      <c r="U5" s="894"/>
      <c r="V5" s="894"/>
    </row>
    <row r="6" spans="1:22" ht="16.5" customHeight="1">
      <c r="A6" s="901" t="s">
        <v>584</v>
      </c>
      <c r="G6" s="895"/>
      <c r="H6" s="914"/>
      <c r="U6" s="894"/>
      <c r="V6" s="914"/>
    </row>
    <row r="7" spans="1:22" ht="18.75" customHeight="1">
      <c r="A7" s="914">
        <f>Billy_Sheet!G14</f>
        <v>0</v>
      </c>
      <c r="G7" s="895"/>
      <c r="H7" s="893"/>
      <c r="U7" s="894"/>
      <c r="V7" s="893"/>
    </row>
    <row r="8" spans="1:22" ht="14.4" customHeight="1">
      <c r="A8" s="892" t="s">
        <v>72</v>
      </c>
      <c r="G8" s="895"/>
      <c r="H8" s="892" t="s">
        <v>164</v>
      </c>
      <c r="I8" s="892"/>
      <c r="K8" s="892"/>
      <c r="L8" s="892"/>
      <c r="N8" s="892"/>
      <c r="O8" s="892"/>
      <c r="U8" s="894"/>
      <c r="V8" s="914"/>
    </row>
    <row r="9" spans="1:22" ht="14.4" customHeight="1">
      <c r="A9" s="914">
        <f>PGL_Supplies!H8/1000</f>
        <v>20</v>
      </c>
      <c r="H9" s="914">
        <f>NSG_Supplies!Q8/1000+NSG_Supplies!F8/1000-NSG_Requirements!H8/1000</f>
        <v>24.568999999999999</v>
      </c>
      <c r="I9" s="964"/>
      <c r="K9" s="892" t="s">
        <v>618</v>
      </c>
      <c r="L9" s="914">
        <f>NSG_Deliveries!C6/1000</f>
        <v>33</v>
      </c>
      <c r="N9" s="892"/>
      <c r="O9" s="914"/>
      <c r="U9" s="894"/>
      <c r="V9" s="914"/>
    </row>
    <row r="10" spans="1:22" ht="18" customHeight="1">
      <c r="A10" s="892" t="s">
        <v>66</v>
      </c>
      <c r="H10" s="921" t="s">
        <v>617</v>
      </c>
      <c r="U10" s="894"/>
      <c r="V10" s="914"/>
    </row>
    <row r="11" spans="1:22" ht="14.4" customHeight="1">
      <c r="A11" s="914">
        <f>Billy_Sheet!C17</f>
        <v>10.417999999999999</v>
      </c>
      <c r="B11" s="964"/>
      <c r="H11" s="914">
        <f>NSG_Supplies!T8/1000</f>
        <v>0</v>
      </c>
      <c r="K11" s="895" t="s">
        <v>619</v>
      </c>
      <c r="L11" s="920">
        <f>SUM(K4+K17+K19+H11+H9-L9)</f>
        <v>3.5690000000000026</v>
      </c>
      <c r="N11" s="895"/>
      <c r="O11" s="920"/>
      <c r="U11" s="894"/>
      <c r="V11" s="908"/>
    </row>
    <row r="12" spans="1:22" ht="14.4" customHeight="1">
      <c r="A12" s="892" t="s">
        <v>666</v>
      </c>
      <c r="H12" s="914"/>
      <c r="U12" s="894"/>
      <c r="V12" s="914"/>
    </row>
    <row r="13" spans="1:22" ht="14.4" customHeight="1">
      <c r="A13" s="962">
        <f>PGL_Supplies!X8/1000</f>
        <v>97.825999999999993</v>
      </c>
      <c r="H13" s="914"/>
      <c r="U13" s="894"/>
      <c r="V13" s="914"/>
    </row>
    <row r="14" spans="1:22" ht="14.4" customHeight="1">
      <c r="H14" s="914"/>
      <c r="U14" s="894"/>
      <c r="V14" s="914"/>
    </row>
    <row r="15" spans="1:22" ht="15.6" customHeight="1">
      <c r="B15" s="958" t="s">
        <v>9</v>
      </c>
      <c r="C15" s="965">
        <v>340</v>
      </c>
      <c r="F15" s="965">
        <v>340</v>
      </c>
      <c r="H15" s="920"/>
      <c r="U15" s="904"/>
      <c r="V15" s="920"/>
    </row>
    <row r="16" spans="1:22" ht="42.75" customHeight="1">
      <c r="A16" s="905"/>
      <c r="B16" s="920"/>
      <c r="C16" s="966"/>
      <c r="D16" s="967"/>
      <c r="E16" s="967"/>
      <c r="F16" s="966"/>
    </row>
    <row r="17" spans="1:17" ht="38.25" customHeight="1">
      <c r="B17" s="967"/>
      <c r="C17" s="967"/>
      <c r="D17" s="968"/>
      <c r="E17" s="967"/>
      <c r="F17" s="967"/>
      <c r="G17" s="967"/>
      <c r="J17" s="892" t="s">
        <v>311</v>
      </c>
      <c r="K17" s="914">
        <f>NSG_Supplies!K8/1000</f>
        <v>0</v>
      </c>
      <c r="N17" s="914"/>
    </row>
    <row r="18" spans="1:17" ht="15" customHeight="1">
      <c r="A18" s="900"/>
      <c r="C18" s="965">
        <v>432</v>
      </c>
      <c r="D18" s="967"/>
      <c r="E18" s="967"/>
      <c r="F18" s="960">
        <v>815</v>
      </c>
    </row>
    <row r="19" spans="1:17">
      <c r="A19" s="901" t="s">
        <v>585</v>
      </c>
      <c r="C19" s="958" t="s">
        <v>9</v>
      </c>
      <c r="J19" s="892" t="s">
        <v>613</v>
      </c>
      <c r="K19" s="914"/>
      <c r="N19" s="970"/>
    </row>
    <row r="20" spans="1:17" ht="17.25" customHeight="1">
      <c r="A20" s="914">
        <f>Billy_Sheet!G15</f>
        <v>133.05600000000001</v>
      </c>
      <c r="G20" s="428"/>
      <c r="J20" s="892"/>
    </row>
    <row r="21" spans="1:17" ht="11.25" customHeight="1">
      <c r="G21" s="893"/>
      <c r="H21" s="893"/>
      <c r="I21" s="895"/>
      <c r="J21" s="920"/>
    </row>
    <row r="22" spans="1:17">
      <c r="A22" s="894" t="s">
        <v>167</v>
      </c>
      <c r="G22" s="892"/>
      <c r="I22" s="895"/>
      <c r="J22" s="892"/>
      <c r="M22" s="895"/>
      <c r="N22" s="920"/>
    </row>
    <row r="23" spans="1:17">
      <c r="A23" s="914">
        <f>Billy_Sheet!C25</f>
        <v>0</v>
      </c>
      <c r="G23" s="892" t="s">
        <v>675</v>
      </c>
      <c r="H23" s="894"/>
      <c r="I23" s="895"/>
      <c r="J23" s="920"/>
      <c r="M23" s="892"/>
      <c r="N23" s="920"/>
      <c r="Q23" s="971"/>
    </row>
    <row r="24" spans="1:17" ht="9" customHeight="1">
      <c r="G24" s="914">
        <f>PGL_Requirements!J7/1000</f>
        <v>88.9</v>
      </c>
      <c r="H24" s="895"/>
      <c r="I24" s="895"/>
      <c r="J24" s="895"/>
    </row>
    <row r="25" spans="1:17" ht="10.5" customHeight="1">
      <c r="A25" s="894" t="s">
        <v>169</v>
      </c>
      <c r="B25" s="894"/>
      <c r="C25" s="894"/>
      <c r="D25" s="894"/>
      <c r="F25" s="894"/>
      <c r="G25" s="892" t="s">
        <v>621</v>
      </c>
      <c r="H25" s="895"/>
      <c r="I25" s="895"/>
      <c r="J25" s="895"/>
    </row>
    <row r="26" spans="1:17" ht="14.25" customHeight="1">
      <c r="A26" s="914">
        <f>Billy_Sheet!G25</f>
        <v>27.498999999999999</v>
      </c>
      <c r="B26" s="894"/>
      <c r="C26" s="895"/>
      <c r="D26" s="895"/>
      <c r="F26" s="895"/>
      <c r="G26" s="969">
        <v>3</v>
      </c>
      <c r="H26" s="895"/>
      <c r="I26" s="895"/>
      <c r="J26" s="895" t="s">
        <v>519</v>
      </c>
      <c r="K26" s="972">
        <f>PGL_Deliveries!C6/1000</f>
        <v>200</v>
      </c>
      <c r="L26" s="892" t="s">
        <v>618</v>
      </c>
      <c r="M26" s="914">
        <f>NSG_Deliveries!C6/1000</f>
        <v>33</v>
      </c>
      <c r="N26" s="914"/>
    </row>
    <row r="27" spans="1:17" ht="8.25" customHeight="1">
      <c r="A27" s="895"/>
      <c r="B27" s="916"/>
      <c r="C27" s="895"/>
      <c r="D27" s="895"/>
      <c r="F27" s="895"/>
      <c r="G27" s="895"/>
      <c r="H27" s="896"/>
      <c r="I27" s="895"/>
      <c r="J27" s="896"/>
    </row>
    <row r="28" spans="1:17" ht="12.75" customHeight="1">
      <c r="A28" s="903" t="s">
        <v>589</v>
      </c>
      <c r="B28" s="914"/>
      <c r="C28" s="894"/>
      <c r="D28" s="895"/>
      <c r="F28" s="892"/>
      <c r="G28" s="904" t="s">
        <v>594</v>
      </c>
      <c r="H28" s="428"/>
      <c r="J28" s="895" t="s">
        <v>620</v>
      </c>
      <c r="K28" s="920">
        <f>SUM(A42)</f>
        <v>70.699000000000041</v>
      </c>
      <c r="L28" s="895" t="s">
        <v>658</v>
      </c>
      <c r="M28" s="920">
        <f>SUM(J2+K17+K19+H11+H9-M26)</f>
        <v>3.5690000000000026</v>
      </c>
      <c r="N28" s="920"/>
    </row>
    <row r="29" spans="1:17">
      <c r="A29" s="914">
        <f>PGL_Supplies!L8/1000</f>
        <v>0</v>
      </c>
      <c r="B29" s="914"/>
      <c r="C29" s="895"/>
      <c r="D29" s="973"/>
      <c r="F29" s="1012">
        <f>PGL_Requirements!A7</f>
        <v>37104</v>
      </c>
      <c r="G29" s="914">
        <f>PGL_Requirements!G7/1000</f>
        <v>174.774</v>
      </c>
      <c r="H29" s="893"/>
      <c r="J29" s="895" t="s">
        <v>622</v>
      </c>
      <c r="K29" s="914">
        <f>PGL_Supplies!AB8/1000+PGL_Supplies!K8/1000-PGL_Requirements!N8/1000</f>
        <v>56.156999999999996</v>
      </c>
    </row>
    <row r="30" spans="1:17" ht="10.5" customHeight="1">
      <c r="A30" s="897"/>
      <c r="B30" s="914"/>
      <c r="C30" s="895"/>
      <c r="D30" s="914"/>
      <c r="F30" s="1012">
        <f>PGL_Requirements!A8</f>
        <v>37105</v>
      </c>
      <c r="G30" s="914">
        <f>PGL_Requirements!G8/1000</f>
        <v>87.1</v>
      </c>
    </row>
    <row r="31" spans="1:17" ht="17.25" customHeight="1">
      <c r="A31" s="903" t="s">
        <v>591</v>
      </c>
      <c r="B31" s="974"/>
      <c r="C31" s="898"/>
      <c r="D31" s="920"/>
      <c r="G31" s="904" t="s">
        <v>592</v>
      </c>
      <c r="H31" s="920"/>
      <c r="J31" s="895" t="s">
        <v>619</v>
      </c>
      <c r="K31" s="920">
        <f>SUM(K28+K29-K26)</f>
        <v>-73.143999999999963</v>
      </c>
    </row>
    <row r="32" spans="1:17">
      <c r="A32" s="914">
        <f>PGL_Supplies!G8/1000</f>
        <v>1</v>
      </c>
      <c r="G32" s="914">
        <f>PGL_Requirements!O8/1000</f>
        <v>132</v>
      </c>
    </row>
    <row r="33" spans="1:11" ht="6.75" customHeight="1"/>
    <row r="34" spans="1:11">
      <c r="A34" s="892" t="s">
        <v>590</v>
      </c>
      <c r="G34" s="895" t="s">
        <v>593</v>
      </c>
    </row>
    <row r="35" spans="1:11">
      <c r="A35" s="969">
        <v>0</v>
      </c>
      <c r="G35" s="914">
        <f>PGL_Requirements!B8/1000</f>
        <v>0</v>
      </c>
    </row>
    <row r="36" spans="1:11">
      <c r="G36" s="914"/>
    </row>
    <row r="37" spans="1:11">
      <c r="C37" s="892" t="s">
        <v>596</v>
      </c>
      <c r="F37" s="892" t="s">
        <v>597</v>
      </c>
      <c r="G37" s="914"/>
    </row>
    <row r="38" spans="1:11">
      <c r="C38" s="965">
        <v>433</v>
      </c>
      <c r="F38" s="965">
        <v>753</v>
      </c>
    </row>
    <row r="39" spans="1:11">
      <c r="A39" s="912" t="s">
        <v>657</v>
      </c>
      <c r="E39" s="894" t="s">
        <v>595</v>
      </c>
      <c r="F39" s="894"/>
    </row>
    <row r="40" spans="1:11">
      <c r="A40" s="920">
        <f>SUM(A3:A35)</f>
        <v>289.79900000000004</v>
      </c>
      <c r="B40" s="908"/>
      <c r="C40" s="907"/>
      <c r="D40" s="908"/>
      <c r="E40" s="908"/>
      <c r="F40" s="975"/>
      <c r="G40" s="975">
        <f>SUM(G30:G35)</f>
        <v>219.1</v>
      </c>
      <c r="H40" s="910"/>
      <c r="I40" s="909"/>
    </row>
    <row r="41" spans="1:11">
      <c r="A41" s="911" t="s">
        <v>611</v>
      </c>
      <c r="B41" s="914"/>
      <c r="C41" s="908"/>
      <c r="D41" s="908"/>
      <c r="E41" s="908"/>
      <c r="F41" s="908"/>
      <c r="G41" s="908"/>
      <c r="H41" s="908"/>
      <c r="I41" s="907"/>
    </row>
    <row r="42" spans="1:11">
      <c r="A42" s="914">
        <f>SUM(A40-G40)</f>
        <v>70.699000000000041</v>
      </c>
      <c r="B42" s="914"/>
      <c r="C42" s="908"/>
      <c r="D42" s="908"/>
      <c r="E42" s="908"/>
      <c r="F42" s="917"/>
      <c r="G42" s="919" t="s">
        <v>615</v>
      </c>
      <c r="H42" s="976"/>
      <c r="I42" s="977"/>
      <c r="J42" s="976"/>
      <c r="K42" s="967"/>
    </row>
    <row r="43" spans="1:11" ht="14.25" customHeight="1">
      <c r="A43" s="914"/>
      <c r="B43" s="914"/>
      <c r="C43" s="914"/>
      <c r="D43" s="914"/>
      <c r="E43" s="917"/>
      <c r="F43" s="916" t="s">
        <v>610</v>
      </c>
      <c r="G43" s="917" t="s">
        <v>609</v>
      </c>
      <c r="I43" s="914"/>
    </row>
    <row r="44" spans="1:11" ht="12.75" customHeight="1">
      <c r="A44" s="911" t="s">
        <v>598</v>
      </c>
      <c r="B44" s="914" t="s">
        <v>603</v>
      </c>
      <c r="C44" s="914" t="s">
        <v>604</v>
      </c>
      <c r="D44" s="914" t="s">
        <v>605</v>
      </c>
      <c r="E44" s="915"/>
      <c r="F44" s="915" t="s">
        <v>606</v>
      </c>
      <c r="G44" s="908" t="s">
        <v>608</v>
      </c>
      <c r="H44" s="894" t="s">
        <v>607</v>
      </c>
      <c r="I44" s="914"/>
      <c r="K44" s="894"/>
    </row>
    <row r="45" spans="1:11">
      <c r="A45" s="911" t="s">
        <v>602</v>
      </c>
      <c r="B45" s="978">
        <v>250</v>
      </c>
      <c r="C45" s="978">
        <v>410</v>
      </c>
      <c r="D45" s="979">
        <f>SUM(F2+F15)/2</f>
        <v>339.5</v>
      </c>
      <c r="E45" s="980"/>
      <c r="F45" s="981">
        <v>6.7000000000000004E-2</v>
      </c>
      <c r="G45" s="982">
        <f>(C45-D45)*F45</f>
        <v>4.7235000000000005</v>
      </c>
      <c r="H45" s="982">
        <f>(D45-B45)*F45</f>
        <v>5.9965000000000002</v>
      </c>
      <c r="I45" s="914"/>
      <c r="J45" s="983"/>
    </row>
    <row r="46" spans="1:11">
      <c r="A46" s="894" t="s">
        <v>599</v>
      </c>
      <c r="B46" s="984">
        <v>797</v>
      </c>
      <c r="C46" s="978">
        <v>797</v>
      </c>
      <c r="D46" s="979">
        <v>797</v>
      </c>
      <c r="E46" s="980"/>
      <c r="F46" s="981">
        <v>0.13900000000000001</v>
      </c>
      <c r="G46" s="982">
        <f>(C46-D46)*F46</f>
        <v>0</v>
      </c>
      <c r="H46" s="982">
        <f>(D46-B46)*F46</f>
        <v>0</v>
      </c>
      <c r="I46" s="914"/>
    </row>
    <row r="47" spans="1:11">
      <c r="A47" s="894" t="s">
        <v>600</v>
      </c>
      <c r="B47" s="984">
        <v>250</v>
      </c>
      <c r="C47" s="978">
        <v>410</v>
      </c>
      <c r="D47" s="979">
        <f>SUM(C2+C15)/2</f>
        <v>338.5</v>
      </c>
      <c r="E47" s="980"/>
      <c r="F47" s="981">
        <v>0.14099999999999999</v>
      </c>
      <c r="G47" s="982">
        <f>(C47-D47)*F47</f>
        <v>10.081499999999998</v>
      </c>
      <c r="H47" s="982">
        <f>(D47-B47)*F47</f>
        <v>12.478499999999999</v>
      </c>
      <c r="I47" s="914"/>
    </row>
    <row r="48" spans="1:11">
      <c r="A48" s="894" t="s">
        <v>601</v>
      </c>
      <c r="B48" s="984">
        <v>285</v>
      </c>
      <c r="C48" s="978">
        <v>750</v>
      </c>
      <c r="D48" s="979">
        <f>SUM(C18+C38)/2</f>
        <v>432.5</v>
      </c>
      <c r="E48" s="980"/>
      <c r="F48" s="981">
        <v>0.161</v>
      </c>
      <c r="G48" s="982">
        <f>(C48-D48)*F48</f>
        <v>51.1175</v>
      </c>
      <c r="H48" s="982">
        <f>(D48-B48)*F48</f>
        <v>23.747500000000002</v>
      </c>
    </row>
    <row r="49" spans="1:8">
      <c r="B49" s="964"/>
      <c r="C49" s="964"/>
      <c r="D49" s="964"/>
      <c r="E49" s="964"/>
      <c r="F49" s="918" t="s">
        <v>339</v>
      </c>
      <c r="G49" s="982">
        <f>SUM(G45:G48)</f>
        <v>65.922499999999999</v>
      </c>
      <c r="H49" s="982">
        <f>SUM(H45:H48)</f>
        <v>42.222499999999997</v>
      </c>
    </row>
    <row r="55" spans="1:8">
      <c r="A55" s="985"/>
      <c r="G55" s="985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37104</v>
      </c>
      <c r="B5" s="11">
        <v>91</v>
      </c>
      <c r="C5" s="49">
        <v>74</v>
      </c>
      <c r="D5" s="49">
        <v>8.6</v>
      </c>
      <c r="E5" s="11" t="s">
        <v>772</v>
      </c>
      <c r="F5" s="11">
        <v>0</v>
      </c>
      <c r="G5" s="11">
        <v>0</v>
      </c>
      <c r="H5" s="11">
        <v>0</v>
      </c>
      <c r="I5" s="872" t="s">
        <v>812</v>
      </c>
      <c r="J5" s="872" t="s">
        <v>813</v>
      </c>
      <c r="K5" s="11">
        <v>3</v>
      </c>
      <c r="L5" s="11">
        <v>1</v>
      </c>
      <c r="N5" s="15" t="str">
        <f>I5&amp;" "&amp;I5</f>
        <v>SWELTERING HEAT AND HUMIDITY…MOSTLY SUNNY AND HAZY. S.W. WINDS 10/15 MP SWELTERING HEAT AND HUMIDITY…MOSTLY SUNNY AND HAZY. S.W. WINDS 10/15 MP</v>
      </c>
      <c r="AE5" s="15">
        <v>1</v>
      </c>
      <c r="AH5" s="15" t="s">
        <v>32</v>
      </c>
    </row>
    <row r="6" spans="1:34" ht="16.5" customHeight="1">
      <c r="A6" s="86">
        <f>A5+1</f>
        <v>37105</v>
      </c>
      <c r="B6" s="11">
        <v>87</v>
      </c>
      <c r="C6" s="49">
        <v>69</v>
      </c>
      <c r="D6" s="49">
        <v>10</v>
      </c>
      <c r="E6" s="11" t="s">
        <v>9</v>
      </c>
      <c r="F6" s="11" t="s">
        <v>9</v>
      </c>
      <c r="G6" s="11"/>
      <c r="H6" s="11" t="s">
        <v>9</v>
      </c>
      <c r="I6" s="872" t="s">
        <v>814</v>
      </c>
      <c r="J6" s="872" t="s">
        <v>815</v>
      </c>
      <c r="K6" s="11">
        <v>1</v>
      </c>
      <c r="L6" s="11" t="s">
        <v>565</v>
      </c>
      <c r="N6" s="15" t="str">
        <f>I6&amp;" "&amp;J6</f>
        <v>MOSTLY CLOUDY WITH A 50% CHANCE OF SHOWERS AND T'STORMS. NOT AS WAR M BUT STILL HUMID. OVERNIGHT…A 30% CHANCE OF EVENING SHOWERS/T'STORMS.</v>
      </c>
      <c r="AE6" s="15">
        <v>1</v>
      </c>
      <c r="AH6" s="15" t="s">
        <v>33</v>
      </c>
    </row>
    <row r="7" spans="1:34" ht="16.5" customHeight="1">
      <c r="A7" s="86">
        <f>A6+1</f>
        <v>37106</v>
      </c>
      <c r="B7" s="11">
        <v>85</v>
      </c>
      <c r="C7" s="49">
        <v>68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72" t="s">
        <v>816</v>
      </c>
      <c r="J7" s="872" t="s">
        <v>9</v>
      </c>
      <c r="K7" s="11">
        <v>6</v>
      </c>
      <c r="L7" s="11" t="s">
        <v>20</v>
      </c>
      <c r="N7" s="15" t="str">
        <f>I7&amp;" "&amp;J7</f>
        <v xml:space="preserve">PARTLY CLOUDY. ..BUT COOLER NEAR LAKE.   </v>
      </c>
    </row>
    <row r="8" spans="1:34" ht="16.5" customHeight="1">
      <c r="A8" s="86">
        <f>A7+1</f>
        <v>37107</v>
      </c>
      <c r="B8" s="11">
        <v>86</v>
      </c>
      <c r="C8" s="49">
        <v>68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72" t="s">
        <v>817</v>
      </c>
      <c r="J8" s="872" t="s">
        <v>9</v>
      </c>
      <c r="K8" s="11">
        <v>3</v>
      </c>
      <c r="L8" s="11"/>
      <c r="N8" s="15" t="str">
        <f>I8&amp;" "&amp;J8</f>
        <v xml:space="preserve">SUNNY.   </v>
      </c>
    </row>
    <row r="9" spans="1:34" ht="16.5" customHeight="1">
      <c r="A9" s="86">
        <f>A8+1</f>
        <v>37108</v>
      </c>
      <c r="B9" s="11">
        <v>89</v>
      </c>
      <c r="C9" s="49">
        <v>70</v>
      </c>
      <c r="D9" s="49">
        <v>8</v>
      </c>
      <c r="E9" s="11" t="s">
        <v>9</v>
      </c>
      <c r="F9" s="11" t="s">
        <v>9</v>
      </c>
      <c r="G9" s="11"/>
      <c r="H9" s="11" t="s">
        <v>9</v>
      </c>
      <c r="I9" s="872" t="s">
        <v>818</v>
      </c>
      <c r="J9" s="872" t="s">
        <v>9</v>
      </c>
      <c r="K9" s="11">
        <v>1</v>
      </c>
      <c r="L9" s="11">
        <v>0</v>
      </c>
      <c r="M9" s="87"/>
      <c r="N9" s="15" t="str">
        <f>I9&amp;" "&amp;J9</f>
        <v xml:space="preserve">MOSTLY SUNNY.   </v>
      </c>
    </row>
    <row r="10" spans="1:34" ht="16.5" customHeight="1">
      <c r="A10" s="86">
        <f>A9+1</f>
        <v>37109</v>
      </c>
      <c r="B10" s="11">
        <v>89</v>
      </c>
      <c r="C10" s="49">
        <v>70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72" t="s">
        <v>818</v>
      </c>
      <c r="J10" s="872" t="s">
        <v>9</v>
      </c>
      <c r="K10" s="11">
        <v>1</v>
      </c>
      <c r="L10" s="11" t="s">
        <v>383</v>
      </c>
      <c r="N10" s="15" t="str">
        <f>I10&amp;" "&amp;J10</f>
        <v xml:space="preserve">MOSTLY SUNNY.   </v>
      </c>
    </row>
    <row r="11" spans="1:34" ht="16.5" customHeight="1">
      <c r="G11"/>
    </row>
    <row r="12" spans="1:34" ht="15.6">
      <c r="E12" s="83"/>
      <c r="F12" s="83"/>
      <c r="G12" s="451"/>
      <c r="H12" s="83"/>
      <c r="I12" s="83"/>
      <c r="J12" s="83"/>
    </row>
    <row r="13" spans="1:34" ht="15">
      <c r="E13" s="83"/>
      <c r="F13" s="83"/>
      <c r="G13" s="469" t="s">
        <v>9</v>
      </c>
      <c r="H13" s="83"/>
      <c r="I13" s="83"/>
      <c r="J13" s="83"/>
    </row>
    <row r="14" spans="1:34" ht="15">
      <c r="E14" s="83"/>
      <c r="F14" s="83"/>
      <c r="G14" s="452"/>
      <c r="H14" s="83"/>
      <c r="I14" s="83"/>
      <c r="J14" s="83"/>
    </row>
    <row r="15" spans="1:34">
      <c r="E15" s="83"/>
      <c r="F15" s="83"/>
      <c r="G15" s="468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519</v>
      </c>
      <c r="B2" s="183">
        <f>PGL_Deliveries!U5/1000</f>
        <v>4.3760000000000003</v>
      </c>
      <c r="C2" s="60"/>
      <c r="D2" s="118" t="s">
        <v>310</v>
      </c>
      <c r="E2" s="421">
        <f>Weather_Input!A5</f>
        <v>37104</v>
      </c>
      <c r="F2" s="60"/>
      <c r="H2"/>
      <c r="I2"/>
      <c r="J2"/>
      <c r="K2"/>
      <c r="L2"/>
      <c r="M2"/>
    </row>
    <row r="3" spans="1:13" ht="15">
      <c r="A3" s="97" t="s">
        <v>520</v>
      </c>
      <c r="B3" s="619">
        <f>PGL_Supplies!I7/1000</f>
        <v>0</v>
      </c>
      <c r="C3" s="182"/>
      <c r="D3" s="1025" t="s">
        <v>682</v>
      </c>
      <c r="E3" s="780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68"/>
      <c r="E4" s="165"/>
      <c r="F4" s="164"/>
      <c r="H4"/>
      <c r="I4"/>
      <c r="J4"/>
      <c r="K4"/>
      <c r="L4"/>
      <c r="M4"/>
    </row>
    <row r="5" spans="1:13" ht="15">
      <c r="A5" s="180" t="s">
        <v>523</v>
      </c>
      <c r="B5" s="151">
        <f>PGL_Deliveries!D5/1000</f>
        <v>0</v>
      </c>
      <c r="C5" s="63"/>
      <c r="D5" s="59" t="s">
        <v>521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0</v>
      </c>
      <c r="C6" s="166"/>
      <c r="D6" s="59" t="s">
        <v>522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2" thickBot="1">
      <c r="A7" s="178" t="s">
        <v>525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4" t="s">
        <v>666</v>
      </c>
      <c r="B8" s="151">
        <f>PGL_Deliveries!V5/1000</f>
        <v>86.462999999999994</v>
      </c>
      <c r="C8" s="618"/>
      <c r="D8" s="115" t="s">
        <v>524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4.3760000000000003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(PGL_Deliveries!AK5+PGL_Deliveries!AL5)/1000</f>
        <v>25.524999999999999</v>
      </c>
      <c r="C11" s="63"/>
      <c r="D11" s="115" t="s">
        <v>526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527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528</v>
      </c>
      <c r="B13" s="151">
        <f>PGL_Deliveries!Y5/1000+PGL_Deliveries!Z5/1000+PGL_Deliveries!AA5/1000+PGL_Deliveries!AB5/1000-PGL_Deliveries!BF5/1000-PGL_Deliveries!BG5/1000</f>
        <v>58.043999999999997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PGL_Deliveries!AE5/1000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PGL_Deliveries!AI5/1000+PGL_Deliveries!AY5/1000+PGL_Deliveries!AU5/1000-PGL_Deliveries!AT5/1000-PGL_Deliveries!AV5/1000+PGL_Deliveries!AF5/1000+PGL_Deliveries!AG5/1000-PGL_Deliveries!AW5/1000</f>
        <v>-62.896000000000001</v>
      </c>
      <c r="C15" s="63"/>
      <c r="D15" s="59" t="s">
        <v>371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529</v>
      </c>
      <c r="B16" s="60"/>
      <c r="C16" s="222">
        <f>PGL_Deliveries!AP5/1000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PGL_Deliveries!AQ5/1000</f>
        <v>13.782</v>
      </c>
      <c r="C17" s="166" t="s">
        <v>9</v>
      </c>
      <c r="D17" s="1054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2" thickBot="1">
      <c r="A18" s="177" t="s">
        <v>530</v>
      </c>
      <c r="B18" s="871">
        <f>SUM(B8:B17)-C16</f>
        <v>120.91799999999998</v>
      </c>
      <c r="C18" s="166"/>
      <c r="D18" s="176" t="s">
        <v>531</v>
      </c>
      <c r="E18" s="175">
        <f>SUM(E5:E17)</f>
        <v>4.3760000000000003</v>
      </c>
      <c r="F18" s="164"/>
      <c r="H18"/>
      <c r="I18"/>
      <c r="J18"/>
      <c r="K18"/>
      <c r="L18"/>
      <c r="M18"/>
    </row>
    <row r="19" spans="1:13" ht="15">
      <c r="A19" s="434" t="s">
        <v>669</v>
      </c>
      <c r="B19" s="151">
        <f>PGL_Supplies!X7/1000</f>
        <v>101.842</v>
      </c>
      <c r="C19" s="618"/>
      <c r="D19" s="115" t="s">
        <v>305</v>
      </c>
      <c r="E19" s="151">
        <f>PGL_Deliveries!AJ5/1000</f>
        <v>0</v>
      </c>
      <c r="F19" s="168"/>
      <c r="H19"/>
      <c r="I19"/>
      <c r="J19"/>
      <c r="K19"/>
      <c r="L19"/>
      <c r="M19"/>
    </row>
    <row r="20" spans="1:13" ht="15">
      <c r="A20" s="169" t="s">
        <v>667</v>
      </c>
      <c r="B20" s="151">
        <f>PGL_Supplies!W7/1000</f>
        <v>0</v>
      </c>
      <c r="C20" s="63"/>
      <c r="D20" s="115" t="s">
        <v>175</v>
      </c>
      <c r="E20" s="151">
        <f>PGL_Deliveries!AX5/1000+B41</f>
        <v>29.341149999999999</v>
      </c>
      <c r="F20" s="168"/>
      <c r="H20"/>
      <c r="I20"/>
      <c r="J20"/>
      <c r="K20"/>
      <c r="L20"/>
      <c r="M20"/>
    </row>
    <row r="21" spans="1:13" ht="16.2" thickBot="1">
      <c r="A21" s="169" t="s">
        <v>670</v>
      </c>
      <c r="C21" s="173">
        <f>PGL_Requirements!I7/1000</f>
        <v>0.1</v>
      </c>
      <c r="D21" s="617" t="s">
        <v>532</v>
      </c>
      <c r="E21" s="208">
        <f>SUM(E18:E20)</f>
        <v>33.717149999999997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27">
        <f>+B19+B20-C21</f>
        <v>101.742</v>
      </c>
      <c r="C22" s="1024"/>
      <c r="D22" s="246" t="s">
        <v>533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10.417999999999999</v>
      </c>
      <c r="C23" s="63"/>
      <c r="D23" s="246" t="s">
        <v>534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677</v>
      </c>
      <c r="B24" s="620"/>
      <c r="C24" s="222">
        <f>PGL_Requirements!T7/1000</f>
        <v>0</v>
      </c>
      <c r="D24" s="60" t="s">
        <v>535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676</v>
      </c>
      <c r="B25" s="151">
        <f>PGL_Supplies!Q7/1000</f>
        <v>0.7</v>
      </c>
      <c r="C25" s="63"/>
      <c r="D25" s="246" t="s">
        <v>537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1" t="s">
        <v>9</v>
      </c>
      <c r="D26" s="60" t="s">
        <v>539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536</v>
      </c>
      <c r="B27" s="151">
        <f>PGL_Supplies!Z7/1000</f>
        <v>0</v>
      </c>
      <c r="C27" s="63"/>
      <c r="D27" s="246" t="s">
        <v>542</v>
      </c>
      <c r="E27" s="60" t="s">
        <v>9</v>
      </c>
      <c r="F27" s="173">
        <f>PGL_Requirements!N7/1000</f>
        <v>0</v>
      </c>
      <c r="H27"/>
      <c r="I27"/>
      <c r="J27"/>
      <c r="K27"/>
      <c r="L27"/>
      <c r="M27"/>
    </row>
    <row r="28" spans="1:13" ht="15">
      <c r="A28" s="169" t="s">
        <v>538</v>
      </c>
      <c r="B28" s="151">
        <v>0</v>
      </c>
      <c r="C28" s="63"/>
      <c r="D28" s="171" t="s">
        <v>543</v>
      </c>
      <c r="E28" s="151">
        <f>PGL_Deliveries!AS5/1000</f>
        <v>50.606999999999999</v>
      </c>
      <c r="F28" s="168"/>
      <c r="H28"/>
      <c r="I28"/>
      <c r="J28"/>
      <c r="K28"/>
      <c r="L28"/>
      <c r="M28"/>
    </row>
    <row r="29" spans="1:13" ht="15">
      <c r="A29" s="169" t="s">
        <v>540</v>
      </c>
      <c r="B29" s="991">
        <f>PGL_Supplies!AC7/1000</f>
        <v>37.499000000000002</v>
      </c>
      <c r="C29" s="63"/>
      <c r="D29" s="246" t="s">
        <v>654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541</v>
      </c>
      <c r="B30" s="151">
        <f>PGL_Supplies!AD7/1000</f>
        <v>0</v>
      </c>
      <c r="C30" s="63"/>
      <c r="D30" s="60" t="s">
        <v>183</v>
      </c>
      <c r="E30" s="151">
        <f>PGL_Supplies!AB7/1000</f>
        <v>47.604999999999997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546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548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544</v>
      </c>
      <c r="B33" s="621">
        <f>(PGL_Deliveries!AC5+PGL_Deliveries!AD5+PGL_Deliveries!AE5)/1000</f>
        <v>0</v>
      </c>
      <c r="C33" s="63"/>
      <c r="D33" s="246" t="s">
        <v>550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545</v>
      </c>
      <c r="B34" s="60"/>
      <c r="C34" s="63">
        <f>PGL_Deliveries!AD5/1000</f>
        <v>0</v>
      </c>
      <c r="F34" s="168"/>
      <c r="H34"/>
      <c r="I34"/>
      <c r="J34"/>
      <c r="K34"/>
      <c r="L34"/>
      <c r="M34"/>
    </row>
    <row r="35" spans="1:13" ht="15">
      <c r="A35" s="172" t="s">
        <v>547</v>
      </c>
      <c r="B35" s="67"/>
      <c r="C35" s="471">
        <f>PGL_Deliveries!AC5/1000</f>
        <v>0</v>
      </c>
      <c r="F35" s="168"/>
      <c r="H35"/>
      <c r="I35"/>
      <c r="J35"/>
      <c r="K35"/>
      <c r="L35"/>
      <c r="M35"/>
    </row>
    <row r="36" spans="1:13" ht="15">
      <c r="A36" s="170" t="s">
        <v>549</v>
      </c>
      <c r="B36" s="151" t="s">
        <v>9</v>
      </c>
      <c r="C36" s="222">
        <f>PGL_Requirements!O7/1000</f>
        <v>140</v>
      </c>
      <c r="F36" s="168"/>
      <c r="H36"/>
      <c r="I36"/>
      <c r="J36"/>
      <c r="K36"/>
      <c r="L36"/>
      <c r="M36"/>
    </row>
    <row r="37" spans="1:13" ht="15">
      <c r="A37" s="170" t="s">
        <v>551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552</v>
      </c>
      <c r="B38" s="60"/>
      <c r="C38" s="222">
        <f>PGL_Deliveries!AT5/1000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PGL_Deliveries!AU5/1000</f>
        <v>0.41799999999999998</v>
      </c>
      <c r="C39" s="63"/>
      <c r="D39" s="209" t="s">
        <v>210</v>
      </c>
      <c r="E39" s="208">
        <f>SUM(E22:E33)-SUM(F23:F38)-E29</f>
        <v>98.211999999999989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PGL_Deliveries!AH5/1000</f>
        <v>0</v>
      </c>
      <c r="C40" s="63"/>
      <c r="D40" s="762" t="s">
        <v>553</v>
      </c>
      <c r="E40" s="780"/>
      <c r="F40" s="173">
        <f>PGL_Requirements!J7/1000</f>
        <v>88.9</v>
      </c>
      <c r="H40"/>
      <c r="I40"/>
      <c r="J40"/>
      <c r="K40"/>
      <c r="L40"/>
      <c r="M40"/>
    </row>
    <row r="41" spans="1:13" ht="15">
      <c r="A41" s="170" t="s">
        <v>554</v>
      </c>
      <c r="B41" s="151">
        <f>PGL_Deliveries!AF5/1000</f>
        <v>27.975999999999999</v>
      </c>
      <c r="C41" s="63"/>
      <c r="D41" s="246" t="s">
        <v>489</v>
      </c>
      <c r="E41" s="781">
        <f>PGL_Supplies!AA7/1000</f>
        <v>246.464</v>
      </c>
      <c r="F41" s="168"/>
      <c r="H41"/>
      <c r="I41"/>
      <c r="J41"/>
      <c r="K41"/>
      <c r="L41"/>
      <c r="M41"/>
    </row>
    <row r="42" spans="1:13" ht="15">
      <c r="A42" s="1" t="s">
        <v>756</v>
      </c>
      <c r="B42" s="151">
        <f>PGL_Deliveries!BJ5/1000</f>
        <v>0</v>
      </c>
      <c r="C42" s="222">
        <f>PGL_Deliveries!BI5/1000</f>
        <v>0</v>
      </c>
      <c r="D42" s="60" t="s">
        <v>362</v>
      </c>
      <c r="E42" s="781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555</v>
      </c>
      <c r="B43" s="151">
        <f>PGL_Deliveries!AX5/1000</f>
        <v>1.3651499999999999</v>
      </c>
      <c r="C43" s="63"/>
      <c r="D43" s="60" t="s">
        <v>492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663</v>
      </c>
      <c r="B44" s="165"/>
      <c r="C44" s="222">
        <f>PGL_Requirements!Q7/1000</f>
        <v>0.28000000000000003</v>
      </c>
      <c r="D44" s="60" t="s">
        <v>493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4" t="s">
        <v>556</v>
      </c>
      <c r="B45" s="60">
        <f>Weather_Input!B5</f>
        <v>91</v>
      </c>
      <c r="C45" s="182"/>
      <c r="D45" s="60" t="s">
        <v>564</v>
      </c>
      <c r="E45" s="781">
        <f>PGL_Supplies!S7/1000</f>
        <v>80</v>
      </c>
      <c r="F45" s="168"/>
    </row>
    <row r="46" spans="1:13" ht="15">
      <c r="A46" s="169" t="s">
        <v>557</v>
      </c>
      <c r="B46" s="234">
        <f>Weather_Input!C5</f>
        <v>74</v>
      </c>
      <c r="C46" s="159"/>
      <c r="D46" s="72" t="s">
        <v>754</v>
      </c>
      <c r="E46" s="60"/>
      <c r="F46" s="173">
        <f>PGL_Deliveries!BF5/1000</f>
        <v>199.21</v>
      </c>
    </row>
    <row r="47" spans="1:13" ht="15">
      <c r="A47" s="170" t="s">
        <v>558</v>
      </c>
      <c r="B47" s="60" t="str">
        <f>Weather_Input!E5</f>
        <v>N/A</v>
      </c>
      <c r="C47" s="159"/>
      <c r="D47" s="761" t="s">
        <v>755</v>
      </c>
      <c r="E47" s="67"/>
      <c r="F47" s="1212">
        <f>PGL_Deliveries!BG5/1000</f>
        <v>86.861000000000004</v>
      </c>
    </row>
    <row r="48" spans="1:13" ht="15">
      <c r="A48" s="169" t="s">
        <v>559</v>
      </c>
      <c r="B48" s="223">
        <f>Weather_Input!D5</f>
        <v>8.6</v>
      </c>
      <c r="C48" s="159"/>
      <c r="D48" s="246" t="s">
        <v>231</v>
      </c>
      <c r="E48" s="151">
        <f>PGL_Deliveries!AJ5/1000</f>
        <v>0</v>
      </c>
      <c r="F48" s="158"/>
    </row>
    <row r="49" spans="1:6" ht="15">
      <c r="A49" s="169" t="s">
        <v>560</v>
      </c>
      <c r="B49" s="151">
        <f>PGL_Deliveries!AN5/1000</f>
        <v>1.0229999999999999</v>
      </c>
      <c r="C49" s="159"/>
      <c r="D49" s="60" t="s">
        <v>691</v>
      </c>
      <c r="E49" s="151">
        <f>PGL_Deliveries!AK5/1000</f>
        <v>19.280999999999999</v>
      </c>
      <c r="F49" s="158"/>
    </row>
    <row r="50" spans="1:6" ht="15.6" outlineLevel="2" thickBot="1">
      <c r="A50" s="100" t="s">
        <v>561</v>
      </c>
      <c r="B50" s="160"/>
      <c r="C50" s="157"/>
      <c r="D50" s="165" t="s">
        <v>562</v>
      </c>
      <c r="E50" s="207">
        <f>PGL_Deliveries!AL5/1000</f>
        <v>6.2439999999999998</v>
      </c>
      <c r="F50" s="433"/>
    </row>
    <row r="51" spans="1:6" ht="15" outlineLevel="2">
      <c r="A51" s="416" t="s">
        <v>563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8" t="s">
        <v>4</v>
      </c>
      <c r="B3" s="239">
        <f>NSG_Deliveries!H5/1000</f>
        <v>0</v>
      </c>
      <c r="C3" s="117"/>
      <c r="D3" s="226" t="s">
        <v>310</v>
      </c>
      <c r="E3" s="424">
        <f>Weather_Input!A5</f>
        <v>37104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789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0</v>
      </c>
      <c r="C8" s="158"/>
      <c r="D8" s="790" t="s">
        <v>578</v>
      </c>
      <c r="E8" s="784">
        <f>NSG_Deliveries!F5/1000</f>
        <v>0</v>
      </c>
      <c r="F8" s="783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569</v>
      </c>
      <c r="E9" s="785" t="s">
        <v>9</v>
      </c>
      <c r="F9" s="953">
        <f>NSG_Deliveries!M5/1000</f>
        <v>2.0590000000000002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55" t="s">
        <v>570</v>
      </c>
      <c r="E10" s="436">
        <f>NSG_Deliveries!N5/1000</f>
        <v>0</v>
      </c>
      <c r="F10" s="786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579</v>
      </c>
      <c r="E11" s="787">
        <f>NSG_Supplies!P7/1000</f>
        <v>12</v>
      </c>
      <c r="F11" s="788"/>
      <c r="G11"/>
    </row>
    <row r="12" spans="1:11" ht="15" customHeight="1">
      <c r="A12" s="125" t="s">
        <v>363</v>
      </c>
      <c r="B12" s="215">
        <v>0</v>
      </c>
      <c r="C12" s="129"/>
      <c r="D12" t="s">
        <v>314</v>
      </c>
      <c r="E12" s="237"/>
      <c r="F12" s="77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25.29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54">
        <f>+NSG_Supplies!N7/1000</f>
        <v>0</v>
      </c>
      <c r="F15" s="212"/>
    </row>
    <row r="16" spans="1:11" ht="15" customHeight="1" thickBot="1">
      <c r="A16" s="127" t="s">
        <v>322</v>
      </c>
      <c r="B16" s="436">
        <f>NSG_Deliveries!L5/1000</f>
        <v>4.0419999999999998</v>
      </c>
      <c r="C16" s="954"/>
      <c r="D16" s="798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22" t="s">
        <v>9</v>
      </c>
      <c r="B19" s="436" t="s">
        <v>9</v>
      </c>
      <c r="C19" s="435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22" t="s">
        <v>9</v>
      </c>
      <c r="B20" s="436" t="s">
        <v>9</v>
      </c>
      <c r="C20" s="435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22" t="s">
        <v>9</v>
      </c>
      <c r="B21" s="436" t="s">
        <v>9</v>
      </c>
      <c r="C21" s="435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22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55" t="s">
        <v>333</v>
      </c>
      <c r="E26" s="759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29.332000000000001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77" customWidth="1"/>
    <col min="3" max="3" width="20.6328125" customWidth="1"/>
  </cols>
  <sheetData>
    <row r="1" spans="2:7">
      <c r="E1" s="777" t="s">
        <v>9</v>
      </c>
    </row>
    <row r="2" spans="2:7">
      <c r="B2" s="889" t="s">
        <v>9</v>
      </c>
      <c r="C2" s="889" t="s">
        <v>9</v>
      </c>
      <c r="D2" s="889" t="s">
        <v>158</v>
      </c>
      <c r="E2" s="889" t="s">
        <v>9</v>
      </c>
      <c r="F2" s="889" t="s">
        <v>158</v>
      </c>
      <c r="G2" s="889" t="s">
        <v>9</v>
      </c>
    </row>
    <row r="4" spans="2:7">
      <c r="B4" s="890" t="s">
        <v>158</v>
      </c>
    </row>
    <row r="6" spans="2:7">
      <c r="B6" s="889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889"/>
    </row>
    <row r="8" spans="2:7">
      <c r="B8" s="889" t="s">
        <v>9</v>
      </c>
    </row>
    <row r="9" spans="2:7">
      <c r="B9" s="889"/>
    </row>
    <row r="10" spans="2:7">
      <c r="B10" s="889" t="s">
        <v>9</v>
      </c>
      <c r="C10" t="b">
        <f>TRUE()</f>
        <v>1</v>
      </c>
    </row>
    <row r="11" spans="2:7">
      <c r="B11" s="889" t="s">
        <v>9</v>
      </c>
    </row>
    <row r="12" spans="2:7">
      <c r="B12" s="889" t="s">
        <v>9</v>
      </c>
    </row>
    <row r="13" spans="2:7">
      <c r="B13" s="889"/>
    </row>
    <row r="14" spans="2:7">
      <c r="B14" s="889" t="s">
        <v>9</v>
      </c>
    </row>
    <row r="15" spans="2:7">
      <c r="B15" s="889"/>
    </row>
    <row r="16" spans="2:7">
      <c r="B16" s="889" t="s">
        <v>9</v>
      </c>
    </row>
    <row r="17" spans="2:5">
      <c r="B17" s="889"/>
    </row>
    <row r="18" spans="2:5">
      <c r="B18" s="889" t="s">
        <v>9</v>
      </c>
    </row>
    <row r="19" spans="2:5">
      <c r="B19" s="889"/>
    </row>
    <row r="20" spans="2:5">
      <c r="B20" s="889" t="s">
        <v>9</v>
      </c>
    </row>
    <row r="21" spans="2:5">
      <c r="B21" s="889"/>
    </row>
    <row r="22" spans="2:5">
      <c r="B22" s="889" t="s">
        <v>9</v>
      </c>
    </row>
    <row r="24" spans="2:5">
      <c r="B24" s="889" t="s">
        <v>9</v>
      </c>
    </row>
    <row r="25" spans="2:5">
      <c r="E25" s="889" t="s">
        <v>9</v>
      </c>
    </row>
    <row r="27" spans="2:5">
      <c r="B27" s="889" t="s">
        <v>9</v>
      </c>
    </row>
    <row r="29" spans="2:5">
      <c r="B29" s="889" t="s">
        <v>9</v>
      </c>
    </row>
    <row r="30" spans="2:5">
      <c r="B30" s="889"/>
    </row>
    <row r="31" spans="2:5">
      <c r="B31" s="889" t="s">
        <v>9</v>
      </c>
    </row>
    <row r="32" spans="2:5">
      <c r="B32" s="889"/>
    </row>
    <row r="33" spans="2:2">
      <c r="B33" s="889" t="s">
        <v>9</v>
      </c>
    </row>
    <row r="34" spans="2:2">
      <c r="B34" s="889"/>
    </row>
    <row r="35" spans="2:2">
      <c r="B35" s="889" t="s">
        <v>9</v>
      </c>
    </row>
    <row r="36" spans="2:2">
      <c r="B36" s="889"/>
    </row>
    <row r="37" spans="2:2">
      <c r="B37" s="889" t="s">
        <v>9</v>
      </c>
    </row>
    <row r="38" spans="2:2">
      <c r="B38" s="889"/>
    </row>
    <row r="39" spans="2:2">
      <c r="B39" s="889" t="s">
        <v>9</v>
      </c>
    </row>
    <row r="40" spans="2:2">
      <c r="B40" s="889"/>
    </row>
    <row r="41" spans="2:2">
      <c r="B41" s="889" t="s">
        <v>9</v>
      </c>
    </row>
    <row r="42" spans="2:2">
      <c r="B42" s="889"/>
    </row>
    <row r="43" spans="2:2">
      <c r="B43" s="889" t="s">
        <v>9</v>
      </c>
    </row>
    <row r="44" spans="2:2">
      <c r="B44" s="889"/>
    </row>
    <row r="45" spans="2:2">
      <c r="B45" s="889" t="s">
        <v>9</v>
      </c>
    </row>
    <row r="47" spans="2:2">
      <c r="B47" s="889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8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37104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37103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91573</v>
      </c>
      <c r="O6" s="201">
        <v>0</v>
      </c>
      <c r="P6" s="201">
        <v>52791677</v>
      </c>
      <c r="Q6" s="201">
        <v>15045098</v>
      </c>
      <c r="R6" s="201">
        <v>37746579</v>
      </c>
      <c r="S6" s="201">
        <v>0</v>
      </c>
    </row>
    <row r="7" spans="1:19">
      <c r="A7" s="4">
        <f>B1</f>
        <v>37104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C5+PGL_Deliveries!AD5+PGL_Deliveries!AE5)-(PGL_Supplies!O7+PGL_Supplies!X7+PGL_Supplies!AC7+PGL_Supplies!AD7)+(PGL_Requirements!M7+PGL_Requirements!S7)&lt;0,(PGL_Supplies!$O$7+PGL_Supplies!$X$7+PGL_Supplies!$AC$7+PGL_Supplies!$AD$7)-(PGL_Requirements!M7+PGL_Requirements!S7)-(PGL_Deliveries!$AC$5+PGL_Deliveries!$AD$5+PGL_Deliveries!$AE$5),0)</f>
        <v>139341</v>
      </c>
      <c r="O7">
        <f>IF((PGL_Deliveries!$AC$5+PGL_Deliveries!$AD$5+PGL_Deliveries!$AE$5)-(PGL_Supplies!$O$7+PGL_Supplies!$X$7+PGL_Supplies!$AC$7+PGL_Supplies!$AD$7)+PGL_Requirements!M7+PGL_Requirements!S7&lt;0,0,(PGL_Deliveries!$AC$5+PGL_Deliveries!$AD$5+PGL_Deliveries!$AE$5)-(PGL_Supplies!$O$7+PGL_Supplies!$X$7+PGL_Supplies!$AC$7+PGL_Supplies!$AD$7)+(PGL_Requirements!M7+PGL_Requirements!S7))</f>
        <v>0</v>
      </c>
      <c r="P7">
        <f>IF(N7&gt;0,P6+N7,N6)</f>
        <v>52931018</v>
      </c>
      <c r="Q7">
        <f>IF(O7&gt;0,Q6+O7,Q6)</f>
        <v>15045098</v>
      </c>
      <c r="R7">
        <f>IF(P7&gt;Q7,P7-Q7,0)</f>
        <v>37885920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O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5" width="7.90625" customWidth="1"/>
    <col min="41" max="41" width="4.81640625" customWidth="1"/>
    <col min="42" max="51" width="7.90625" customWidth="1"/>
    <col min="52" max="52" width="4.81640625" customWidth="1"/>
    <col min="57" max="57" width="4.81640625" customWidth="1"/>
    <col min="60" max="60" width="4.81640625" customWidth="1"/>
  </cols>
  <sheetData>
    <row r="1" spans="1:93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BA1" s="865" t="s">
        <v>652</v>
      </c>
      <c r="BF1" t="s">
        <v>653</v>
      </c>
    </row>
    <row r="2" spans="1:93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07" t="s">
        <v>35</v>
      </c>
      <c r="AD2" s="108" t="s">
        <v>9</v>
      </c>
      <c r="AE2" s="108" t="s">
        <v>9</v>
      </c>
      <c r="AF2" s="154" t="s">
        <v>36</v>
      </c>
      <c r="AG2" s="154"/>
      <c r="AH2" s="154" t="s">
        <v>36</v>
      </c>
      <c r="AI2" s="107" t="s">
        <v>9</v>
      </c>
      <c r="AP2" s="428"/>
      <c r="AQ2" s="428"/>
      <c r="AR2" s="428"/>
      <c r="AS2" s="428"/>
      <c r="AT2" s="428"/>
      <c r="AU2" s="428"/>
      <c r="AV2" s="428" t="s">
        <v>9</v>
      </c>
      <c r="AW2" s="428"/>
      <c r="AX2" s="428"/>
      <c r="AY2" s="428"/>
      <c r="BA2" s="195" t="s">
        <v>36</v>
      </c>
      <c r="BB2" t="s">
        <v>649</v>
      </c>
      <c r="BD2" t="s">
        <v>650</v>
      </c>
      <c r="BF2" s="1000">
        <v>1</v>
      </c>
      <c r="BG2" s="195" t="s">
        <v>650</v>
      </c>
      <c r="BI2" t="s">
        <v>758</v>
      </c>
    </row>
    <row r="3" spans="1:93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372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372</v>
      </c>
      <c r="U3" s="3" t="s">
        <v>13</v>
      </c>
      <c r="V3" s="3"/>
      <c r="W3" s="109"/>
      <c r="X3" s="1"/>
      <c r="Y3" s="1" t="s">
        <v>490</v>
      </c>
      <c r="Z3" s="1"/>
      <c r="AA3" s="1"/>
      <c r="AB3" s="1"/>
      <c r="AC3" s="3" t="s">
        <v>46</v>
      </c>
      <c r="AD3" s="153" t="s">
        <v>35</v>
      </c>
      <c r="AE3" s="3" t="s">
        <v>35</v>
      </c>
      <c r="AF3" s="3" t="s">
        <v>47</v>
      </c>
      <c r="AG3" s="153" t="s">
        <v>47</v>
      </c>
      <c r="AH3" s="3" t="s">
        <v>48</v>
      </c>
      <c r="AI3" s="3" t="s">
        <v>48</v>
      </c>
      <c r="AJ3" s="153" t="s">
        <v>49</v>
      </c>
      <c r="AK3" s="153" t="s">
        <v>50</v>
      </c>
      <c r="AL3" s="153" t="s">
        <v>51</v>
      </c>
      <c r="AM3" s="153" t="s">
        <v>52</v>
      </c>
      <c r="AN3" s="152" t="s">
        <v>53</v>
      </c>
      <c r="AP3" s="772" t="s">
        <v>637</v>
      </c>
      <c r="AQ3" s="987"/>
      <c r="AR3" s="772" t="s">
        <v>638</v>
      </c>
      <c r="AS3" s="987"/>
      <c r="AT3" s="772" t="s">
        <v>639</v>
      </c>
      <c r="AU3" s="987"/>
      <c r="AV3" s="428" t="s">
        <v>170</v>
      </c>
      <c r="AW3" s="428" t="s">
        <v>170</v>
      </c>
      <c r="AX3" s="428"/>
      <c r="AY3" s="428" t="s">
        <v>170</v>
      </c>
      <c r="BA3" s="119" t="s">
        <v>647</v>
      </c>
      <c r="BB3" s="119"/>
      <c r="BC3" s="159"/>
      <c r="BD3" s="119" t="s">
        <v>41</v>
      </c>
      <c r="BF3" s="1000" t="s">
        <v>491</v>
      </c>
      <c r="BI3" t="s">
        <v>757</v>
      </c>
    </row>
    <row r="4" spans="1:93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373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369</v>
      </c>
      <c r="U4" s="3" t="s">
        <v>54</v>
      </c>
      <c r="V4" s="3" t="s">
        <v>664</v>
      </c>
      <c r="W4" s="3" t="s">
        <v>66</v>
      </c>
      <c r="X4" s="3" t="s">
        <v>67</v>
      </c>
      <c r="Y4" s="3" t="s">
        <v>517</v>
      </c>
      <c r="Z4" s="3" t="s">
        <v>518</v>
      </c>
      <c r="AA4" s="3" t="s">
        <v>689</v>
      </c>
      <c r="AB4" s="3" t="s">
        <v>773</v>
      </c>
      <c r="AC4" s="3" t="s">
        <v>58</v>
      </c>
      <c r="AD4" s="3" t="s">
        <v>68</v>
      </c>
      <c r="AE4" s="3" t="s">
        <v>69</v>
      </c>
      <c r="AF4" s="3" t="s">
        <v>70</v>
      </c>
      <c r="AG4" s="3" t="s">
        <v>69</v>
      </c>
      <c r="AH4" s="3" t="s">
        <v>70</v>
      </c>
      <c r="AI4" s="3" t="s">
        <v>69</v>
      </c>
      <c r="AJ4" s="153" t="s">
        <v>71</v>
      </c>
      <c r="AK4" s="153" t="s">
        <v>72</v>
      </c>
      <c r="AL4" s="153" t="s">
        <v>72</v>
      </c>
      <c r="AM4" s="153" t="s">
        <v>73</v>
      </c>
      <c r="AN4" s="153" t="s">
        <v>74</v>
      </c>
      <c r="AO4" s="1"/>
      <c r="AP4" s="986" t="s">
        <v>635</v>
      </c>
      <c r="AQ4" s="3" t="s">
        <v>636</v>
      </c>
      <c r="AR4" s="3" t="s">
        <v>635</v>
      </c>
      <c r="AS4" s="3" t="s">
        <v>636</v>
      </c>
      <c r="AT4" s="3" t="s">
        <v>635</v>
      </c>
      <c r="AU4" s="3" t="s">
        <v>636</v>
      </c>
      <c r="AV4" s="428" t="s">
        <v>189</v>
      </c>
      <c r="AW4" s="428" t="s">
        <v>662</v>
      </c>
      <c r="AX4" s="428" t="s">
        <v>198</v>
      </c>
      <c r="AY4" s="428" t="s">
        <v>634</v>
      </c>
      <c r="AZ4" s="1"/>
      <c r="BA4" s="1001" t="s">
        <v>40</v>
      </c>
      <c r="BB4" s="1002" t="s">
        <v>41</v>
      </c>
      <c r="BC4" s="1003" t="s">
        <v>646</v>
      </c>
      <c r="BD4" s="1003" t="s">
        <v>651</v>
      </c>
      <c r="BF4" s="195" t="s">
        <v>369</v>
      </c>
      <c r="BG4" s="195" t="s">
        <v>648</v>
      </c>
      <c r="BH4" s="1"/>
      <c r="BI4" s="1" t="s">
        <v>759</v>
      </c>
      <c r="BJ4" s="1" t="s">
        <v>760</v>
      </c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86">
        <f>SUM(First_date)</f>
        <v>37104</v>
      </c>
      <c r="B5" s="1">
        <f>(Weather_Input!B5+Weather_Input!C5)/2</f>
        <v>82.5</v>
      </c>
      <c r="C5" s="873">
        <v>195000</v>
      </c>
      <c r="D5" s="874">
        <v>0</v>
      </c>
      <c r="E5" s="874">
        <v>0</v>
      </c>
      <c r="F5" s="874">
        <v>0</v>
      </c>
      <c r="G5" s="874">
        <v>0</v>
      </c>
      <c r="H5" s="874">
        <v>0</v>
      </c>
      <c r="I5" s="874">
        <v>0</v>
      </c>
      <c r="J5" s="874">
        <v>0</v>
      </c>
      <c r="K5" s="874">
        <v>0</v>
      </c>
      <c r="L5" s="874">
        <v>0</v>
      </c>
      <c r="M5" s="874">
        <v>0</v>
      </c>
      <c r="N5" s="874">
        <v>0</v>
      </c>
      <c r="O5" s="874">
        <v>0</v>
      </c>
      <c r="P5" s="874">
        <v>0</v>
      </c>
      <c r="Q5" s="874">
        <v>0</v>
      </c>
      <c r="R5" s="874">
        <v>0</v>
      </c>
      <c r="S5" s="879">
        <v>4376</v>
      </c>
      <c r="T5" s="1053">
        <v>0</v>
      </c>
      <c r="U5" s="873">
        <f>SUM(D5:S5)-T5</f>
        <v>4376</v>
      </c>
      <c r="V5" s="873">
        <v>86463</v>
      </c>
      <c r="W5" s="11">
        <v>0</v>
      </c>
      <c r="X5" s="11">
        <v>0</v>
      </c>
      <c r="Y5" s="11">
        <v>0</v>
      </c>
      <c r="Z5" s="11">
        <v>195005</v>
      </c>
      <c r="AA5" s="11">
        <v>149110</v>
      </c>
      <c r="AB5" s="11">
        <v>0</v>
      </c>
      <c r="AC5" s="11">
        <v>0</v>
      </c>
      <c r="AD5" s="11">
        <v>0</v>
      </c>
      <c r="AE5" s="11">
        <v>0</v>
      </c>
      <c r="AF5" s="11">
        <v>27976</v>
      </c>
      <c r="AG5" s="11">
        <v>0</v>
      </c>
      <c r="AH5" s="11">
        <v>0</v>
      </c>
      <c r="AI5" s="11">
        <v>0</v>
      </c>
      <c r="AJ5" s="11">
        <v>0</v>
      </c>
      <c r="AK5" s="11">
        <v>19281</v>
      </c>
      <c r="AL5" s="11">
        <v>6244</v>
      </c>
      <c r="AM5" s="11">
        <v>0</v>
      </c>
      <c r="AN5" s="1">
        <v>1023</v>
      </c>
      <c r="AO5" s="1"/>
      <c r="AP5" s="1">
        <v>0</v>
      </c>
      <c r="AQ5" s="1">
        <v>13782</v>
      </c>
      <c r="AR5" s="1">
        <v>0</v>
      </c>
      <c r="AS5" s="1">
        <v>50607</v>
      </c>
      <c r="AT5" s="1">
        <v>0</v>
      </c>
      <c r="AU5" s="1">
        <v>418</v>
      </c>
      <c r="AV5" s="1">
        <v>91010</v>
      </c>
      <c r="AW5" s="1">
        <v>280</v>
      </c>
      <c r="AX5" s="614">
        <f>AV5*0.015</f>
        <v>1365.1499999999999</v>
      </c>
      <c r="AY5" s="1">
        <v>0</v>
      </c>
      <c r="AZ5" s="1"/>
      <c r="BA5" s="1">
        <v>0</v>
      </c>
      <c r="BB5" s="1">
        <v>13</v>
      </c>
      <c r="BC5" s="1">
        <v>0</v>
      </c>
      <c r="BD5" s="1">
        <v>0</v>
      </c>
      <c r="BE5" s="1"/>
      <c r="BF5" s="1">
        <v>199210</v>
      </c>
      <c r="BG5" s="1">
        <v>86861</v>
      </c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86">
        <f>A5+1</f>
        <v>37105</v>
      </c>
      <c r="B6" s="891">
        <f>(Weather_Input!B6+Weather_Input!C6)/2</f>
        <v>78</v>
      </c>
      <c r="C6" s="873">
        <v>200000</v>
      </c>
      <c r="D6" s="875" t="s">
        <v>9</v>
      </c>
      <c r="E6" s="876"/>
      <c r="F6" s="876"/>
      <c r="G6" s="876"/>
      <c r="H6" s="876"/>
      <c r="I6" s="876" t="s">
        <v>9</v>
      </c>
      <c r="J6" s="876"/>
      <c r="K6" s="876"/>
      <c r="L6" s="876" t="s">
        <v>9</v>
      </c>
      <c r="M6" s="876"/>
      <c r="N6" s="876"/>
      <c r="O6" s="876"/>
      <c r="P6" s="876"/>
      <c r="Q6" s="876"/>
      <c r="R6" s="876"/>
      <c r="S6" s="876"/>
      <c r="T6" s="876"/>
      <c r="U6" s="876"/>
      <c r="V6" s="87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 t="s">
        <v>9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 t="s">
        <v>633</v>
      </c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86">
        <f>A6+1</f>
        <v>37106</v>
      </c>
      <c r="B7" s="891">
        <f>(Weather_Input!B7+Weather_Input!C7)/2</f>
        <v>76.5</v>
      </c>
      <c r="C7" s="873">
        <v>190000</v>
      </c>
      <c r="D7" s="875" t="s">
        <v>9</v>
      </c>
      <c r="E7" s="876"/>
      <c r="F7" s="876"/>
      <c r="G7" s="876"/>
      <c r="H7" s="877" t="s">
        <v>75</v>
      </c>
      <c r="I7" s="876"/>
      <c r="J7" s="876"/>
      <c r="K7" s="876"/>
      <c r="L7" s="876"/>
      <c r="M7" s="876"/>
      <c r="N7" s="876"/>
      <c r="O7" s="876"/>
      <c r="P7" s="876"/>
      <c r="Q7" s="876"/>
      <c r="R7" s="876" t="s">
        <v>500</v>
      </c>
      <c r="S7" s="880">
        <v>0</v>
      </c>
      <c r="T7" s="880"/>
      <c r="U7" s="876"/>
      <c r="V7" s="87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 t="s">
        <v>9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86">
        <f>A7+1</f>
        <v>37107</v>
      </c>
      <c r="B8" s="891">
        <f>(Weather_Input!B8+Weather_Input!C8)/2</f>
        <v>77</v>
      </c>
      <c r="C8" s="873">
        <v>180000</v>
      </c>
      <c r="D8" s="875" t="s">
        <v>9</v>
      </c>
      <c r="E8" s="876" t="s">
        <v>9</v>
      </c>
      <c r="F8" s="876"/>
      <c r="G8" s="876"/>
      <c r="H8" s="878" t="s">
        <v>76</v>
      </c>
      <c r="I8" s="876"/>
      <c r="J8" s="876"/>
      <c r="K8" s="876"/>
      <c r="L8" s="876"/>
      <c r="M8" s="876"/>
      <c r="N8" s="876"/>
      <c r="O8" s="876"/>
      <c r="P8" s="876"/>
      <c r="Q8" s="876"/>
      <c r="R8" s="876" t="s">
        <v>501</v>
      </c>
      <c r="S8" s="880">
        <v>0</v>
      </c>
      <c r="T8" s="880"/>
      <c r="U8" s="876"/>
      <c r="V8" s="87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86">
        <f>A8+1</f>
        <v>37108</v>
      </c>
      <c r="B9" s="891">
        <f>(Weather_Input!B9+Weather_Input!C9)/2</f>
        <v>79.5</v>
      </c>
      <c r="C9" s="873">
        <v>190000</v>
      </c>
      <c r="D9" s="875" t="s">
        <v>9</v>
      </c>
      <c r="E9" s="876"/>
      <c r="F9" s="876"/>
      <c r="G9" s="876"/>
      <c r="H9" s="876" t="s">
        <v>77</v>
      </c>
      <c r="I9" s="876"/>
      <c r="J9" s="876"/>
      <c r="K9" s="876"/>
      <c r="L9" s="876"/>
      <c r="M9" s="876"/>
      <c r="N9" s="876"/>
      <c r="O9" s="876"/>
      <c r="P9" s="876"/>
      <c r="Q9" s="876"/>
      <c r="R9" s="876" t="s">
        <v>502</v>
      </c>
      <c r="S9" s="880">
        <v>0</v>
      </c>
      <c r="T9" s="880"/>
      <c r="U9" s="876"/>
      <c r="V9" s="87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86">
        <f>A9+1</f>
        <v>37109</v>
      </c>
      <c r="B10" s="891">
        <f>(Weather_Input!B10+Weather_Input!C10)/2</f>
        <v>79.5</v>
      </c>
      <c r="C10" s="873">
        <v>190000</v>
      </c>
      <c r="D10" s="875" t="s">
        <v>9</v>
      </c>
      <c r="E10" s="876" t="s">
        <v>9</v>
      </c>
      <c r="F10" s="876"/>
      <c r="G10" s="876"/>
      <c r="H10" s="876" t="s">
        <v>78</v>
      </c>
      <c r="I10" s="876"/>
      <c r="J10" s="876"/>
      <c r="K10" s="876"/>
      <c r="L10" s="876"/>
      <c r="M10" s="876"/>
      <c r="N10" s="876"/>
      <c r="O10" s="876"/>
      <c r="P10" s="876"/>
      <c r="Q10" s="876"/>
      <c r="R10" s="876" t="s">
        <v>505</v>
      </c>
      <c r="S10" s="880">
        <v>0</v>
      </c>
      <c r="T10" s="880"/>
      <c r="U10" s="876"/>
      <c r="V10" s="87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503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504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N13" s="1"/>
      <c r="O13" s="1"/>
      <c r="P13" s="1"/>
      <c r="Q13" s="1"/>
      <c r="R13" s="1" t="s">
        <v>506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N14" s="1"/>
      <c r="O14" s="1"/>
      <c r="P14" s="1"/>
      <c r="Q14" s="1"/>
      <c r="R14" s="1" t="s">
        <v>507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N15" s="1"/>
      <c r="O15" s="1"/>
      <c r="P15" s="1"/>
      <c r="Q15" s="1"/>
      <c r="R15" s="1" t="s">
        <v>508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N16" s="1"/>
      <c r="O16" s="1"/>
      <c r="P16" s="1"/>
      <c r="Q16" s="1"/>
      <c r="R16" s="1"/>
      <c r="S16" s="802" t="s">
        <v>9</v>
      </c>
      <c r="T16" s="80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3:93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3:93">
      <c r="C18" t="s">
        <v>158</v>
      </c>
      <c r="F18" s="47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3:93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9" spans="3:93">
      <c r="S29" s="774"/>
      <c r="T29" s="774"/>
    </row>
    <row r="30" spans="3:93">
      <c r="S30" s="774"/>
      <c r="T30" s="77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631</v>
      </c>
      <c r="L2" t="s">
        <v>631</v>
      </c>
      <c r="M2" t="s">
        <v>631</v>
      </c>
      <c r="N2" t="s">
        <v>631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573</v>
      </c>
      <c r="G3" s="153" t="s">
        <v>80</v>
      </c>
      <c r="H3" s="3" t="s">
        <v>13</v>
      </c>
      <c r="I3" s="153" t="s">
        <v>81</v>
      </c>
      <c r="K3" t="s">
        <v>632</v>
      </c>
      <c r="L3" t="s">
        <v>632</v>
      </c>
      <c r="M3" t="s">
        <v>632</v>
      </c>
      <c r="N3" t="s">
        <v>632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629</v>
      </c>
      <c r="L4" s="1" t="s">
        <v>630</v>
      </c>
      <c r="M4" s="1" t="s">
        <v>629</v>
      </c>
      <c r="N4" s="1" t="s">
        <v>630</v>
      </c>
    </row>
    <row r="5" spans="1:14">
      <c r="A5" s="12">
        <f>Weather_Input!A5</f>
        <v>37104</v>
      </c>
      <c r="B5" s="1">
        <f>(Weather_Input!B5+Weather_Input!C5)/2</f>
        <v>82.5</v>
      </c>
      <c r="C5" s="873">
        <v>31200</v>
      </c>
      <c r="D5" s="873">
        <v>0</v>
      </c>
      <c r="E5" s="873">
        <v>0</v>
      </c>
      <c r="F5" s="873">
        <v>0</v>
      </c>
      <c r="G5" s="873">
        <v>0</v>
      </c>
      <c r="H5" s="881">
        <f>SUM(D5:G5)</f>
        <v>0</v>
      </c>
      <c r="I5" s="1">
        <v>1000</v>
      </c>
      <c r="J5" s="1" t="s">
        <v>9</v>
      </c>
      <c r="K5" s="1">
        <v>0</v>
      </c>
      <c r="L5" s="1">
        <v>4042</v>
      </c>
      <c r="M5" s="1">
        <v>2059</v>
      </c>
      <c r="N5" s="1">
        <v>0</v>
      </c>
    </row>
    <row r="6" spans="1:14">
      <c r="A6" s="12">
        <f>A5+1</f>
        <v>37105</v>
      </c>
      <c r="B6" s="891">
        <f>(Weather_Input!B6+Weather_Input!C6)/2</f>
        <v>78</v>
      </c>
      <c r="C6" s="873">
        <v>33000</v>
      </c>
      <c r="D6" s="876" t="s">
        <v>9</v>
      </c>
      <c r="E6" s="876"/>
      <c r="F6" s="876"/>
      <c r="G6" s="876"/>
      <c r="H6" s="15"/>
      <c r="I6" s="1" t="s">
        <v>9</v>
      </c>
    </row>
    <row r="7" spans="1:14">
      <c r="A7" s="12">
        <f>A6+1</f>
        <v>37106</v>
      </c>
      <c r="B7" s="891">
        <f>(Weather_Input!B7+Weather_Input!C7)/2</f>
        <v>76.5</v>
      </c>
      <c r="C7" s="873">
        <v>32000</v>
      </c>
      <c r="D7" s="876" t="s">
        <v>9</v>
      </c>
      <c r="E7" s="876" t="s">
        <v>9</v>
      </c>
      <c r="F7" s="876"/>
      <c r="G7" s="876"/>
      <c r="H7" s="15"/>
    </row>
    <row r="8" spans="1:14">
      <c r="A8" s="12">
        <f>A7+1</f>
        <v>37107</v>
      </c>
      <c r="B8" s="891">
        <f>(Weather_Input!B8+Weather_Input!C8)/2</f>
        <v>77</v>
      </c>
      <c r="C8" s="873">
        <v>31000</v>
      </c>
      <c r="D8" s="876" t="s">
        <v>9</v>
      </c>
      <c r="E8" s="876"/>
      <c r="F8" s="876"/>
      <c r="G8" s="876"/>
      <c r="H8" s="15"/>
    </row>
    <row r="9" spans="1:14">
      <c r="A9" s="12">
        <f>A8+1</f>
        <v>37108</v>
      </c>
      <c r="B9" s="891">
        <f>(Weather_Input!B9+Weather_Input!C9)/2</f>
        <v>79.5</v>
      </c>
      <c r="C9" s="873">
        <v>32000</v>
      </c>
      <c r="D9" s="876" t="s">
        <v>9</v>
      </c>
      <c r="E9" s="876"/>
      <c r="F9" s="876"/>
      <c r="G9" s="876"/>
      <c r="H9" s="15"/>
    </row>
    <row r="10" spans="1:14">
      <c r="A10" s="12">
        <f>A9+1</f>
        <v>37109</v>
      </c>
      <c r="B10" s="891">
        <f>(Weather_Input!B10+Weather_Input!C10)/2</f>
        <v>79.5</v>
      </c>
      <c r="C10" s="873">
        <v>32000</v>
      </c>
      <c r="D10" s="876" t="s">
        <v>9</v>
      </c>
      <c r="E10" s="876"/>
      <c r="F10" s="876"/>
      <c r="G10" s="876"/>
      <c r="H10" s="15"/>
    </row>
    <row r="11" spans="1:14">
      <c r="A11" s="1" t="s">
        <v>158</v>
      </c>
      <c r="C11" s="1075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074">
        <v>1</v>
      </c>
      <c r="H4" s="3" t="s">
        <v>1</v>
      </c>
      <c r="I4" s="3" t="s">
        <v>672</v>
      </c>
      <c r="J4" s="3" t="s">
        <v>648</v>
      </c>
      <c r="L4" s="3" t="s">
        <v>748</v>
      </c>
      <c r="M4" s="3" t="s">
        <v>767</v>
      </c>
      <c r="N4" s="58"/>
      <c r="O4" s="65"/>
      <c r="P4" s="65"/>
      <c r="T4" s="1204" t="s">
        <v>761</v>
      </c>
      <c r="U4" s="1024"/>
      <c r="V4" s="1169" t="s">
        <v>725</v>
      </c>
      <c r="W4" s="1170"/>
      <c r="X4" s="1171"/>
      <c r="Y4" s="53"/>
      <c r="Z4" s="53"/>
      <c r="AA4" s="53"/>
      <c r="AB4" s="55" t="s">
        <v>89</v>
      </c>
      <c r="AC4" s="53"/>
      <c r="AD4" s="53"/>
      <c r="AE4" s="72"/>
      <c r="AF4" s="3" t="s">
        <v>385</v>
      </c>
    </row>
    <row r="5" spans="1:88" s="1" customFormat="1" ht="13.2">
      <c r="B5" s="66" t="s">
        <v>90</v>
      </c>
      <c r="E5" s="247"/>
      <c r="F5" s="66" t="s">
        <v>9</v>
      </c>
      <c r="G5" s="778" t="s">
        <v>746</v>
      </c>
      <c r="H5" s="107" t="s">
        <v>644</v>
      </c>
      <c r="I5" s="54" t="s">
        <v>664</v>
      </c>
      <c r="J5" s="3" t="s">
        <v>695</v>
      </c>
      <c r="L5" s="3" t="s">
        <v>749</v>
      </c>
      <c r="M5" s="56" t="s">
        <v>768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726</v>
      </c>
      <c r="W5" s="56" t="s">
        <v>729</v>
      </c>
      <c r="X5" s="3" t="s">
        <v>730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385</v>
      </c>
      <c r="E6" s="248" t="s">
        <v>92</v>
      </c>
      <c r="F6" s="54" t="s">
        <v>95</v>
      </c>
      <c r="G6" s="779" t="s">
        <v>747</v>
      </c>
      <c r="H6" s="988" t="s">
        <v>645</v>
      </c>
      <c r="I6" s="54" t="s">
        <v>671</v>
      </c>
      <c r="J6" s="54" t="s">
        <v>694</v>
      </c>
      <c r="K6" s="54" t="s">
        <v>741</v>
      </c>
      <c r="L6" s="54" t="s">
        <v>67</v>
      </c>
      <c r="M6" s="54" t="s">
        <v>766</v>
      </c>
      <c r="N6" s="81" t="s">
        <v>87</v>
      </c>
      <c r="O6" s="54" t="s">
        <v>58</v>
      </c>
      <c r="P6" s="54" t="s">
        <v>97</v>
      </c>
      <c r="Q6" s="54" t="s">
        <v>659</v>
      </c>
      <c r="R6" s="54" t="s">
        <v>99</v>
      </c>
      <c r="S6" s="54" t="s">
        <v>641</v>
      </c>
      <c r="T6" s="54" t="s">
        <v>743</v>
      </c>
      <c r="U6" s="68" t="s">
        <v>762</v>
      </c>
      <c r="V6" s="1172" t="s">
        <v>727</v>
      </c>
      <c r="W6" s="1172" t="s">
        <v>728</v>
      </c>
      <c r="X6" s="54">
        <v>9</v>
      </c>
      <c r="Y6" s="54" t="s">
        <v>66</v>
      </c>
      <c r="Z6" s="54" t="s">
        <v>89</v>
      </c>
      <c r="AA6" s="54" t="s">
        <v>385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385</v>
      </c>
    </row>
    <row r="7" spans="1:88" s="1" customFormat="1" ht="13.2">
      <c r="A7" s="803">
        <f>Weather_Input!A5</f>
        <v>37104</v>
      </c>
      <c r="B7" s="882">
        <v>0</v>
      </c>
      <c r="C7" s="612">
        <v>0</v>
      </c>
      <c r="D7" s="612">
        <v>19900</v>
      </c>
      <c r="E7" s="882">
        <v>0</v>
      </c>
      <c r="F7" s="882">
        <v>30360</v>
      </c>
      <c r="G7" s="884">
        <v>174774</v>
      </c>
      <c r="H7" s="611">
        <v>0</v>
      </c>
      <c r="I7" s="611">
        <v>100</v>
      </c>
      <c r="J7" s="612">
        <v>88900</v>
      </c>
      <c r="K7" s="611">
        <v>0</v>
      </c>
      <c r="L7" s="612">
        <v>0</v>
      </c>
      <c r="M7" s="612">
        <v>0</v>
      </c>
      <c r="N7" s="613">
        <v>0</v>
      </c>
      <c r="O7" s="612">
        <v>140000</v>
      </c>
      <c r="P7" s="614">
        <f t="shared" ref="P7:P12" si="0">O7*0.015</f>
        <v>2100</v>
      </c>
      <c r="Q7" s="612">
        <v>280</v>
      </c>
      <c r="R7" s="612">
        <v>0</v>
      </c>
      <c r="S7" s="612">
        <v>0</v>
      </c>
      <c r="T7" s="611">
        <v>0</v>
      </c>
      <c r="U7" s="611">
        <v>0</v>
      </c>
      <c r="V7" s="612">
        <v>0</v>
      </c>
      <c r="W7" s="612">
        <v>0</v>
      </c>
      <c r="X7" s="612">
        <v>0</v>
      </c>
      <c r="Y7" s="612">
        <v>0</v>
      </c>
      <c r="Z7" s="611">
        <v>0</v>
      </c>
      <c r="AA7" s="611">
        <v>0</v>
      </c>
      <c r="AB7" s="611">
        <v>0</v>
      </c>
      <c r="AC7" s="611">
        <v>0</v>
      </c>
      <c r="AD7" s="611">
        <v>0</v>
      </c>
      <c r="AE7" s="611">
        <v>0</v>
      </c>
      <c r="AF7" s="611">
        <v>0</v>
      </c>
      <c r="AG7" s="611">
        <v>0</v>
      </c>
      <c r="AH7" s="611">
        <v>0</v>
      </c>
      <c r="AI7" s="803">
        <f t="shared" ref="AI7:AI12" si="1">AI6+1</f>
        <v>1</v>
      </c>
    </row>
    <row r="8" spans="1:88" s="1" customFormat="1" ht="13.2">
      <c r="A8" s="803">
        <f>A7+1</f>
        <v>37105</v>
      </c>
      <c r="B8" s="882">
        <v>0</v>
      </c>
      <c r="C8" s="612">
        <v>0</v>
      </c>
      <c r="D8" s="612">
        <v>0</v>
      </c>
      <c r="E8" s="882">
        <v>0</v>
      </c>
      <c r="F8" s="882">
        <v>0</v>
      </c>
      <c r="G8" s="884">
        <v>87100</v>
      </c>
      <c r="H8" s="611">
        <v>0</v>
      </c>
      <c r="I8" s="611">
        <v>0</v>
      </c>
      <c r="J8" s="612">
        <v>95000</v>
      </c>
      <c r="K8" s="611">
        <v>0</v>
      </c>
      <c r="L8" s="612">
        <v>0</v>
      </c>
      <c r="M8" s="612">
        <v>0</v>
      </c>
      <c r="N8" s="613">
        <v>0</v>
      </c>
      <c r="O8" s="612">
        <v>132000</v>
      </c>
      <c r="P8" s="614">
        <f t="shared" si="0"/>
        <v>1980</v>
      </c>
      <c r="Q8" s="612">
        <v>280</v>
      </c>
      <c r="R8" s="612">
        <v>0</v>
      </c>
      <c r="S8" s="612">
        <v>0</v>
      </c>
      <c r="T8" s="611">
        <v>0</v>
      </c>
      <c r="U8" s="611">
        <v>0</v>
      </c>
      <c r="V8" s="612">
        <v>0</v>
      </c>
      <c r="W8" s="612">
        <v>0</v>
      </c>
      <c r="X8" s="612">
        <v>0</v>
      </c>
      <c r="Y8" s="612">
        <v>0</v>
      </c>
      <c r="Z8" s="611">
        <v>0</v>
      </c>
      <c r="AA8" s="611">
        <v>0</v>
      </c>
      <c r="AB8" s="611">
        <v>0</v>
      </c>
      <c r="AC8" s="611">
        <v>0</v>
      </c>
      <c r="AD8" s="611">
        <v>0</v>
      </c>
      <c r="AE8" s="611">
        <v>0</v>
      </c>
      <c r="AF8" s="611">
        <v>0</v>
      </c>
      <c r="AG8" s="611">
        <v>0</v>
      </c>
      <c r="AH8" s="611">
        <v>0</v>
      </c>
      <c r="AI8" s="803">
        <f t="shared" si="1"/>
        <v>2</v>
      </c>
      <c r="AJ8" s="611"/>
      <c r="AK8" s="611"/>
      <c r="AL8" s="611"/>
      <c r="AN8" s="611"/>
      <c r="AO8" s="611"/>
      <c r="AP8" s="611"/>
      <c r="AQ8" s="611"/>
      <c r="AR8" s="611"/>
      <c r="AS8" s="611"/>
      <c r="AT8" s="611"/>
      <c r="AU8" s="611"/>
      <c r="AV8" s="611"/>
      <c r="AW8" s="611"/>
      <c r="AX8" s="611"/>
      <c r="AY8" s="611"/>
      <c r="AZ8" s="611"/>
      <c r="BA8" s="611"/>
      <c r="BB8" s="611"/>
    </row>
    <row r="9" spans="1:88" s="1" customFormat="1" ht="13.2">
      <c r="A9" s="803">
        <f>A8+1</f>
        <v>37106</v>
      </c>
      <c r="B9" s="882">
        <v>0</v>
      </c>
      <c r="C9" s="612">
        <v>0</v>
      </c>
      <c r="D9" s="612">
        <v>0</v>
      </c>
      <c r="E9" s="882">
        <v>0</v>
      </c>
      <c r="F9" s="882">
        <v>0</v>
      </c>
      <c r="G9" s="884">
        <v>0</v>
      </c>
      <c r="H9" s="611">
        <v>0</v>
      </c>
      <c r="I9" s="611">
        <v>0</v>
      </c>
      <c r="J9" s="612">
        <v>0</v>
      </c>
      <c r="K9" s="611">
        <v>0</v>
      </c>
      <c r="L9" s="612">
        <v>0</v>
      </c>
      <c r="M9" s="612">
        <v>0</v>
      </c>
      <c r="N9" s="613">
        <v>0</v>
      </c>
      <c r="O9" s="612">
        <v>132000</v>
      </c>
      <c r="P9" s="614">
        <f t="shared" si="0"/>
        <v>1980</v>
      </c>
      <c r="Q9" s="612">
        <v>280</v>
      </c>
      <c r="R9" s="612">
        <v>0</v>
      </c>
      <c r="S9" s="612">
        <v>0</v>
      </c>
      <c r="T9" s="611">
        <v>0</v>
      </c>
      <c r="U9" s="611">
        <v>0</v>
      </c>
      <c r="V9" s="612">
        <v>0</v>
      </c>
      <c r="W9" s="612">
        <v>0</v>
      </c>
      <c r="X9" s="612">
        <v>0</v>
      </c>
      <c r="Y9" s="612">
        <v>0</v>
      </c>
      <c r="Z9" s="611">
        <v>0</v>
      </c>
      <c r="AA9" s="611">
        <v>0</v>
      </c>
      <c r="AB9" s="611">
        <v>0</v>
      </c>
      <c r="AC9" s="611">
        <v>0</v>
      </c>
      <c r="AD9" s="611">
        <v>0</v>
      </c>
      <c r="AE9" s="611">
        <v>0</v>
      </c>
      <c r="AF9" s="611">
        <v>0</v>
      </c>
      <c r="AG9" s="611">
        <v>0</v>
      </c>
      <c r="AH9" s="611">
        <v>0</v>
      </c>
      <c r="AI9" s="803">
        <f t="shared" si="1"/>
        <v>3</v>
      </c>
      <c r="AM9" s="611"/>
    </row>
    <row r="10" spans="1:88" s="1" customFormat="1" ht="13.2">
      <c r="A10" s="803">
        <f>A9+1</f>
        <v>37107</v>
      </c>
      <c r="B10" s="882">
        <v>0</v>
      </c>
      <c r="C10" s="612">
        <v>0</v>
      </c>
      <c r="D10" s="612">
        <v>0</v>
      </c>
      <c r="E10" s="882">
        <v>0</v>
      </c>
      <c r="F10" s="882">
        <v>0</v>
      </c>
      <c r="G10" s="884">
        <v>0</v>
      </c>
      <c r="H10" s="611">
        <v>0</v>
      </c>
      <c r="I10" s="611">
        <v>0</v>
      </c>
      <c r="J10" s="612">
        <v>0</v>
      </c>
      <c r="K10" s="611">
        <v>0</v>
      </c>
      <c r="L10" s="612">
        <v>0</v>
      </c>
      <c r="M10" s="612">
        <v>0</v>
      </c>
      <c r="N10" s="613">
        <v>0</v>
      </c>
      <c r="O10" s="612">
        <v>132000</v>
      </c>
      <c r="P10" s="614">
        <f t="shared" si="0"/>
        <v>1980</v>
      </c>
      <c r="Q10" s="612">
        <v>280</v>
      </c>
      <c r="R10" s="612">
        <v>0</v>
      </c>
      <c r="S10" s="612">
        <v>0</v>
      </c>
      <c r="T10" s="611">
        <v>0</v>
      </c>
      <c r="U10" s="611">
        <v>0</v>
      </c>
      <c r="V10" s="612">
        <v>0</v>
      </c>
      <c r="W10" s="612">
        <v>0</v>
      </c>
      <c r="X10" s="612">
        <v>0</v>
      </c>
      <c r="Y10" s="612">
        <v>0</v>
      </c>
      <c r="Z10" s="611">
        <v>0</v>
      </c>
      <c r="AA10" s="611">
        <v>0</v>
      </c>
      <c r="AB10" s="611">
        <v>0</v>
      </c>
      <c r="AC10" s="611">
        <v>0</v>
      </c>
      <c r="AD10" s="611">
        <v>0</v>
      </c>
      <c r="AE10" s="611">
        <v>0</v>
      </c>
      <c r="AF10" s="611">
        <v>0</v>
      </c>
      <c r="AG10" s="611">
        <v>0</v>
      </c>
      <c r="AH10" s="611">
        <v>0</v>
      </c>
      <c r="AI10" s="803">
        <f t="shared" si="1"/>
        <v>4</v>
      </c>
    </row>
    <row r="11" spans="1:88" s="1" customFormat="1" ht="13.2">
      <c r="A11" s="803">
        <f>A10+1</f>
        <v>37108</v>
      </c>
      <c r="B11" s="882">
        <v>0</v>
      </c>
      <c r="C11" s="612">
        <v>0</v>
      </c>
      <c r="D11" s="612">
        <v>0</v>
      </c>
      <c r="E11" s="882">
        <v>0</v>
      </c>
      <c r="F11" s="882">
        <v>0</v>
      </c>
      <c r="G11" s="884">
        <v>0</v>
      </c>
      <c r="H11" s="611">
        <v>0</v>
      </c>
      <c r="I11" s="611">
        <v>0</v>
      </c>
      <c r="J11" s="612">
        <v>0</v>
      </c>
      <c r="K11" s="611">
        <v>0</v>
      </c>
      <c r="L11" s="612">
        <v>0</v>
      </c>
      <c r="M11" s="612">
        <v>0</v>
      </c>
      <c r="N11" s="613">
        <v>0</v>
      </c>
      <c r="O11" s="612">
        <v>132000</v>
      </c>
      <c r="P11" s="614">
        <f t="shared" si="0"/>
        <v>1980</v>
      </c>
      <c r="Q11" s="612">
        <v>280</v>
      </c>
      <c r="R11" s="612">
        <v>0</v>
      </c>
      <c r="S11" s="612">
        <v>0</v>
      </c>
      <c r="T11" s="611">
        <v>0</v>
      </c>
      <c r="U11" s="611">
        <v>0</v>
      </c>
      <c r="V11" s="612">
        <v>0</v>
      </c>
      <c r="W11" s="612">
        <v>0</v>
      </c>
      <c r="X11" s="612">
        <v>0</v>
      </c>
      <c r="Y11" s="612">
        <v>0</v>
      </c>
      <c r="Z11" s="611">
        <v>0</v>
      </c>
      <c r="AA11" s="611">
        <v>0</v>
      </c>
      <c r="AB11" s="611">
        <v>0</v>
      </c>
      <c r="AC11" s="611">
        <v>0</v>
      </c>
      <c r="AD11" s="611">
        <v>0</v>
      </c>
      <c r="AE11" s="611">
        <v>0</v>
      </c>
      <c r="AF11" s="611">
        <v>0</v>
      </c>
      <c r="AG11" s="611">
        <v>0</v>
      </c>
      <c r="AH11" s="611">
        <v>0</v>
      </c>
      <c r="AI11" s="803">
        <f t="shared" si="1"/>
        <v>5</v>
      </c>
    </row>
    <row r="12" spans="1:88" s="1" customFormat="1" ht="13.2">
      <c r="A12" s="803">
        <f>A11+1</f>
        <v>37109</v>
      </c>
      <c r="B12" s="882">
        <v>0</v>
      </c>
      <c r="C12" s="612">
        <v>0</v>
      </c>
      <c r="D12" s="612">
        <v>0</v>
      </c>
      <c r="E12" s="882">
        <v>0</v>
      </c>
      <c r="F12" s="882">
        <v>0</v>
      </c>
      <c r="G12" s="884">
        <v>0</v>
      </c>
      <c r="H12" s="611">
        <v>0</v>
      </c>
      <c r="I12" s="611">
        <v>0</v>
      </c>
      <c r="J12" s="612">
        <v>0</v>
      </c>
      <c r="K12" s="611">
        <v>0</v>
      </c>
      <c r="L12" s="612">
        <v>0</v>
      </c>
      <c r="M12" s="612">
        <v>0</v>
      </c>
      <c r="N12" s="613">
        <v>0</v>
      </c>
      <c r="O12" s="612">
        <v>132000</v>
      </c>
      <c r="P12" s="614">
        <f t="shared" si="0"/>
        <v>1980</v>
      </c>
      <c r="Q12" s="612">
        <v>280</v>
      </c>
      <c r="R12" s="612">
        <v>0</v>
      </c>
      <c r="S12" s="612">
        <v>0</v>
      </c>
      <c r="T12" s="611">
        <v>0</v>
      </c>
      <c r="U12" s="611">
        <v>0</v>
      </c>
      <c r="V12" s="612">
        <v>0</v>
      </c>
      <c r="W12" s="612">
        <v>0</v>
      </c>
      <c r="X12" s="612">
        <v>0</v>
      </c>
      <c r="Y12" s="612">
        <v>0</v>
      </c>
      <c r="Z12" s="611">
        <v>0</v>
      </c>
      <c r="AA12" s="611">
        <v>0</v>
      </c>
      <c r="AB12" s="611">
        <v>0</v>
      </c>
      <c r="AC12" s="611">
        <v>0</v>
      </c>
      <c r="AD12" s="611">
        <v>0</v>
      </c>
      <c r="AE12" s="611">
        <v>0</v>
      </c>
      <c r="AF12" s="611">
        <v>0</v>
      </c>
      <c r="AG12" s="611">
        <v>0</v>
      </c>
      <c r="AH12" s="611">
        <v>0</v>
      </c>
      <c r="AI12" s="803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1"/>
      <c r="L13" s="1"/>
      <c r="M13" s="612" t="s">
        <v>9</v>
      </c>
      <c r="N13" s="1"/>
      <c r="O13" s="1"/>
      <c r="P13" s="1"/>
      <c r="Q13" s="1"/>
      <c r="R13" s="1"/>
      <c r="S13" s="1"/>
      <c r="T13" s="611" t="s">
        <v>9</v>
      </c>
      <c r="U13" s="611"/>
      <c r="V13" s="1"/>
      <c r="W13" s="1"/>
      <c r="X13" s="1"/>
      <c r="Y13" s="1" t="s">
        <v>9</v>
      </c>
      <c r="Z13" s="1"/>
      <c r="AA13" s="61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624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1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12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1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12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67"/>
      <c r="U3" s="438"/>
      <c r="V3" s="438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767</v>
      </c>
      <c r="Q4" s="1204" t="s">
        <v>745</v>
      </c>
      <c r="R4" s="1024"/>
      <c r="S4" s="778" t="s">
        <v>572</v>
      </c>
      <c r="U4" s="3" t="s">
        <v>680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765</v>
      </c>
      <c r="N5" s="3" t="s">
        <v>9</v>
      </c>
      <c r="O5" s="3" t="s">
        <v>9</v>
      </c>
      <c r="P5" s="3" t="s">
        <v>6</v>
      </c>
      <c r="Q5" s="107" t="s">
        <v>743</v>
      </c>
      <c r="R5" s="1205" t="s">
        <v>744</v>
      </c>
      <c r="S5" s="778" t="s">
        <v>369</v>
      </c>
      <c r="T5" s="107" t="s">
        <v>644</v>
      </c>
      <c r="U5" s="3" t="s">
        <v>678</v>
      </c>
      <c r="V5" s="3"/>
      <c r="W5" s="59" t="s">
        <v>664</v>
      </c>
      <c r="X5" s="63"/>
      <c r="Y5" s="3"/>
      <c r="Z5" s="3"/>
      <c r="AA5" s="3"/>
      <c r="AD5" s="66" t="s">
        <v>461</v>
      </c>
    </row>
    <row r="6" spans="1:36">
      <c r="B6" s="54" t="s">
        <v>105</v>
      </c>
      <c r="C6" s="54" t="s">
        <v>89</v>
      </c>
      <c r="D6" s="54" t="s">
        <v>385</v>
      </c>
      <c r="E6" s="54" t="s">
        <v>369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625</v>
      </c>
      <c r="L6" s="57" t="s">
        <v>58</v>
      </c>
      <c r="M6" s="54" t="s">
        <v>766</v>
      </c>
      <c r="N6" s="54" t="s">
        <v>9</v>
      </c>
      <c r="O6" s="54" t="s">
        <v>9</v>
      </c>
      <c r="P6" s="1031" t="s">
        <v>5</v>
      </c>
      <c r="Q6" s="989" t="s">
        <v>87</v>
      </c>
      <c r="R6" s="989" t="s">
        <v>87</v>
      </c>
      <c r="S6" s="779" t="s">
        <v>696</v>
      </c>
      <c r="T6" s="989" t="s">
        <v>645</v>
      </c>
      <c r="U6" s="54" t="s">
        <v>679</v>
      </c>
      <c r="V6" s="54" t="s">
        <v>9</v>
      </c>
      <c r="W6" s="1023" t="s">
        <v>668</v>
      </c>
      <c r="X6" s="68" t="s">
        <v>664</v>
      </c>
      <c r="Y6" s="54" t="s">
        <v>66</v>
      </c>
      <c r="Z6" s="54" t="s">
        <v>89</v>
      </c>
      <c r="AA6" s="54" t="s">
        <v>385</v>
      </c>
      <c r="AB6" s="54" t="s">
        <v>36</v>
      </c>
      <c r="AC6" s="54" t="s">
        <v>92</v>
      </c>
      <c r="AD6" s="68" t="s">
        <v>460</v>
      </c>
    </row>
    <row r="7" spans="1:36">
      <c r="A7" s="803">
        <f>Weather_Input!A5</f>
        <v>37104</v>
      </c>
      <c r="B7" s="614">
        <v>0</v>
      </c>
      <c r="C7" s="614">
        <v>0</v>
      </c>
      <c r="D7" s="614">
        <v>0</v>
      </c>
      <c r="E7" s="614">
        <v>0</v>
      </c>
      <c r="F7" s="882">
        <v>4600</v>
      </c>
      <c r="G7" s="612">
        <v>1000</v>
      </c>
      <c r="H7" s="612">
        <v>20000</v>
      </c>
      <c r="I7" s="612">
        <v>0</v>
      </c>
      <c r="J7" s="885">
        <v>0</v>
      </c>
      <c r="K7" s="613">
        <v>33900</v>
      </c>
      <c r="L7" s="886">
        <v>0</v>
      </c>
      <c r="M7" s="612">
        <v>0</v>
      </c>
      <c r="N7" s="612">
        <v>0</v>
      </c>
      <c r="O7" s="612">
        <v>0</v>
      </c>
      <c r="P7" s="612">
        <v>0</v>
      </c>
      <c r="Q7" s="612">
        <v>700</v>
      </c>
      <c r="R7" s="885">
        <v>0</v>
      </c>
      <c r="S7" s="1207">
        <v>80000</v>
      </c>
      <c r="T7" s="612">
        <v>0</v>
      </c>
      <c r="U7" s="613">
        <v>128713</v>
      </c>
      <c r="V7" s="613">
        <v>0</v>
      </c>
      <c r="W7" s="611">
        <v>0</v>
      </c>
      <c r="X7" s="885">
        <v>101842</v>
      </c>
      <c r="Y7" s="613">
        <v>10418</v>
      </c>
      <c r="Z7" s="1">
        <v>0</v>
      </c>
      <c r="AA7" s="611">
        <v>246464</v>
      </c>
      <c r="AB7" s="611">
        <v>47605</v>
      </c>
      <c r="AC7" s="611">
        <v>37499</v>
      </c>
      <c r="AD7" s="885">
        <v>0</v>
      </c>
      <c r="AE7" s="803">
        <f t="shared" ref="AE7:AE12" si="0">AE6+1</f>
        <v>1</v>
      </c>
      <c r="AH7" s="611"/>
      <c r="AI7" s="611"/>
      <c r="AJ7" s="611"/>
    </row>
    <row r="8" spans="1:36">
      <c r="A8" s="803">
        <f>A7+1</f>
        <v>37105</v>
      </c>
      <c r="B8" s="614">
        <v>0</v>
      </c>
      <c r="C8" s="614">
        <v>0</v>
      </c>
      <c r="D8" s="614">
        <v>0</v>
      </c>
      <c r="E8" s="614">
        <v>0</v>
      </c>
      <c r="F8" s="882">
        <v>0</v>
      </c>
      <c r="G8" s="612">
        <v>1000</v>
      </c>
      <c r="H8" s="612">
        <v>20000</v>
      </c>
      <c r="I8" s="612">
        <v>0</v>
      </c>
      <c r="J8" s="885">
        <v>0</v>
      </c>
      <c r="K8" s="613">
        <v>0</v>
      </c>
      <c r="L8" s="886">
        <v>0</v>
      </c>
      <c r="M8" s="612">
        <v>0</v>
      </c>
      <c r="N8" s="612">
        <v>0</v>
      </c>
      <c r="O8" s="612">
        <v>0</v>
      </c>
      <c r="P8" s="612">
        <v>0</v>
      </c>
      <c r="Q8" s="612">
        <v>0</v>
      </c>
      <c r="R8" s="885">
        <v>0</v>
      </c>
      <c r="S8" s="1207">
        <v>75000</v>
      </c>
      <c r="T8" s="612">
        <v>0</v>
      </c>
      <c r="U8" s="613">
        <v>128713</v>
      </c>
      <c r="V8" s="613">
        <v>0</v>
      </c>
      <c r="W8" s="611">
        <v>0</v>
      </c>
      <c r="X8" s="885">
        <v>97826</v>
      </c>
      <c r="Y8" s="613">
        <v>10418</v>
      </c>
      <c r="Z8" s="1">
        <v>0</v>
      </c>
      <c r="AA8" s="611">
        <v>258906</v>
      </c>
      <c r="AB8" s="611">
        <v>56157</v>
      </c>
      <c r="AC8" s="611">
        <v>27499</v>
      </c>
      <c r="AD8" s="885">
        <v>0</v>
      </c>
      <c r="AE8" s="803">
        <f t="shared" si="0"/>
        <v>2</v>
      </c>
      <c r="AH8" s="611"/>
      <c r="AI8" s="611"/>
      <c r="AJ8" s="611"/>
    </row>
    <row r="9" spans="1:36" s="611" customFormat="1">
      <c r="A9" s="803">
        <f>A8+1</f>
        <v>37106</v>
      </c>
      <c r="B9" s="614">
        <v>0</v>
      </c>
      <c r="C9" s="614">
        <v>0</v>
      </c>
      <c r="D9" s="614">
        <v>0</v>
      </c>
      <c r="E9" s="614">
        <v>0</v>
      </c>
      <c r="F9" s="882">
        <v>0</v>
      </c>
      <c r="G9" s="612">
        <v>1000</v>
      </c>
      <c r="H9" s="612">
        <v>20000</v>
      </c>
      <c r="I9" s="612">
        <v>0</v>
      </c>
      <c r="J9" s="885">
        <v>0</v>
      </c>
      <c r="K9" s="613">
        <v>0</v>
      </c>
      <c r="L9" s="886">
        <v>0</v>
      </c>
      <c r="M9" s="612">
        <v>0</v>
      </c>
      <c r="N9" s="612">
        <v>0</v>
      </c>
      <c r="O9" s="612">
        <v>0</v>
      </c>
      <c r="P9" s="612">
        <v>0</v>
      </c>
      <c r="Q9" s="612">
        <v>0</v>
      </c>
      <c r="R9" s="885">
        <v>0</v>
      </c>
      <c r="S9" s="1207">
        <v>0</v>
      </c>
      <c r="T9" s="612">
        <v>0</v>
      </c>
      <c r="U9" s="613">
        <v>128713</v>
      </c>
      <c r="V9" s="613">
        <v>0</v>
      </c>
      <c r="W9" s="611">
        <v>0</v>
      </c>
      <c r="X9" s="885">
        <v>97826</v>
      </c>
      <c r="Y9" s="613">
        <v>10418</v>
      </c>
      <c r="Z9" s="1">
        <v>0</v>
      </c>
      <c r="AA9" s="611">
        <v>258906</v>
      </c>
      <c r="AB9" s="611">
        <v>56157</v>
      </c>
      <c r="AC9" s="611">
        <v>27499</v>
      </c>
      <c r="AD9" s="885">
        <v>0</v>
      </c>
      <c r="AE9" s="803">
        <f t="shared" si="0"/>
        <v>3</v>
      </c>
    </row>
    <row r="10" spans="1:36">
      <c r="A10" s="803">
        <f>A9+1</f>
        <v>37107</v>
      </c>
      <c r="B10" s="614">
        <v>0</v>
      </c>
      <c r="C10" s="614">
        <v>0</v>
      </c>
      <c r="D10" s="614">
        <v>0</v>
      </c>
      <c r="E10" s="614">
        <v>0</v>
      </c>
      <c r="F10" s="882">
        <v>0</v>
      </c>
      <c r="G10" s="612">
        <v>1000</v>
      </c>
      <c r="H10" s="612">
        <v>20000</v>
      </c>
      <c r="I10" s="612">
        <v>0</v>
      </c>
      <c r="J10" s="885">
        <v>0</v>
      </c>
      <c r="K10" s="613">
        <v>0</v>
      </c>
      <c r="L10" s="886">
        <v>0</v>
      </c>
      <c r="M10" s="612">
        <v>0</v>
      </c>
      <c r="N10" s="612">
        <v>0</v>
      </c>
      <c r="O10" s="612">
        <v>0</v>
      </c>
      <c r="P10" s="612">
        <v>0</v>
      </c>
      <c r="Q10" s="612">
        <v>0</v>
      </c>
      <c r="R10" s="885">
        <v>0</v>
      </c>
      <c r="S10" s="1207">
        <v>0</v>
      </c>
      <c r="T10" s="612">
        <v>0</v>
      </c>
      <c r="U10" s="613">
        <v>128713</v>
      </c>
      <c r="V10" s="613">
        <v>0</v>
      </c>
      <c r="W10" s="611">
        <v>0</v>
      </c>
      <c r="X10" s="885">
        <v>97826</v>
      </c>
      <c r="Y10" s="613">
        <v>10418</v>
      </c>
      <c r="Z10" s="1">
        <v>0</v>
      </c>
      <c r="AA10" s="611">
        <v>258906</v>
      </c>
      <c r="AB10" s="611">
        <v>56157</v>
      </c>
      <c r="AC10" s="611">
        <v>27499</v>
      </c>
      <c r="AD10" s="885">
        <v>0</v>
      </c>
      <c r="AE10" s="803">
        <f t="shared" si="0"/>
        <v>4</v>
      </c>
      <c r="AH10" s="611"/>
      <c r="AI10" s="611"/>
      <c r="AJ10" s="611"/>
    </row>
    <row r="11" spans="1:36">
      <c r="A11" s="803">
        <f>A10+1</f>
        <v>37108</v>
      </c>
      <c r="B11" s="614">
        <v>0</v>
      </c>
      <c r="C11" s="614">
        <v>0</v>
      </c>
      <c r="D11" s="614">
        <v>0</v>
      </c>
      <c r="E11" s="614">
        <v>0</v>
      </c>
      <c r="F11" s="882">
        <v>0</v>
      </c>
      <c r="G11" s="612">
        <v>1000</v>
      </c>
      <c r="H11" s="612">
        <v>20000</v>
      </c>
      <c r="I11" s="612">
        <v>0</v>
      </c>
      <c r="J11" s="885">
        <v>0</v>
      </c>
      <c r="K11" s="613">
        <v>0</v>
      </c>
      <c r="L11" s="886">
        <v>0</v>
      </c>
      <c r="M11" s="612">
        <v>0</v>
      </c>
      <c r="N11" s="612">
        <v>0</v>
      </c>
      <c r="O11" s="612">
        <v>0</v>
      </c>
      <c r="P11" s="612">
        <v>0</v>
      </c>
      <c r="Q11" s="612">
        <v>0</v>
      </c>
      <c r="R11" s="885">
        <v>0</v>
      </c>
      <c r="S11" s="1207">
        <v>0</v>
      </c>
      <c r="T11" s="612">
        <v>0</v>
      </c>
      <c r="U11" s="613">
        <v>128713</v>
      </c>
      <c r="V11" s="613">
        <v>0</v>
      </c>
      <c r="W11" s="611">
        <v>0</v>
      </c>
      <c r="X11" s="885">
        <v>97826</v>
      </c>
      <c r="Y11" s="613">
        <v>10418</v>
      </c>
      <c r="Z11" s="1">
        <v>0</v>
      </c>
      <c r="AA11" s="611">
        <v>258906</v>
      </c>
      <c r="AB11" s="611">
        <v>56157</v>
      </c>
      <c r="AC11" s="611">
        <v>27499</v>
      </c>
      <c r="AD11" s="885">
        <v>0</v>
      </c>
      <c r="AE11" s="803">
        <f t="shared" si="0"/>
        <v>5</v>
      </c>
    </row>
    <row r="12" spans="1:36">
      <c r="A12" s="803">
        <f>A11+1</f>
        <v>37109</v>
      </c>
      <c r="B12" s="614">
        <v>0</v>
      </c>
      <c r="C12" s="614">
        <v>0</v>
      </c>
      <c r="D12" s="614">
        <v>0</v>
      </c>
      <c r="E12" s="614">
        <v>0</v>
      </c>
      <c r="F12" s="882">
        <v>0</v>
      </c>
      <c r="G12" s="612">
        <v>1000</v>
      </c>
      <c r="H12" s="612">
        <v>20000</v>
      </c>
      <c r="I12" s="612">
        <v>0</v>
      </c>
      <c r="J12" s="885">
        <v>0</v>
      </c>
      <c r="K12" s="613">
        <v>0</v>
      </c>
      <c r="L12" s="886">
        <v>0</v>
      </c>
      <c r="M12" s="612">
        <v>0</v>
      </c>
      <c r="N12" s="612">
        <v>0</v>
      </c>
      <c r="O12" s="612">
        <v>0</v>
      </c>
      <c r="P12" s="612">
        <v>0</v>
      </c>
      <c r="Q12" s="612">
        <v>0</v>
      </c>
      <c r="R12" s="885">
        <v>0</v>
      </c>
      <c r="S12" s="1207">
        <v>0</v>
      </c>
      <c r="T12" s="612">
        <v>0</v>
      </c>
      <c r="U12" s="613">
        <v>128713</v>
      </c>
      <c r="V12" s="613">
        <v>0</v>
      </c>
      <c r="W12" s="611">
        <v>0</v>
      </c>
      <c r="X12" s="885">
        <v>97826</v>
      </c>
      <c r="Y12" s="613">
        <v>10418</v>
      </c>
      <c r="Z12" s="1">
        <v>0</v>
      </c>
      <c r="AA12" s="611">
        <v>258906</v>
      </c>
      <c r="AB12" s="611">
        <v>56157</v>
      </c>
      <c r="AC12" s="611">
        <v>27499</v>
      </c>
      <c r="AD12" s="885">
        <v>0</v>
      </c>
      <c r="AE12" s="803">
        <f t="shared" si="0"/>
        <v>6</v>
      </c>
    </row>
    <row r="13" spans="1:36">
      <c r="F13" s="1" t="s">
        <v>9</v>
      </c>
      <c r="H13" s="11"/>
      <c r="O13" s="1" t="s">
        <v>9</v>
      </c>
      <c r="S13" s="1206"/>
      <c r="T13" s="1" t="s">
        <v>9</v>
      </c>
      <c r="U13" s="11" t="s">
        <v>9</v>
      </c>
      <c r="V13" s="613" t="s">
        <v>9</v>
      </c>
      <c r="W13" s="611"/>
      <c r="Y13" s="60"/>
      <c r="AA13" s="611"/>
      <c r="AC13" s="611"/>
    </row>
    <row r="14" spans="1:36">
      <c r="A14" s="1" t="s">
        <v>9</v>
      </c>
      <c r="H14" s="11"/>
      <c r="W14" s="11"/>
      <c r="Y14" s="1" t="s">
        <v>9</v>
      </c>
      <c r="AA14" s="611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1"/>
    </row>
    <row r="20" spans="15:32">
      <c r="Y20" s="69" t="s">
        <v>9</v>
      </c>
      <c r="AF20" s="611"/>
    </row>
    <row r="21" spans="15:32">
      <c r="AF21" s="611"/>
    </row>
    <row r="22" spans="15:32">
      <c r="AF22" s="611"/>
    </row>
    <row r="23" spans="15:32">
      <c r="AF23" s="611"/>
    </row>
    <row r="25" spans="15:32">
      <c r="AA25" s="611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487</v>
      </c>
      <c r="AE5" s="53" t="s">
        <v>9</v>
      </c>
    </row>
    <row r="6" spans="1:128" s="1" customFormat="1" ht="13.2">
      <c r="A6" s="67"/>
      <c r="B6" s="68" t="s">
        <v>369</v>
      </c>
      <c r="C6" s="54" t="s">
        <v>36</v>
      </c>
      <c r="D6" s="54" t="s">
        <v>66</v>
      </c>
      <c r="E6" s="54" t="s">
        <v>89</v>
      </c>
      <c r="F6" s="54" t="s">
        <v>385</v>
      </c>
      <c r="G6" s="57" t="s">
        <v>117</v>
      </c>
      <c r="H6" s="54" t="s">
        <v>625</v>
      </c>
      <c r="I6" s="54" t="s">
        <v>96</v>
      </c>
      <c r="J6" s="54" t="s">
        <v>87</v>
      </c>
      <c r="K6" s="54" t="s">
        <v>509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486</v>
      </c>
    </row>
    <row r="7" spans="1:128" s="1" customFormat="1" ht="13.2">
      <c r="A7" s="804">
        <f>Weather_Input!A5</f>
        <v>37104</v>
      </c>
      <c r="B7" s="882">
        <v>0</v>
      </c>
      <c r="C7" s="612">
        <v>0</v>
      </c>
      <c r="D7" s="612">
        <v>0</v>
      </c>
      <c r="E7" s="612">
        <v>0</v>
      </c>
      <c r="F7" s="612">
        <v>0</v>
      </c>
      <c r="G7" s="886">
        <v>0</v>
      </c>
      <c r="H7" s="612">
        <v>0</v>
      </c>
      <c r="I7" s="883">
        <v>7197</v>
      </c>
      <c r="J7" s="883">
        <v>12000</v>
      </c>
      <c r="K7" s="615">
        <v>0</v>
      </c>
      <c r="L7" s="887">
        <v>0</v>
      </c>
      <c r="M7" s="887">
        <v>0</v>
      </c>
      <c r="N7" s="887">
        <v>0</v>
      </c>
      <c r="O7" s="887">
        <v>0</v>
      </c>
      <c r="P7" s="612">
        <v>0</v>
      </c>
      <c r="Q7" s="887">
        <v>0</v>
      </c>
      <c r="R7" s="612">
        <v>0</v>
      </c>
      <c r="S7" s="805">
        <v>0</v>
      </c>
      <c r="T7" s="612">
        <v>0</v>
      </c>
      <c r="U7" s="612">
        <v>0</v>
      </c>
      <c r="V7" s="805">
        <v>0</v>
      </c>
      <c r="W7" s="612">
        <v>0</v>
      </c>
      <c r="X7" s="612">
        <v>0</v>
      </c>
      <c r="Y7" s="805">
        <v>0</v>
      </c>
      <c r="Z7" s="612">
        <v>0</v>
      </c>
      <c r="AA7" s="612">
        <v>0</v>
      </c>
      <c r="AB7" s="886">
        <v>0</v>
      </c>
      <c r="AC7" s="612">
        <v>0</v>
      </c>
      <c r="AD7" s="612">
        <v>0</v>
      </c>
      <c r="AE7" s="612">
        <v>0</v>
      </c>
      <c r="AF7" s="803">
        <f>Weather_Input!A5</f>
        <v>37104</v>
      </c>
      <c r="AG7" s="611"/>
      <c r="AH7" s="611"/>
      <c r="AI7" s="611"/>
      <c r="AJ7" s="611"/>
      <c r="AK7" s="611"/>
    </row>
    <row r="8" spans="1:128" s="1" customFormat="1" ht="13.2">
      <c r="A8" s="804">
        <f>Weather_Input!A6</f>
        <v>37105</v>
      </c>
      <c r="B8" s="882">
        <v>0</v>
      </c>
      <c r="C8" s="612">
        <v>0</v>
      </c>
      <c r="D8" s="612">
        <v>0</v>
      </c>
      <c r="E8" s="612">
        <v>0</v>
      </c>
      <c r="F8" s="612">
        <v>0</v>
      </c>
      <c r="G8" s="886">
        <v>0</v>
      </c>
      <c r="H8" s="612">
        <v>0</v>
      </c>
      <c r="I8" s="883">
        <v>7197</v>
      </c>
      <c r="J8" s="883">
        <v>0</v>
      </c>
      <c r="K8" s="615">
        <v>0</v>
      </c>
      <c r="L8" s="887">
        <v>0</v>
      </c>
      <c r="M8" s="887">
        <v>0</v>
      </c>
      <c r="N8" s="887">
        <v>0</v>
      </c>
      <c r="O8" s="887">
        <v>0</v>
      </c>
      <c r="P8" s="612">
        <v>0</v>
      </c>
      <c r="Q8" s="887">
        <v>0</v>
      </c>
      <c r="R8" s="612">
        <v>0</v>
      </c>
      <c r="S8" s="805">
        <v>0</v>
      </c>
      <c r="T8" s="612">
        <v>0</v>
      </c>
      <c r="U8" s="612">
        <v>0</v>
      </c>
      <c r="V8" s="805">
        <v>0</v>
      </c>
      <c r="W8" s="612">
        <v>0</v>
      </c>
      <c r="X8" s="612">
        <v>0</v>
      </c>
      <c r="Y8" s="805">
        <v>0</v>
      </c>
      <c r="Z8" s="612">
        <v>0</v>
      </c>
      <c r="AA8" s="612">
        <v>0</v>
      </c>
      <c r="AB8" s="886">
        <v>0</v>
      </c>
      <c r="AC8" s="612">
        <v>0</v>
      </c>
      <c r="AD8" s="612">
        <v>0</v>
      </c>
      <c r="AE8" s="612">
        <v>0</v>
      </c>
      <c r="AF8" s="804">
        <f>AF7+1</f>
        <v>37105</v>
      </c>
      <c r="AG8" s="611"/>
      <c r="AH8" s="611"/>
      <c r="AI8" s="611"/>
      <c r="AJ8" s="611"/>
      <c r="AK8" s="611"/>
    </row>
    <row r="9" spans="1:128" s="1" customFormat="1" ht="13.2">
      <c r="A9" s="803">
        <f>A8+1</f>
        <v>37106</v>
      </c>
      <c r="B9" s="882">
        <v>0</v>
      </c>
      <c r="C9" s="612">
        <v>0</v>
      </c>
      <c r="D9" s="612">
        <v>0</v>
      </c>
      <c r="E9" s="612">
        <v>0</v>
      </c>
      <c r="F9" s="612">
        <v>0</v>
      </c>
      <c r="G9" s="886">
        <v>0</v>
      </c>
      <c r="H9" s="612">
        <v>0</v>
      </c>
      <c r="I9" s="883">
        <v>7197</v>
      </c>
      <c r="J9" s="883">
        <v>0</v>
      </c>
      <c r="K9" s="615">
        <v>0</v>
      </c>
      <c r="L9" s="887">
        <v>0</v>
      </c>
      <c r="M9" s="887">
        <v>0</v>
      </c>
      <c r="N9" s="887">
        <v>0</v>
      </c>
      <c r="O9" s="887">
        <v>0</v>
      </c>
      <c r="P9" s="612">
        <v>0</v>
      </c>
      <c r="Q9" s="887">
        <v>0</v>
      </c>
      <c r="R9" s="612">
        <v>0</v>
      </c>
      <c r="S9" s="805">
        <v>0</v>
      </c>
      <c r="T9" s="612">
        <v>0</v>
      </c>
      <c r="U9" s="612">
        <v>0</v>
      </c>
      <c r="V9" s="805">
        <v>0</v>
      </c>
      <c r="W9" s="612">
        <v>0</v>
      </c>
      <c r="X9" s="612">
        <v>0</v>
      </c>
      <c r="Y9" s="805">
        <v>0</v>
      </c>
      <c r="Z9" s="612">
        <v>0</v>
      </c>
      <c r="AA9" s="612">
        <v>0</v>
      </c>
      <c r="AB9" s="886">
        <v>0</v>
      </c>
      <c r="AC9" s="612">
        <v>0</v>
      </c>
      <c r="AD9" s="612">
        <v>0</v>
      </c>
      <c r="AE9" s="612">
        <v>0</v>
      </c>
      <c r="AF9" s="803">
        <f>AF8+1</f>
        <v>37106</v>
      </c>
      <c r="AG9" s="611"/>
      <c r="AH9" s="611"/>
      <c r="AI9" s="611"/>
      <c r="AJ9" s="611"/>
      <c r="AK9" s="611"/>
    </row>
    <row r="10" spans="1:128" s="1" customFormat="1" ht="13.2">
      <c r="A10" s="803">
        <f>A9+1</f>
        <v>37107</v>
      </c>
      <c r="B10" s="882">
        <v>0</v>
      </c>
      <c r="C10" s="612">
        <v>0</v>
      </c>
      <c r="D10" s="612">
        <v>0</v>
      </c>
      <c r="E10" s="612">
        <v>0</v>
      </c>
      <c r="F10" s="612">
        <v>0</v>
      </c>
      <c r="G10" s="886">
        <v>0</v>
      </c>
      <c r="H10" s="612">
        <v>0</v>
      </c>
      <c r="I10" s="883">
        <v>7197</v>
      </c>
      <c r="J10" s="883">
        <v>0</v>
      </c>
      <c r="K10" s="615">
        <v>0</v>
      </c>
      <c r="L10" s="887">
        <v>0</v>
      </c>
      <c r="M10" s="887">
        <v>0</v>
      </c>
      <c r="N10" s="887">
        <v>0</v>
      </c>
      <c r="O10" s="887">
        <v>0</v>
      </c>
      <c r="P10" s="612">
        <v>0</v>
      </c>
      <c r="Q10" s="887">
        <v>0</v>
      </c>
      <c r="R10" s="612">
        <v>0</v>
      </c>
      <c r="S10" s="805">
        <v>0</v>
      </c>
      <c r="T10" s="612">
        <v>0</v>
      </c>
      <c r="U10" s="612">
        <v>0</v>
      </c>
      <c r="V10" s="805">
        <v>0</v>
      </c>
      <c r="W10" s="612">
        <v>0</v>
      </c>
      <c r="X10" s="612">
        <v>0</v>
      </c>
      <c r="Y10" s="805">
        <v>0</v>
      </c>
      <c r="Z10" s="612">
        <v>0</v>
      </c>
      <c r="AA10" s="612">
        <v>0</v>
      </c>
      <c r="AB10" s="886">
        <v>0</v>
      </c>
      <c r="AC10" s="612">
        <v>0</v>
      </c>
      <c r="AD10" s="612">
        <v>0</v>
      </c>
      <c r="AE10" s="612">
        <v>0</v>
      </c>
      <c r="AF10" s="803">
        <f>AF9+1</f>
        <v>37107</v>
      </c>
      <c r="AG10" s="611"/>
      <c r="AH10" s="611"/>
      <c r="AI10" s="611"/>
      <c r="AJ10" s="611"/>
      <c r="AK10" s="611"/>
    </row>
    <row r="11" spans="1:128" s="1" customFormat="1" ht="13.2">
      <c r="A11" s="803">
        <f>A10+1</f>
        <v>37108</v>
      </c>
      <c r="B11" s="882">
        <v>0</v>
      </c>
      <c r="C11" s="612">
        <v>0</v>
      </c>
      <c r="D11" s="612">
        <v>0</v>
      </c>
      <c r="E11" s="612">
        <v>0</v>
      </c>
      <c r="F11" s="612">
        <v>0</v>
      </c>
      <c r="G11" s="886">
        <v>0</v>
      </c>
      <c r="H11" s="612">
        <v>0</v>
      </c>
      <c r="I11" s="883">
        <v>7197</v>
      </c>
      <c r="J11" s="883">
        <v>0</v>
      </c>
      <c r="K11" s="615">
        <v>0</v>
      </c>
      <c r="L11" s="887">
        <v>0</v>
      </c>
      <c r="M11" s="887">
        <v>0</v>
      </c>
      <c r="N11" s="887">
        <v>0</v>
      </c>
      <c r="O11" s="887">
        <v>0</v>
      </c>
      <c r="P11" s="612">
        <v>0</v>
      </c>
      <c r="Q11" s="887">
        <v>0</v>
      </c>
      <c r="R11" s="612">
        <v>0</v>
      </c>
      <c r="S11" s="805">
        <v>0</v>
      </c>
      <c r="T11" s="612">
        <v>0</v>
      </c>
      <c r="U11" s="612">
        <v>0</v>
      </c>
      <c r="V11" s="805">
        <v>0</v>
      </c>
      <c r="W11" s="612">
        <v>0</v>
      </c>
      <c r="X11" s="612">
        <v>0</v>
      </c>
      <c r="Y11" s="805">
        <v>0</v>
      </c>
      <c r="Z11" s="612">
        <v>0</v>
      </c>
      <c r="AA11" s="612">
        <v>0</v>
      </c>
      <c r="AB11" s="886">
        <v>0</v>
      </c>
      <c r="AC11" s="612">
        <v>0</v>
      </c>
      <c r="AD11" s="612">
        <v>0</v>
      </c>
      <c r="AE11" s="612">
        <v>0</v>
      </c>
      <c r="AF11" s="803">
        <f>AF10+1</f>
        <v>37108</v>
      </c>
      <c r="AG11" s="611"/>
      <c r="AH11" s="611"/>
      <c r="AI11" s="611"/>
      <c r="AJ11" s="611"/>
      <c r="AK11" s="611"/>
    </row>
    <row r="12" spans="1:128" s="1" customFormat="1" ht="13.2">
      <c r="A12" s="803">
        <f>A11+1</f>
        <v>37109</v>
      </c>
      <c r="B12" s="882">
        <v>0</v>
      </c>
      <c r="C12" s="612">
        <v>0</v>
      </c>
      <c r="D12" s="612">
        <v>0</v>
      </c>
      <c r="E12" s="612">
        <v>0</v>
      </c>
      <c r="F12" s="612">
        <v>0</v>
      </c>
      <c r="G12" s="886">
        <v>0</v>
      </c>
      <c r="H12" s="612">
        <v>0</v>
      </c>
      <c r="I12" s="883">
        <v>7197</v>
      </c>
      <c r="J12" s="883">
        <v>0</v>
      </c>
      <c r="K12" s="615">
        <v>0</v>
      </c>
      <c r="L12" s="887">
        <v>0</v>
      </c>
      <c r="M12" s="887">
        <v>0</v>
      </c>
      <c r="N12" s="887">
        <v>0</v>
      </c>
      <c r="O12" s="887">
        <v>0</v>
      </c>
      <c r="P12" s="612">
        <v>0</v>
      </c>
      <c r="Q12" s="887">
        <v>0</v>
      </c>
      <c r="R12" s="612">
        <v>0</v>
      </c>
      <c r="S12" s="805">
        <v>0</v>
      </c>
      <c r="T12" s="612">
        <v>0</v>
      </c>
      <c r="U12" s="612">
        <v>0</v>
      </c>
      <c r="V12" s="805">
        <v>0</v>
      </c>
      <c r="W12" s="612">
        <v>0</v>
      </c>
      <c r="X12" s="612">
        <v>0</v>
      </c>
      <c r="Y12" s="805">
        <v>0</v>
      </c>
      <c r="Z12" s="612">
        <v>0</v>
      </c>
      <c r="AA12" s="612">
        <v>0</v>
      </c>
      <c r="AB12" s="886">
        <v>0</v>
      </c>
      <c r="AC12" s="612">
        <v>0</v>
      </c>
      <c r="AD12" s="612">
        <v>0</v>
      </c>
      <c r="AE12" s="612">
        <v>0</v>
      </c>
      <c r="AF12" s="803">
        <f>AF11+1</f>
        <v>37109</v>
      </c>
      <c r="AG12" s="611"/>
      <c r="AH12" s="611"/>
      <c r="AI12" s="611"/>
      <c r="AJ12" s="611"/>
      <c r="AK12" s="611"/>
    </row>
    <row r="13" spans="1:128" s="1" customFormat="1" ht="13.2">
      <c r="A13" s="611"/>
      <c r="B13" s="611"/>
      <c r="C13" s="612"/>
      <c r="D13" s="611"/>
      <c r="E13" s="612"/>
      <c r="F13" s="612"/>
      <c r="G13" s="611"/>
      <c r="H13" s="612"/>
      <c r="I13" s="611"/>
      <c r="J13" s="611"/>
      <c r="K13" s="611"/>
      <c r="L13" s="611" t="s">
        <v>9</v>
      </c>
      <c r="M13" s="611"/>
      <c r="N13" s="611"/>
      <c r="P13" s="611"/>
      <c r="Q13" s="611"/>
      <c r="R13" s="611"/>
      <c r="S13" s="805"/>
      <c r="T13" s="611"/>
      <c r="U13" s="611"/>
      <c r="V13" s="616"/>
      <c r="W13" s="611"/>
      <c r="X13" s="611"/>
      <c r="Y13" s="611"/>
      <c r="Z13" s="611"/>
      <c r="AA13" s="611"/>
      <c r="AB13" s="611"/>
      <c r="AC13" s="611"/>
      <c r="AD13" s="611"/>
      <c r="AE13" s="611"/>
      <c r="AF13" s="611"/>
      <c r="AG13" s="611"/>
      <c r="AH13" s="611"/>
      <c r="AI13" s="611"/>
      <c r="AJ13" s="611"/>
      <c r="AK13" s="613"/>
    </row>
    <row r="14" spans="1:128" s="1" customFormat="1" ht="13.2">
      <c r="A14" s="611"/>
      <c r="B14" s="611"/>
      <c r="C14" s="611"/>
      <c r="D14" s="611"/>
      <c r="E14" s="611"/>
      <c r="F14" s="611"/>
      <c r="G14" s="611"/>
      <c r="H14" s="611"/>
      <c r="I14" s="611"/>
      <c r="J14" s="611"/>
      <c r="K14" s="611"/>
      <c r="L14" s="611"/>
      <c r="M14" s="611"/>
      <c r="N14" s="611"/>
      <c r="P14" s="611"/>
      <c r="Q14" s="611"/>
      <c r="R14" s="611"/>
      <c r="S14" s="611"/>
      <c r="T14" s="611"/>
      <c r="U14" s="611"/>
      <c r="V14" s="611"/>
      <c r="W14" s="611"/>
      <c r="X14" s="611"/>
      <c r="Y14" s="611"/>
      <c r="Z14" s="611"/>
      <c r="AA14" s="611"/>
      <c r="AB14" s="611"/>
      <c r="AC14" s="611"/>
      <c r="AD14" s="611"/>
      <c r="AE14" s="611"/>
      <c r="AF14" s="611"/>
      <c r="AG14" s="611"/>
      <c r="AH14" s="611"/>
      <c r="AI14" s="611"/>
      <c r="AJ14" s="611"/>
      <c r="AK14" s="614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571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385</v>
      </c>
      <c r="N5" s="3"/>
      <c r="O5" s="3" t="s">
        <v>126</v>
      </c>
      <c r="P5" s="3" t="s">
        <v>126</v>
      </c>
      <c r="Q5" s="3" t="s">
        <v>36</v>
      </c>
      <c r="R5" s="1" t="s">
        <v>488</v>
      </c>
      <c r="T5" s="66"/>
    </row>
    <row r="6" spans="1:23">
      <c r="B6" s="54" t="s">
        <v>369</v>
      </c>
      <c r="C6" s="57" t="s">
        <v>106</v>
      </c>
      <c r="D6" s="54" t="s">
        <v>107</v>
      </c>
      <c r="E6" s="81" t="s">
        <v>87</v>
      </c>
      <c r="F6" s="54" t="s">
        <v>625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494</v>
      </c>
      <c r="N6" s="54" t="s">
        <v>89</v>
      </c>
      <c r="O6" s="81" t="s">
        <v>128</v>
      </c>
      <c r="P6" s="81" t="s">
        <v>574</v>
      </c>
      <c r="Q6" s="54" t="s">
        <v>126</v>
      </c>
      <c r="R6" s="989" t="s">
        <v>36</v>
      </c>
      <c r="S6" s="54" t="s">
        <v>385</v>
      </c>
      <c r="T6" s="68" t="s">
        <v>59</v>
      </c>
    </row>
    <row r="7" spans="1:23">
      <c r="A7" s="803">
        <f>Weather_Input!A5</f>
        <v>37104</v>
      </c>
      <c r="B7" s="614">
        <v>0</v>
      </c>
      <c r="C7" s="615">
        <v>0</v>
      </c>
      <c r="D7" s="614">
        <v>0</v>
      </c>
      <c r="E7" s="614">
        <v>0</v>
      </c>
      <c r="F7" s="614">
        <v>5910</v>
      </c>
      <c r="G7" s="615">
        <v>0</v>
      </c>
      <c r="H7" s="614">
        <v>0</v>
      </c>
      <c r="I7" s="614">
        <v>0</v>
      </c>
      <c r="J7" s="614">
        <v>0</v>
      </c>
      <c r="K7" s="614">
        <v>0</v>
      </c>
      <c r="L7" s="614">
        <v>0</v>
      </c>
      <c r="M7" s="615">
        <v>0</v>
      </c>
      <c r="N7" s="883">
        <v>0</v>
      </c>
      <c r="O7" s="614">
        <v>0</v>
      </c>
      <c r="P7" s="614">
        <v>12000</v>
      </c>
      <c r="Q7" s="614">
        <v>25290</v>
      </c>
      <c r="R7" s="614">
        <v>15300</v>
      </c>
      <c r="S7" s="614">
        <v>0</v>
      </c>
      <c r="T7" s="614">
        <v>0</v>
      </c>
      <c r="U7" s="803">
        <f t="shared" ref="U7:U12" si="0">U6+1</f>
        <v>1</v>
      </c>
      <c r="V7" s="611"/>
      <c r="W7" s="611"/>
    </row>
    <row r="8" spans="1:23">
      <c r="A8" s="803">
        <f>A7+1</f>
        <v>37105</v>
      </c>
      <c r="B8" s="614">
        <v>0</v>
      </c>
      <c r="C8" s="615">
        <v>0</v>
      </c>
      <c r="D8" s="614">
        <v>0</v>
      </c>
      <c r="E8" s="614">
        <v>0</v>
      </c>
      <c r="F8" s="614">
        <v>0</v>
      </c>
      <c r="G8" s="615">
        <v>0</v>
      </c>
      <c r="H8" s="614">
        <v>0</v>
      </c>
      <c r="I8" s="614">
        <v>0</v>
      </c>
      <c r="J8" s="614">
        <v>0</v>
      </c>
      <c r="K8" s="614">
        <v>0</v>
      </c>
      <c r="L8" s="614">
        <v>0</v>
      </c>
      <c r="M8" s="615">
        <v>0</v>
      </c>
      <c r="N8" s="883">
        <v>0</v>
      </c>
      <c r="O8" s="614">
        <v>0</v>
      </c>
      <c r="P8" s="614">
        <v>12000</v>
      </c>
      <c r="Q8" s="614">
        <v>24569</v>
      </c>
      <c r="R8" s="614">
        <v>15300</v>
      </c>
      <c r="S8" s="614">
        <v>0</v>
      </c>
      <c r="T8" s="614">
        <v>0</v>
      </c>
      <c r="U8" s="803">
        <f t="shared" si="0"/>
        <v>2</v>
      </c>
      <c r="V8" s="611"/>
      <c r="W8" s="611"/>
    </row>
    <row r="9" spans="1:23">
      <c r="A9" s="803">
        <f>A8+1</f>
        <v>37106</v>
      </c>
      <c r="B9" s="614">
        <v>0</v>
      </c>
      <c r="C9" s="615">
        <v>0</v>
      </c>
      <c r="D9" s="614">
        <v>0</v>
      </c>
      <c r="E9" s="614">
        <v>0</v>
      </c>
      <c r="F9" s="614">
        <v>0</v>
      </c>
      <c r="G9" s="615">
        <v>0</v>
      </c>
      <c r="H9" s="614">
        <v>0</v>
      </c>
      <c r="I9" s="614">
        <v>0</v>
      </c>
      <c r="J9" s="614">
        <v>0</v>
      </c>
      <c r="K9" s="614">
        <v>0</v>
      </c>
      <c r="L9" s="614">
        <v>0</v>
      </c>
      <c r="M9" s="615">
        <v>0</v>
      </c>
      <c r="N9" s="883">
        <v>0</v>
      </c>
      <c r="O9" s="614">
        <v>0</v>
      </c>
      <c r="P9" s="614">
        <v>12000</v>
      </c>
      <c r="Q9" s="614">
        <v>24569</v>
      </c>
      <c r="R9" s="614">
        <v>15300</v>
      </c>
      <c r="S9" s="614">
        <v>0</v>
      </c>
      <c r="T9" s="614">
        <v>0</v>
      </c>
      <c r="U9" s="803">
        <f t="shared" si="0"/>
        <v>3</v>
      </c>
      <c r="V9" s="611"/>
      <c r="W9" s="611"/>
    </row>
    <row r="10" spans="1:23">
      <c r="A10" s="803">
        <f>A9+1</f>
        <v>37107</v>
      </c>
      <c r="B10" s="614">
        <v>0</v>
      </c>
      <c r="C10" s="615">
        <v>0</v>
      </c>
      <c r="D10" s="614">
        <v>0</v>
      </c>
      <c r="E10" s="614">
        <v>0</v>
      </c>
      <c r="F10" s="614">
        <v>0</v>
      </c>
      <c r="G10" s="615">
        <v>0</v>
      </c>
      <c r="H10" s="614">
        <v>0</v>
      </c>
      <c r="I10" s="614">
        <v>0</v>
      </c>
      <c r="J10" s="614">
        <v>0</v>
      </c>
      <c r="K10" s="614">
        <v>0</v>
      </c>
      <c r="L10" s="614">
        <v>0</v>
      </c>
      <c r="M10" s="615">
        <v>0</v>
      </c>
      <c r="N10" s="883">
        <v>0</v>
      </c>
      <c r="O10" s="614">
        <v>0</v>
      </c>
      <c r="P10" s="614">
        <v>12000</v>
      </c>
      <c r="Q10" s="614">
        <v>24569</v>
      </c>
      <c r="R10" s="614">
        <v>15300</v>
      </c>
      <c r="S10" s="614">
        <v>0</v>
      </c>
      <c r="T10" s="614">
        <v>0</v>
      </c>
      <c r="U10" s="803">
        <f t="shared" si="0"/>
        <v>4</v>
      </c>
      <c r="V10" s="611"/>
      <c r="W10" s="611"/>
    </row>
    <row r="11" spans="1:23">
      <c r="A11" s="803">
        <f>A10+1</f>
        <v>37108</v>
      </c>
      <c r="B11" s="614">
        <v>0</v>
      </c>
      <c r="C11" s="615">
        <v>0</v>
      </c>
      <c r="D11" s="614">
        <v>0</v>
      </c>
      <c r="E11" s="614">
        <v>0</v>
      </c>
      <c r="F11" s="614">
        <v>0</v>
      </c>
      <c r="G11" s="615">
        <v>0</v>
      </c>
      <c r="H11" s="614">
        <v>0</v>
      </c>
      <c r="I11" s="614">
        <v>0</v>
      </c>
      <c r="J11" s="614">
        <v>0</v>
      </c>
      <c r="K11" s="614">
        <v>0</v>
      </c>
      <c r="L11" s="614">
        <v>0</v>
      </c>
      <c r="M11" s="615">
        <v>0</v>
      </c>
      <c r="N11" s="883">
        <v>0</v>
      </c>
      <c r="O11" s="614">
        <v>0</v>
      </c>
      <c r="P11" s="614">
        <v>12000</v>
      </c>
      <c r="Q11" s="614">
        <v>24569</v>
      </c>
      <c r="R11" s="614">
        <v>15300</v>
      </c>
      <c r="S11" s="614">
        <v>0</v>
      </c>
      <c r="T11" s="614">
        <v>0</v>
      </c>
      <c r="U11" s="803">
        <f t="shared" si="0"/>
        <v>5</v>
      </c>
      <c r="V11" s="611"/>
      <c r="W11" s="611"/>
    </row>
    <row r="12" spans="1:23">
      <c r="A12" s="803">
        <f>A11+1</f>
        <v>37109</v>
      </c>
      <c r="B12" s="614">
        <v>0</v>
      </c>
      <c r="C12" s="615">
        <v>0</v>
      </c>
      <c r="D12" s="614">
        <v>0</v>
      </c>
      <c r="E12" s="614">
        <v>0</v>
      </c>
      <c r="F12" s="614">
        <v>0</v>
      </c>
      <c r="G12" s="615">
        <v>0</v>
      </c>
      <c r="H12" s="614">
        <v>0</v>
      </c>
      <c r="I12" s="614">
        <v>0</v>
      </c>
      <c r="J12" s="614">
        <v>0</v>
      </c>
      <c r="K12" s="614">
        <v>0</v>
      </c>
      <c r="L12" s="614">
        <v>0</v>
      </c>
      <c r="M12" s="615">
        <v>0</v>
      </c>
      <c r="N12" s="883">
        <v>0</v>
      </c>
      <c r="O12" s="614">
        <v>0</v>
      </c>
      <c r="P12" s="614">
        <v>12000</v>
      </c>
      <c r="Q12" s="614">
        <v>24569</v>
      </c>
      <c r="R12" s="614">
        <v>15300</v>
      </c>
      <c r="S12" s="614">
        <v>0</v>
      </c>
      <c r="T12" s="614">
        <v>0</v>
      </c>
      <c r="U12" s="803">
        <f t="shared" si="0"/>
        <v>6</v>
      </c>
      <c r="V12" s="611"/>
      <c r="W12" s="611"/>
    </row>
    <row r="13" spans="1:23">
      <c r="A13" s="611"/>
      <c r="B13" s="611"/>
      <c r="C13" s="611"/>
      <c r="D13" s="611"/>
      <c r="E13" s="611"/>
      <c r="F13" s="611"/>
      <c r="G13" s="611"/>
      <c r="H13" s="611"/>
      <c r="I13" s="611"/>
      <c r="J13" s="611"/>
      <c r="K13" s="611"/>
      <c r="L13" s="614"/>
      <c r="M13" s="615"/>
      <c r="N13" s="611"/>
      <c r="O13" s="611"/>
      <c r="P13" s="611"/>
      <c r="Q13" s="614"/>
      <c r="R13" s="614"/>
      <c r="S13" s="614"/>
      <c r="T13" s="611"/>
      <c r="U13" s="611"/>
      <c r="V13" s="611"/>
      <c r="W13" s="611"/>
    </row>
    <row r="14" spans="1:23">
      <c r="A14" s="611"/>
      <c r="B14" s="611"/>
      <c r="C14" s="611"/>
      <c r="D14" s="611" t="s">
        <v>9</v>
      </c>
      <c r="E14" s="611"/>
      <c r="F14" s="611"/>
      <c r="G14" s="611"/>
      <c r="H14" s="611"/>
      <c r="I14" s="611"/>
      <c r="J14" s="611"/>
      <c r="K14" s="611"/>
      <c r="L14" s="611"/>
      <c r="M14" s="611"/>
      <c r="N14" s="611"/>
      <c r="O14" s="611"/>
      <c r="P14" s="611"/>
      <c r="Q14" s="614" t="s">
        <v>9</v>
      </c>
      <c r="R14" s="611"/>
      <c r="S14" s="611"/>
      <c r="T14" s="611"/>
      <c r="U14" s="611"/>
      <c r="V14" s="611"/>
      <c r="W14" s="611"/>
    </row>
    <row r="15" spans="1:23">
      <c r="A15" s="611"/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611"/>
      <c r="O15" s="611"/>
      <c r="P15" s="611"/>
      <c r="Q15" s="614" t="s">
        <v>9</v>
      </c>
      <c r="R15" s="611"/>
      <c r="S15" s="611" t="s">
        <v>9</v>
      </c>
      <c r="T15" s="611"/>
      <c r="U15" s="611"/>
      <c r="V15" s="611"/>
      <c r="W15" s="611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1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8" zoomScale="75" workbookViewId="0">
      <selection activeCell="E53" sqref="E53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7" t="s">
        <v>0</v>
      </c>
      <c r="B1" s="806"/>
      <c r="C1" s="870"/>
      <c r="D1" s="806"/>
      <c r="E1" s="806"/>
      <c r="F1" s="806" t="s">
        <v>9</v>
      </c>
      <c r="G1" s="806" t="s">
        <v>130</v>
      </c>
      <c r="H1" s="807" t="str">
        <f>D3</f>
        <v>WED</v>
      </c>
      <c r="I1" s="808">
        <f>D4</f>
        <v>37104</v>
      </c>
    </row>
    <row r="2" spans="1:256" ht="18.899999999999999" customHeight="1">
      <c r="A2" s="809" t="s">
        <v>131</v>
      </c>
      <c r="B2" s="810"/>
      <c r="C2" s="810"/>
      <c r="D2" s="810"/>
      <c r="E2" s="810"/>
      <c r="F2" s="810"/>
      <c r="G2" s="810"/>
      <c r="H2" s="810"/>
      <c r="I2" s="811"/>
    </row>
    <row r="3" spans="1:256" ht="18.899999999999999" customHeight="1" thickBot="1">
      <c r="A3" s="812"/>
      <c r="B3" s="810"/>
      <c r="C3" s="810"/>
      <c r="D3" s="813" t="str">
        <f t="shared" ref="D3:I3" si="0">CHOOSE(WEEKDAY(D4),"SUN","MON","TUE","WED","THU","FRI","SAT")</f>
        <v>WED</v>
      </c>
      <c r="E3" s="813" t="str">
        <f t="shared" si="0"/>
        <v>THU</v>
      </c>
      <c r="F3" s="813" t="str">
        <f t="shared" si="0"/>
        <v>FRI</v>
      </c>
      <c r="G3" s="813" t="str">
        <f t="shared" si="0"/>
        <v>SAT</v>
      </c>
      <c r="H3" s="813" t="str">
        <f t="shared" si="0"/>
        <v>SUN</v>
      </c>
      <c r="I3" s="814" t="str">
        <f t="shared" si="0"/>
        <v>MON</v>
      </c>
    </row>
    <row r="4" spans="1:256" ht="18.899999999999999" customHeight="1" thickBot="1">
      <c r="A4" s="815"/>
      <c r="B4" s="816"/>
      <c r="C4" s="816"/>
      <c r="D4" s="453">
        <f>Weather_Input!A5</f>
        <v>37104</v>
      </c>
      <c r="E4" s="453">
        <f>Weather_Input!A6</f>
        <v>37105</v>
      </c>
      <c r="F4" s="453">
        <f>Weather_Input!A7</f>
        <v>37106</v>
      </c>
      <c r="G4" s="453">
        <f>Weather_Input!A8</f>
        <v>37107</v>
      </c>
      <c r="H4" s="453">
        <f>Weather_Input!A9</f>
        <v>37108</v>
      </c>
      <c r="I4" s="454">
        <f>Weather_Input!A10</f>
        <v>37109</v>
      </c>
    </row>
    <row r="5" spans="1:256" ht="18.899999999999999" customHeight="1" thickTop="1">
      <c r="A5" s="819" t="s">
        <v>132</v>
      </c>
      <c r="B5" s="810"/>
      <c r="C5" s="810" t="s">
        <v>133</v>
      </c>
      <c r="D5" s="455" t="str">
        <f>TEXT(Weather_Input!B5,"0")&amp;"/"&amp;TEXT(Weather_Input!C5,"0") &amp; "/" &amp; TEXT((Weather_Input!B5+Weather_Input!C5)/2,"0")</f>
        <v>91/74/83</v>
      </c>
      <c r="E5" s="455" t="str">
        <f>TEXT(Weather_Input!B6,"0")&amp;"/"&amp;TEXT(Weather_Input!C6,"0") &amp; "/" &amp; TEXT((Weather_Input!B6+Weather_Input!C6)/2,"0")</f>
        <v>87/69/78</v>
      </c>
      <c r="F5" s="455" t="str">
        <f>TEXT(Weather_Input!B7,"0")&amp;"/"&amp;TEXT(Weather_Input!C7,"0") &amp; "/" &amp; TEXT((Weather_Input!B7+Weather_Input!C7)/2,"0")</f>
        <v>85/68/77</v>
      </c>
      <c r="G5" s="455" t="str">
        <f>TEXT(Weather_Input!B8,"0")&amp;"/"&amp;TEXT(Weather_Input!C8,"0") &amp; "/" &amp; TEXT((Weather_Input!B8+Weather_Input!C8)/2,"0")</f>
        <v>86/68/77</v>
      </c>
      <c r="H5" s="455" t="str">
        <f>TEXT(Weather_Input!B9,"0")&amp;"/"&amp;TEXT(Weather_Input!C9,"0") &amp; "/" &amp; TEXT((Weather_Input!B9+Weather_Input!C9)/2,"0")</f>
        <v>89/70/80</v>
      </c>
      <c r="I5" s="456" t="str">
        <f>TEXT(Weather_Input!B10,"0")&amp;"/"&amp;TEXT(Weather_Input!C10,"0") &amp; "/" &amp; TEXT((Weather_Input!B10+Weather_Input!C10)/2,"0")</f>
        <v>89/70/80</v>
      </c>
    </row>
    <row r="6" spans="1:256" ht="18.899999999999999" customHeight="1">
      <c r="A6" s="822" t="s">
        <v>134</v>
      </c>
      <c r="B6" s="810"/>
      <c r="C6" s="810"/>
      <c r="D6" s="455">
        <f>PGL_Deliveries!C5/1000</f>
        <v>195</v>
      </c>
      <c r="E6" s="455">
        <f>PGL_Deliveries!C6/1000</f>
        <v>200</v>
      </c>
      <c r="F6" s="455">
        <f>PGL_Deliveries!C7/1000</f>
        <v>190</v>
      </c>
      <c r="G6" s="455">
        <f>PGL_Deliveries!C8/1000</f>
        <v>180</v>
      </c>
      <c r="H6" s="455">
        <f>PGL_Deliveries!C9/1000</f>
        <v>190</v>
      </c>
      <c r="I6" s="456">
        <f>PGL_Deliveries!C10/1000</f>
        <v>190</v>
      </c>
    </row>
    <row r="7" spans="1:256" ht="18.899999999999999" customHeight="1">
      <c r="A7" s="822" t="s">
        <v>516</v>
      </c>
      <c r="B7" s="810" t="s">
        <v>9</v>
      </c>
      <c r="C7" s="810"/>
      <c r="D7" s="455">
        <f>PGL_Requirements!G7/1000*0.5</f>
        <v>87.387</v>
      </c>
      <c r="E7" s="455">
        <f>PGL_Requirements!G8/1000*0.5</f>
        <v>43.55</v>
      </c>
      <c r="F7" s="455">
        <f>PGL_Requirements!G9/1000*0.5</f>
        <v>0</v>
      </c>
      <c r="G7" s="455">
        <f>PGL_Requirements!G10/1000*0.5</f>
        <v>0</v>
      </c>
      <c r="H7" s="455">
        <f>PGL_Requirements!G11/1000*0.5</f>
        <v>0</v>
      </c>
      <c r="I7" s="456">
        <f>PGL_Requirements!G12/1000*0.5</f>
        <v>0</v>
      </c>
    </row>
    <row r="8" spans="1:256" ht="18.899999999999999" customHeight="1">
      <c r="A8" s="822" t="s">
        <v>737</v>
      </c>
      <c r="B8" s="810"/>
      <c r="C8" s="810"/>
      <c r="D8" s="455">
        <f>PGL_Requirements!J7/1000</f>
        <v>88.9</v>
      </c>
      <c r="E8" s="455">
        <f>PGL_Requirements!J8/1000</f>
        <v>95</v>
      </c>
      <c r="F8" s="455">
        <f>PGL_Requirements!J9/1000</f>
        <v>0</v>
      </c>
      <c r="G8" s="455">
        <f>PGL_Requirements!J10/1000</f>
        <v>0</v>
      </c>
      <c r="H8" s="455">
        <f>PGL_Requirements!J11/1000</f>
        <v>0</v>
      </c>
      <c r="I8" s="456">
        <f>PGL_Requirements!J12/1000</f>
        <v>0</v>
      </c>
    </row>
    <row r="9" spans="1:256" ht="18.899999999999999" customHeight="1">
      <c r="A9" s="819" t="s">
        <v>738</v>
      </c>
      <c r="B9" s="810" t="s">
        <v>9</v>
      </c>
      <c r="C9" s="823"/>
      <c r="D9" s="455">
        <f>PGL_Requirements!K7/1000</f>
        <v>0</v>
      </c>
      <c r="E9" s="455">
        <f>PGL_Requirements!K8/1000</f>
        <v>0</v>
      </c>
      <c r="F9" s="455">
        <f>PGL_Requirements!K9/1000</f>
        <v>0</v>
      </c>
      <c r="G9" s="455">
        <f>PGL_Requirements!K10/1000</f>
        <v>0</v>
      </c>
      <c r="H9" s="455">
        <f>PGL_Requirements!K11/1000</f>
        <v>0</v>
      </c>
      <c r="I9" s="456">
        <f>PGL_Requirements!K12/1000</f>
        <v>0</v>
      </c>
    </row>
    <row r="10" spans="1:256" ht="18.899999999999999" customHeight="1">
      <c r="A10" s="819" t="s">
        <v>753</v>
      </c>
      <c r="B10" s="810"/>
      <c r="C10" s="823"/>
      <c r="D10" s="455">
        <f>PGL_Requirements!H7/1000</f>
        <v>0</v>
      </c>
      <c r="E10" s="455">
        <f>PGL_Requirements!H8/1000</f>
        <v>0</v>
      </c>
      <c r="F10" s="455">
        <f>PGL_Requirements!H9/1000</f>
        <v>0</v>
      </c>
      <c r="G10" s="455">
        <f>PGL_Requirements!H10/1000</f>
        <v>0</v>
      </c>
      <c r="H10" s="455">
        <f>PGL_Requirements!H11/1000</f>
        <v>0</v>
      </c>
      <c r="I10" s="456">
        <f>PGL_Requirements!H12/1000</f>
        <v>0</v>
      </c>
    </row>
    <row r="11" spans="1:256" ht="18.899999999999999" customHeight="1">
      <c r="A11" s="819" t="s">
        <v>138</v>
      </c>
      <c r="B11" s="810" t="s">
        <v>139</v>
      </c>
      <c r="C11" s="810" t="s">
        <v>58</v>
      </c>
      <c r="D11" s="455">
        <f>PGL_Requirements!O7/1000</f>
        <v>140</v>
      </c>
      <c r="E11" s="455">
        <f>PGL_Requirements!O8/1000</f>
        <v>132</v>
      </c>
      <c r="F11" s="455">
        <f>PGL_Requirements!O9/1000</f>
        <v>132</v>
      </c>
      <c r="G11" s="455">
        <f>PGL_Requirements!O10/1000</f>
        <v>132</v>
      </c>
      <c r="H11" s="455">
        <f>PGL_Requirements!O11/1000</f>
        <v>132</v>
      </c>
      <c r="I11" s="456">
        <f>PGL_Requirements!O12/1000</f>
        <v>132</v>
      </c>
    </row>
    <row r="12" spans="1:256" ht="18.899999999999999" customHeight="1">
      <c r="A12" s="819"/>
      <c r="B12" s="810"/>
      <c r="C12" s="810" t="s">
        <v>97</v>
      </c>
      <c r="D12" s="455">
        <f>PGL_Requirements!P7/1000</f>
        <v>2.1</v>
      </c>
      <c r="E12" s="455">
        <f>PGL_Requirements!P8/1000</f>
        <v>1.98</v>
      </c>
      <c r="F12" s="455">
        <f>PGL_Requirements!P9/1000</f>
        <v>1.98</v>
      </c>
      <c r="G12" s="455">
        <f>PGL_Requirements!P10/1000</f>
        <v>1.98</v>
      </c>
      <c r="H12" s="455">
        <f>PGL_Requirements!P11/1000</f>
        <v>1.98</v>
      </c>
      <c r="I12" s="456">
        <f>PGL_Requirements!P12/1000</f>
        <v>1.98</v>
      </c>
    </row>
    <row r="13" spans="1:256" ht="18.899999999999999" customHeight="1">
      <c r="A13" s="819"/>
      <c r="C13" s="810" t="s">
        <v>659</v>
      </c>
      <c r="D13" s="455">
        <f>PGL_Requirements!Q7/1000</f>
        <v>0.28000000000000003</v>
      </c>
      <c r="E13" s="455">
        <f>PGL_Requirements!Q8/1000</f>
        <v>0.28000000000000003</v>
      </c>
      <c r="F13" s="455">
        <f>PGL_Requirements!Q9/1000</f>
        <v>0.28000000000000003</v>
      </c>
      <c r="G13" s="455">
        <f>PGL_Requirements!Q10/1000</f>
        <v>0.28000000000000003</v>
      </c>
      <c r="H13" s="455">
        <f>PGL_Requirements!Q11/1000</f>
        <v>0.28000000000000003</v>
      </c>
      <c r="I13" s="456">
        <f>PGL_Requirements!Q12/1000</f>
        <v>0.28000000000000003</v>
      </c>
    </row>
    <row r="14" spans="1:256" ht="18.899999999999999" customHeight="1">
      <c r="A14" s="819"/>
      <c r="C14" s="810" t="s">
        <v>684</v>
      </c>
      <c r="D14" s="455">
        <f>PGL_Requirements!B7/1000</f>
        <v>0</v>
      </c>
      <c r="E14" s="455">
        <f>PGL_Requirements!B8/1000</f>
        <v>0</v>
      </c>
      <c r="F14" s="455">
        <f>PGL_Requirements!B9/1000</f>
        <v>0</v>
      </c>
      <c r="G14" s="455">
        <f>PGL_Requirements!B10/1000</f>
        <v>0</v>
      </c>
      <c r="H14" s="455">
        <f>PGL_Requirements!B11/1000</f>
        <v>0</v>
      </c>
      <c r="I14" s="456">
        <f>PGL_Requirements!B12/1000</f>
        <v>0</v>
      </c>
      <c r="IV14" s="455" t="s">
        <v>9</v>
      </c>
    </row>
    <row r="15" spans="1:256" ht="18.899999999999999" customHeight="1">
      <c r="A15" s="819"/>
      <c r="B15" s="810" t="s">
        <v>137</v>
      </c>
      <c r="C15" s="810" t="s">
        <v>740</v>
      </c>
      <c r="D15" s="455">
        <f>PGL_Requirements!T7/1000</f>
        <v>0</v>
      </c>
      <c r="E15" s="455">
        <f>PGL_Requirements!T8/1000</f>
        <v>0</v>
      </c>
      <c r="F15" s="455">
        <f>PGL_Requirements!T9/1000</f>
        <v>0</v>
      </c>
      <c r="G15" s="455">
        <f>PGL_Requirements!T10/1000</f>
        <v>0</v>
      </c>
      <c r="H15" s="455">
        <f>PGL_Requirements!T11/1000</f>
        <v>0</v>
      </c>
      <c r="I15" s="456">
        <f>PGL_Requirements!T12/1000</f>
        <v>0</v>
      </c>
    </row>
    <row r="16" spans="1:256" ht="18.899999999999999" customHeight="1">
      <c r="A16" s="819"/>
      <c r="B16" s="810"/>
      <c r="C16" s="810" t="s">
        <v>742</v>
      </c>
      <c r="D16" s="455">
        <f>PGL_Requirements!U7/1000</f>
        <v>0</v>
      </c>
      <c r="E16" s="455">
        <f>PGL_Requirements!U8/1000</f>
        <v>0</v>
      </c>
      <c r="F16" s="455">
        <f>PGL_Requirements!U9/1000</f>
        <v>0</v>
      </c>
      <c r="G16" s="455">
        <f>PGL_Requirements!U10/1000</f>
        <v>0</v>
      </c>
      <c r="H16" s="455">
        <f>PGL_Requirements!U11/1000</f>
        <v>0</v>
      </c>
      <c r="I16" s="456">
        <f>PGL_Requirements!U11/1000</f>
        <v>0</v>
      </c>
    </row>
    <row r="17" spans="1:10" ht="18.899999999999999" customHeight="1">
      <c r="A17" s="819"/>
      <c r="B17" s="810" t="s">
        <v>135</v>
      </c>
      <c r="C17" s="810" t="s">
        <v>87</v>
      </c>
      <c r="D17" s="455">
        <f>PGL_Requirements!N7/1000</f>
        <v>0</v>
      </c>
      <c r="E17" s="455">
        <f>PGL_Requirements!N8/1000</f>
        <v>0</v>
      </c>
      <c r="F17" s="455">
        <f>PGL_Requirements!N9/1000</f>
        <v>0</v>
      </c>
      <c r="G17" s="455">
        <f>PGL_Requirements!N10/1000</f>
        <v>0</v>
      </c>
      <c r="H17" s="455">
        <f>PGL_Requirements!N11/1000</f>
        <v>0</v>
      </c>
      <c r="I17" s="456">
        <f>PGL_Requirements!N12/1000</f>
        <v>0</v>
      </c>
    </row>
    <row r="18" spans="1:10" ht="18.899999999999999" customHeight="1">
      <c r="A18" s="819" t="s">
        <v>763</v>
      </c>
      <c r="B18" s="826" t="s">
        <v>9</v>
      </c>
      <c r="C18" s="826" t="s">
        <v>9</v>
      </c>
      <c r="D18" s="455">
        <f>PGL_Requirements!M7/1000</f>
        <v>0</v>
      </c>
      <c r="E18" s="455">
        <f>PGL_Requirements!M8/1000</f>
        <v>0</v>
      </c>
      <c r="F18" s="455">
        <f>PGL_Requirements!M9/1000</f>
        <v>0</v>
      </c>
      <c r="G18" s="455">
        <f>PGL_Requirements!M10/1000</f>
        <v>0</v>
      </c>
      <c r="H18" s="455">
        <f>PGL_Requirements!M11/1000</f>
        <v>0</v>
      </c>
      <c r="I18" s="456">
        <f>PGL_Requirements!M12/1000</f>
        <v>0</v>
      </c>
      <c r="J18" s="763"/>
    </row>
    <row r="19" spans="1:10" ht="18.899999999999999" customHeight="1">
      <c r="A19" s="819" t="s">
        <v>750</v>
      </c>
      <c r="B19" s="824"/>
      <c r="C19" s="826"/>
      <c r="D19" s="455">
        <f>PGL_Requirements!L7/1000</f>
        <v>0</v>
      </c>
      <c r="E19" s="455">
        <f>PGL_Requirements!L8/1000</f>
        <v>0</v>
      </c>
      <c r="F19" s="455">
        <f>PGL_Requirements!L9/1000</f>
        <v>0</v>
      </c>
      <c r="G19" s="455">
        <f>PGL_Requirements!L10/1000</f>
        <v>0</v>
      </c>
      <c r="H19" s="455">
        <f>PGL_Requirements!L11/1000</f>
        <v>0</v>
      </c>
      <c r="I19" s="456">
        <f>PGL_Requirements!L12/1000</f>
        <v>0</v>
      </c>
      <c r="J19" s="763"/>
    </row>
    <row r="20" spans="1:10" ht="18.899999999999999" customHeight="1">
      <c r="A20" s="822" t="s">
        <v>141</v>
      </c>
      <c r="B20" s="810"/>
      <c r="C20" s="810"/>
      <c r="D20" s="455">
        <f>PGL_Requirements!F7/1000</f>
        <v>30.36</v>
      </c>
      <c r="E20" s="455">
        <f>PGL_Requirements!F8/1000</f>
        <v>0</v>
      </c>
      <c r="F20" s="455">
        <f>PGL_Requirements!F9/1000</f>
        <v>0</v>
      </c>
      <c r="G20" s="455">
        <f>PGL_Requirements!F10/1000</f>
        <v>0</v>
      </c>
      <c r="H20" s="455">
        <f>PGL_Requirements!F11/1000</f>
        <v>0</v>
      </c>
      <c r="I20" s="456">
        <f>PGL_Requirements!F12/1000</f>
        <v>0</v>
      </c>
    </row>
    <row r="21" spans="1:10" ht="18.899999999999999" customHeight="1">
      <c r="A21" s="819" t="s">
        <v>142</v>
      </c>
      <c r="B21" s="810" t="s">
        <v>674</v>
      </c>
      <c r="C21" s="810"/>
      <c r="D21" s="455">
        <f>PGL_Requirements!I7/1000</f>
        <v>0.1</v>
      </c>
      <c r="E21" s="455">
        <f>PGL_Requirements!I8/1000</f>
        <v>0</v>
      </c>
      <c r="F21" s="455">
        <f>PGL_Requirements!I9/1000</f>
        <v>0</v>
      </c>
      <c r="G21" s="455">
        <f>PGL_Requirements!I10/1000</f>
        <v>0</v>
      </c>
      <c r="H21" s="455">
        <f>PGL_Requirements!I11/1000</f>
        <v>0</v>
      </c>
      <c r="I21" s="456">
        <f>PGL_Requirements!I12/1000</f>
        <v>0</v>
      </c>
    </row>
    <row r="22" spans="1:10" ht="18.899999999999999" customHeight="1">
      <c r="A22" s="819"/>
      <c r="B22" s="810" t="s">
        <v>89</v>
      </c>
      <c r="C22" s="810"/>
      <c r="D22" s="455">
        <f>PGL_Requirements!C7/1000</f>
        <v>0</v>
      </c>
      <c r="E22" s="455">
        <f>PGL_Requirements!C8/1000</f>
        <v>0</v>
      </c>
      <c r="F22" s="455">
        <f>PGL_Requirements!C9/1000</f>
        <v>0</v>
      </c>
      <c r="G22" s="455">
        <f>PGL_Requirements!C10/1000</f>
        <v>0</v>
      </c>
      <c r="H22" s="455">
        <f>PGL_Requirements!C11/1000</f>
        <v>0</v>
      </c>
      <c r="I22" s="456">
        <f>PGL_Requirements!C12/1000</f>
        <v>0</v>
      </c>
    </row>
    <row r="23" spans="1:10" ht="18.899999999999999" customHeight="1">
      <c r="A23" s="819"/>
      <c r="B23" s="810" t="s">
        <v>385</v>
      </c>
      <c r="C23" s="810"/>
      <c r="D23" s="455">
        <f>PGL_Requirements!D7/1000</f>
        <v>19.899999999999999</v>
      </c>
      <c r="E23" s="455">
        <f>PGL_Requirements!D8/1000</f>
        <v>0</v>
      </c>
      <c r="F23" s="455">
        <f>PGL_Requirements!D9/1000</f>
        <v>0</v>
      </c>
      <c r="G23" s="455">
        <f>PGL_Requirements!D10/1000</f>
        <v>0</v>
      </c>
      <c r="H23" s="455">
        <f>PGL_Requirements!D11/1000</f>
        <v>0</v>
      </c>
      <c r="I23" s="456">
        <f>PGL_Requirements!D12/1000</f>
        <v>0</v>
      </c>
    </row>
    <row r="24" spans="1:10" ht="18.899999999999999" customHeight="1">
      <c r="A24" s="819"/>
      <c r="B24" s="810" t="s">
        <v>92</v>
      </c>
      <c r="C24" s="810"/>
      <c r="D24" s="457">
        <f>PGL_Requirements!E7/1000</f>
        <v>0</v>
      </c>
      <c r="E24" s="457">
        <f>PGL_Requirements!E8/1000</f>
        <v>0</v>
      </c>
      <c r="F24" s="457">
        <f>PGL_Requirements!E9/1000</f>
        <v>0</v>
      </c>
      <c r="G24" s="457">
        <f>PGL_Requirements!E10/1000</f>
        <v>0</v>
      </c>
      <c r="H24" s="457">
        <f>PGL_Requirements!E11/1000</f>
        <v>0</v>
      </c>
      <c r="I24" s="458">
        <f>PGL_Requirements!E12/1000</f>
        <v>0</v>
      </c>
    </row>
    <row r="25" spans="1:10" ht="18.899999999999999" customHeight="1" thickBot="1">
      <c r="A25" s="827" t="s">
        <v>143</v>
      </c>
      <c r="B25" s="828"/>
      <c r="C25" s="828"/>
      <c r="D25" s="459">
        <f t="shared" ref="D25:I25" si="1">SUM(D6:D24)</f>
        <v>564.02700000000004</v>
      </c>
      <c r="E25" s="459">
        <f t="shared" si="1"/>
        <v>472.81</v>
      </c>
      <c r="F25" s="459">
        <f t="shared" si="1"/>
        <v>324.26</v>
      </c>
      <c r="G25" s="459">
        <f t="shared" si="1"/>
        <v>314.26</v>
      </c>
      <c r="H25" s="459">
        <f t="shared" si="1"/>
        <v>324.26</v>
      </c>
      <c r="I25" s="1067">
        <f t="shared" si="1"/>
        <v>324.26</v>
      </c>
    </row>
    <row r="26" spans="1:10" ht="18.899999999999999" customHeight="1" thickTop="1" thickBot="1">
      <c r="A26" s="831"/>
      <c r="B26" s="810"/>
      <c r="C26" s="810"/>
      <c r="D26" s="460"/>
      <c r="E26" s="461"/>
      <c r="F26" s="461"/>
      <c r="G26" s="461"/>
      <c r="H26" s="461"/>
      <c r="I26" s="462"/>
    </row>
    <row r="27" spans="1:10" ht="18.899999999999999" customHeight="1" thickTop="1" thickBot="1">
      <c r="A27" s="832" t="s">
        <v>144</v>
      </c>
      <c r="B27" s="833"/>
      <c r="C27" s="833"/>
      <c r="D27" s="463"/>
      <c r="E27" s="464"/>
      <c r="F27" s="464"/>
      <c r="G27" s="464"/>
      <c r="H27" s="464"/>
      <c r="I27" s="1068"/>
    </row>
    <row r="28" spans="1:10" ht="18.899999999999999" customHeight="1" thickTop="1">
      <c r="A28" s="819" t="s">
        <v>145</v>
      </c>
      <c r="B28" s="810" t="s">
        <v>139</v>
      </c>
      <c r="C28" s="810" t="s">
        <v>58</v>
      </c>
      <c r="D28" s="455">
        <f>PGL_Supplies!L7/1000</f>
        <v>0</v>
      </c>
      <c r="E28" s="455">
        <f>PGL_Supplies!L8/1000</f>
        <v>0</v>
      </c>
      <c r="F28" s="455">
        <f>PGL_Supplies!L9/1000</f>
        <v>0</v>
      </c>
      <c r="G28" s="455">
        <f>PGL_Supplies!L10/1000</f>
        <v>0</v>
      </c>
      <c r="H28" s="455">
        <f>PGL_Supplies!L11/1000</f>
        <v>0</v>
      </c>
      <c r="I28" s="456">
        <f>PGL_Supplies!L12/1000</f>
        <v>0</v>
      </c>
    </row>
    <row r="29" spans="1:10" ht="18.899999999999999" customHeight="1">
      <c r="A29" s="819"/>
      <c r="B29" s="810"/>
      <c r="C29" s="810" t="s">
        <v>90</v>
      </c>
      <c r="D29" s="455">
        <f>PGL_Supplies!G7/1000</f>
        <v>1</v>
      </c>
      <c r="E29" s="455">
        <f>PGL_Supplies!G8/1000</f>
        <v>1</v>
      </c>
      <c r="F29" s="455">
        <f>PGL_Supplies!G9/1000</f>
        <v>1</v>
      </c>
      <c r="G29" s="455">
        <f>PGL_Supplies!G10/1000</f>
        <v>1</v>
      </c>
      <c r="H29" s="455">
        <f>PGL_Supplies!G11/1000</f>
        <v>1</v>
      </c>
      <c r="I29" s="456">
        <f>PGL_Supplies!G12/1000</f>
        <v>1</v>
      </c>
    </row>
    <row r="30" spans="1:10" ht="18.899999999999999" customHeight="1">
      <c r="A30" s="819"/>
      <c r="B30" s="810"/>
      <c r="C30" s="810" t="s">
        <v>59</v>
      </c>
      <c r="D30" s="455">
        <f>PGL_Supplies!I7/1000</f>
        <v>0</v>
      </c>
      <c r="E30" s="455">
        <f>PGL_Supplies!I8/1000</f>
        <v>0</v>
      </c>
      <c r="F30" s="455">
        <f>PGL_Supplies!I9/1000</f>
        <v>0</v>
      </c>
      <c r="G30" s="455">
        <f>PGL_Supplies!I10/1000</f>
        <v>0</v>
      </c>
      <c r="H30" s="455">
        <f>PGL_Supplies!I11/1000</f>
        <v>0</v>
      </c>
      <c r="I30" s="456">
        <f>PGL_Supplies!I12/1000</f>
        <v>0</v>
      </c>
    </row>
    <row r="31" spans="1:10" ht="18.899999999999999" customHeight="1">
      <c r="A31" s="819"/>
      <c r="B31" s="810" t="s">
        <v>137</v>
      </c>
      <c r="C31" s="810" t="s">
        <v>740</v>
      </c>
      <c r="D31" s="455">
        <f>PGL_Supplies!Q7/1000</f>
        <v>0.7</v>
      </c>
      <c r="E31" s="455">
        <f>PGL_Supplies!Q8/1000</f>
        <v>0</v>
      </c>
      <c r="F31" s="455">
        <f>PGL_Supplies!Q9/1000</f>
        <v>0</v>
      </c>
      <c r="G31" s="455">
        <f>PGL_Supplies!Q10/1000</f>
        <v>0</v>
      </c>
      <c r="H31" s="455">
        <f>PGL_Supplies!Q11/1000</f>
        <v>0</v>
      </c>
      <c r="I31" s="456">
        <f>PGL_Supplies!Q12/1000</f>
        <v>0</v>
      </c>
    </row>
    <row r="32" spans="1:10" ht="18.899999999999999" customHeight="1">
      <c r="A32" s="819"/>
      <c r="B32" s="810"/>
      <c r="C32" s="810" t="s">
        <v>742</v>
      </c>
      <c r="D32" s="455">
        <f>PGL_Supplies!R7/1000</f>
        <v>0</v>
      </c>
      <c r="E32" s="455">
        <f>PGL_Supplies!R8/1000</f>
        <v>0</v>
      </c>
      <c r="F32" s="455">
        <f>PGL_Supplies!R9/1000</f>
        <v>0</v>
      </c>
      <c r="G32" s="455">
        <f>PGL_Supplies!R10/1000</f>
        <v>0</v>
      </c>
      <c r="H32" s="455">
        <f>PGL_Supplies!R11/1000</f>
        <v>0</v>
      </c>
      <c r="I32" s="456">
        <f>PGL_Supplies!R12/1000</f>
        <v>0</v>
      </c>
    </row>
    <row r="33" spans="1:10" ht="18.899999999999999" customHeight="1">
      <c r="A33" s="819"/>
      <c r="B33" s="810" t="s">
        <v>135</v>
      </c>
      <c r="C33" s="810" t="s">
        <v>87</v>
      </c>
      <c r="D33" s="455">
        <f>PGL_Supplies!K7/1000</f>
        <v>33.9</v>
      </c>
      <c r="E33" s="455">
        <f>PGL_Supplies!K8/1000</f>
        <v>0</v>
      </c>
      <c r="F33" s="455">
        <f>PGL_Supplies!K9/1000</f>
        <v>0</v>
      </c>
      <c r="G33" s="455">
        <f>PGL_Supplies!K10/1000</f>
        <v>0</v>
      </c>
      <c r="H33" s="455">
        <f>PGL_Supplies!K11/1000</f>
        <v>0</v>
      </c>
      <c r="I33" s="456">
        <f>PGL_Supplies!K12/1000</f>
        <v>0</v>
      </c>
    </row>
    <row r="34" spans="1:10" ht="18.899999999999999" customHeight="1">
      <c r="A34" s="819" t="s">
        <v>764</v>
      </c>
      <c r="B34" s="810"/>
      <c r="C34" s="810"/>
      <c r="D34" s="455">
        <f>PGL_Supplies!M7/1000</f>
        <v>0</v>
      </c>
      <c r="E34" s="455">
        <f>PGL_Supplies!M8/1000</f>
        <v>0</v>
      </c>
      <c r="F34" s="455">
        <f>PGL_Supplies!M9/1000</f>
        <v>0</v>
      </c>
      <c r="G34" s="455">
        <f>PGL_Supplies!M10/1000</f>
        <v>0</v>
      </c>
      <c r="H34" s="455">
        <f>PGL_Supplies!M11/1000</f>
        <v>0</v>
      </c>
      <c r="I34" s="456">
        <f>PGL_Supplies!M12/1000</f>
        <v>0</v>
      </c>
    </row>
    <row r="35" spans="1:10" ht="18.899999999999999" customHeight="1">
      <c r="A35" s="822" t="s">
        <v>643</v>
      </c>
      <c r="B35" s="810"/>
      <c r="C35" s="810"/>
      <c r="D35" s="455">
        <f>PGL_Supplies!T7/1000</f>
        <v>0</v>
      </c>
      <c r="E35" s="455">
        <f>PGL_Supplies!T8/1000</f>
        <v>0</v>
      </c>
      <c r="F35" s="455">
        <f>PGL_Supplies!T9/1000</f>
        <v>0</v>
      </c>
      <c r="G35" s="455">
        <f>PGL_Supplies!T10/1000</f>
        <v>0</v>
      </c>
      <c r="H35" s="455">
        <f>PGL_Supplies!T11/1000</f>
        <v>0</v>
      </c>
      <c r="I35" s="456">
        <f>PGL_Supplies!T12/1000</f>
        <v>0</v>
      </c>
    </row>
    <row r="36" spans="1:10" ht="18.899999999999999" customHeight="1">
      <c r="A36" s="822" t="s">
        <v>739</v>
      </c>
      <c r="B36" s="810" t="s">
        <v>385</v>
      </c>
      <c r="C36" s="810"/>
      <c r="D36" s="455">
        <f>PGL_Supplies!S7/1000*0.75</f>
        <v>60</v>
      </c>
      <c r="E36" s="455">
        <f>PGL_Supplies!S8/1000*0.666</f>
        <v>49.95</v>
      </c>
      <c r="F36" s="455">
        <f>PGL_Supplies!S9/1000*0.667</f>
        <v>0</v>
      </c>
      <c r="G36" s="455">
        <f>PGL_Supplies!S10/1000*0.5</f>
        <v>0</v>
      </c>
      <c r="H36" s="455">
        <f>PGL_Supplies!S11/1000*0.5</f>
        <v>0</v>
      </c>
      <c r="I36" s="456">
        <f>PGL_Supplies!S12/1000*0.5</f>
        <v>0</v>
      </c>
    </row>
    <row r="37" spans="1:10" ht="18.899999999999999" customHeight="1">
      <c r="A37" s="836" t="s">
        <v>681</v>
      </c>
      <c r="B37" s="810" t="s">
        <v>665</v>
      </c>
      <c r="C37" s="810"/>
      <c r="D37" s="455">
        <f>PGL_Supplies!X7/1000</f>
        <v>101.842</v>
      </c>
      <c r="E37" s="455">
        <f>PGL_Supplies!X8/1000</f>
        <v>97.825999999999993</v>
      </c>
      <c r="F37" s="455">
        <f>PGL_Supplies!X9/1000</f>
        <v>97.825999999999993</v>
      </c>
      <c r="G37" s="455">
        <f>PGL_Supplies!X10/1000</f>
        <v>97.825999999999993</v>
      </c>
      <c r="H37" s="455">
        <f>PGL_Supplies!X11/1000</f>
        <v>97.825999999999993</v>
      </c>
      <c r="I37" s="456">
        <f>PGL_Supplies!X12/1000</f>
        <v>97.825999999999993</v>
      </c>
    </row>
    <row r="38" spans="1:10" ht="18.899999999999999" customHeight="1">
      <c r="A38" s="822"/>
      <c r="B38" s="810" t="s">
        <v>137</v>
      </c>
      <c r="C38" s="823"/>
      <c r="D38" s="455">
        <f>PGL_Supplies!Y7/1000</f>
        <v>10.417999999999999</v>
      </c>
      <c r="E38" s="455">
        <f>PGL_Supplies!Y8/1000</f>
        <v>10.417999999999999</v>
      </c>
      <c r="F38" s="455">
        <f>PGL_Supplies!Y9/1000</f>
        <v>10.417999999999999</v>
      </c>
      <c r="G38" s="455">
        <f>PGL_Supplies!Y10/1000</f>
        <v>10.417999999999999</v>
      </c>
      <c r="H38" s="455">
        <f>PGL_Supplies!Y11/1000</f>
        <v>10.417999999999999</v>
      </c>
      <c r="I38" s="456">
        <f>PGL_Supplies!Y12/1000</f>
        <v>10.417999999999999</v>
      </c>
    </row>
    <row r="39" spans="1:10" ht="18.899999999999999" customHeight="1">
      <c r="A39" s="822"/>
      <c r="B39" s="810" t="s">
        <v>140</v>
      </c>
      <c r="C39" s="823"/>
      <c r="D39" s="455">
        <f>PGL_Supplies!Z7/1000</f>
        <v>0</v>
      </c>
      <c r="E39" s="455">
        <f>PGL_Supplies!Z8/1000</f>
        <v>0</v>
      </c>
      <c r="F39" s="455">
        <f>PGL_Supplies!Z9/1000</f>
        <v>0</v>
      </c>
      <c r="G39" s="455">
        <f>PGL_Supplies!Z10/1000</f>
        <v>0</v>
      </c>
      <c r="H39" s="455">
        <f>PGL_Supplies!Z11/1000</f>
        <v>0</v>
      </c>
      <c r="I39" s="456">
        <f>PGL_Supplies!Z12/1000</f>
        <v>0</v>
      </c>
    </row>
    <row r="40" spans="1:10" ht="18.899999999999999" customHeight="1">
      <c r="A40" s="822"/>
      <c r="B40" s="810" t="s">
        <v>385</v>
      </c>
      <c r="C40" s="823"/>
      <c r="D40" s="455">
        <f>PGL_Supplies!AA7/1000</f>
        <v>246.464</v>
      </c>
      <c r="E40" s="455">
        <f>PGL_Supplies!AA8/1000</f>
        <v>258.90600000000001</v>
      </c>
      <c r="F40" s="455">
        <f>PGL_Supplies!AA9/1000</f>
        <v>258.90600000000001</v>
      </c>
      <c r="G40" s="455">
        <f>PGL_Supplies!AA10/1000</f>
        <v>258.90600000000001</v>
      </c>
      <c r="H40" s="455">
        <f>PGL_Supplies!AA11/1000</f>
        <v>258.90600000000001</v>
      </c>
      <c r="I40" s="456">
        <f>PGL_Supplies!AA12/1000</f>
        <v>258.90600000000001</v>
      </c>
    </row>
    <row r="41" spans="1:10" ht="18.899999999999999" customHeight="1">
      <c r="A41" s="822"/>
      <c r="B41" s="810" t="s">
        <v>135</v>
      </c>
      <c r="C41" s="810"/>
      <c r="D41" s="455">
        <f>PGL_Supplies!AB7/1000</f>
        <v>47.604999999999997</v>
      </c>
      <c r="E41" s="455">
        <f>PGL_Supplies!AB8/1000</f>
        <v>56.156999999999996</v>
      </c>
      <c r="F41" s="455">
        <f>PGL_Supplies!AB9/1000</f>
        <v>56.156999999999996</v>
      </c>
      <c r="G41" s="455">
        <f>PGL_Supplies!AB10/1000</f>
        <v>56.156999999999996</v>
      </c>
      <c r="H41" s="455">
        <f>PGL_Supplies!AB11/1000</f>
        <v>56.156999999999996</v>
      </c>
      <c r="I41" s="456">
        <f>PGL_Supplies!AB12/1000</f>
        <v>56.156999999999996</v>
      </c>
    </row>
    <row r="42" spans="1:10" ht="18.899999999999999" customHeight="1">
      <c r="A42" s="822"/>
      <c r="B42" s="810" t="s">
        <v>136</v>
      </c>
      <c r="C42" s="810"/>
      <c r="D42" s="455">
        <f>PGL_Supplies!AC7/1000</f>
        <v>37.499000000000002</v>
      </c>
      <c r="E42" s="455">
        <f>PGL_Supplies!AC8/1000</f>
        <v>27.498999999999999</v>
      </c>
      <c r="F42" s="455">
        <f>PGL_Supplies!AC9/1000</f>
        <v>27.498999999999999</v>
      </c>
      <c r="G42" s="455">
        <f>PGL_Supplies!AC10/1000</f>
        <v>27.498999999999999</v>
      </c>
      <c r="H42" s="455">
        <f>PGL_Supplies!AC11/1000</f>
        <v>27.498999999999999</v>
      </c>
      <c r="I42" s="456">
        <f>PGL_Supplies!AC12/1000</f>
        <v>27.498999999999999</v>
      </c>
    </row>
    <row r="43" spans="1:10" ht="18.899999999999999" customHeight="1">
      <c r="A43" s="836"/>
      <c r="B43" s="810" t="s">
        <v>147</v>
      </c>
      <c r="C43" s="810"/>
      <c r="D43" s="455">
        <f>PGL_Supplies!H7/1000</f>
        <v>20</v>
      </c>
      <c r="E43" s="455">
        <f>PGL_Supplies!H8/1000</f>
        <v>20</v>
      </c>
      <c r="F43" s="455">
        <f>PGL_Supplies!H9/1000</f>
        <v>20</v>
      </c>
      <c r="G43" s="455">
        <f>PGL_Supplies!H10/1000</f>
        <v>20</v>
      </c>
      <c r="H43" s="455">
        <f>PGL_Supplies!H11/1000</f>
        <v>20</v>
      </c>
      <c r="I43" s="456">
        <f>PGL_Supplies!H12/1000</f>
        <v>20</v>
      </c>
      <c r="J43" s="111" t="s">
        <v>9</v>
      </c>
    </row>
    <row r="44" spans="1:10" ht="18.899999999999999" customHeight="1">
      <c r="A44" s="819"/>
      <c r="B44" s="810" t="s">
        <v>148</v>
      </c>
      <c r="C44" s="810"/>
      <c r="D44" s="455">
        <f>PGL_Supplies!J7/1000</f>
        <v>0</v>
      </c>
      <c r="E44" s="455">
        <f>PGL_Supplies!J8/1000</f>
        <v>0</v>
      </c>
      <c r="F44" s="455">
        <f>PGL_Supplies!J9/1000</f>
        <v>0</v>
      </c>
      <c r="G44" s="455">
        <f>PGL_Supplies!J10/1000</f>
        <v>0</v>
      </c>
      <c r="H44" s="455">
        <f>PGL_Supplies!J11/1000</f>
        <v>0</v>
      </c>
      <c r="I44" s="456">
        <f>PGL_Supplies!J12/1000</f>
        <v>0</v>
      </c>
    </row>
    <row r="45" spans="1:10" ht="18.899999999999999" customHeight="1">
      <c r="A45" s="822" t="s">
        <v>692</v>
      </c>
      <c r="B45" s="810"/>
      <c r="C45" s="810"/>
      <c r="D45" s="455">
        <f>PGL_Supplies!B7/1000</f>
        <v>0</v>
      </c>
      <c r="E45" s="455">
        <f>PGL_Supplies!B8/1000</f>
        <v>0</v>
      </c>
      <c r="F45" s="455">
        <f>PGL_Supplies!B9/1000</f>
        <v>0</v>
      </c>
      <c r="G45" s="455">
        <f>PGL_Supplies!B10/1000</f>
        <v>0</v>
      </c>
      <c r="H45" s="455">
        <f>PGL_Supplies!B11/1000</f>
        <v>0</v>
      </c>
      <c r="I45" s="456">
        <f>PGL_Supplies!B12/1000</f>
        <v>0</v>
      </c>
    </row>
    <row r="46" spans="1:10" ht="18.899999999999999" customHeight="1">
      <c r="A46" s="819" t="s">
        <v>673</v>
      </c>
      <c r="B46" s="810" t="s">
        <v>665</v>
      </c>
      <c r="C46" s="810"/>
      <c r="D46" s="455">
        <f>PGL_Supplies!W7/1000</f>
        <v>0</v>
      </c>
      <c r="E46" s="455">
        <f>PGL_Supplies!W8/1000</f>
        <v>0</v>
      </c>
      <c r="F46" s="455">
        <f>PGL_Supplies!W9/1000</f>
        <v>0</v>
      </c>
      <c r="G46" s="455">
        <f>PGL_Supplies!W10/1000</f>
        <v>0</v>
      </c>
      <c r="H46" s="455">
        <f>PGL_Supplies!W11/1000</f>
        <v>0</v>
      </c>
      <c r="I46" s="456">
        <f>PGL_Supplies!W12/1000</f>
        <v>0</v>
      </c>
    </row>
    <row r="47" spans="1:10" ht="18.899999999999999" customHeight="1">
      <c r="A47" s="819"/>
      <c r="B47" s="824" t="s">
        <v>140</v>
      </c>
      <c r="C47" s="810"/>
      <c r="D47" s="455">
        <f>PGL_Supplies!C7/1000</f>
        <v>0</v>
      </c>
      <c r="E47" s="455">
        <f>PGL_Supplies!C8/1000</f>
        <v>0</v>
      </c>
      <c r="F47" s="455">
        <f>PGL_Supplies!C9/1000</f>
        <v>0</v>
      </c>
      <c r="G47" s="455">
        <f>PGL_Supplies!C10/1000</f>
        <v>0</v>
      </c>
      <c r="H47" s="455">
        <f>PGL_Supplies!C11/1000</f>
        <v>0</v>
      </c>
      <c r="I47" s="456">
        <f>PGL_Supplies!C12/1000</f>
        <v>0</v>
      </c>
    </row>
    <row r="48" spans="1:10" ht="18.899999999999999" customHeight="1">
      <c r="A48" s="819"/>
      <c r="B48" s="810" t="s">
        <v>385</v>
      </c>
      <c r="C48" s="810"/>
      <c r="D48" s="455">
        <f>PGL_Supplies!D7/1000</f>
        <v>0</v>
      </c>
      <c r="E48" s="455">
        <f>PGL_Supplies!D8/1000</f>
        <v>0</v>
      </c>
      <c r="F48" s="455">
        <f>PGL_Supplies!D9/1000</f>
        <v>0</v>
      </c>
      <c r="G48" s="455">
        <f>PGL_Supplies!D10/1000</f>
        <v>0</v>
      </c>
      <c r="H48" s="455">
        <f>PGL_Supplies!D11/1000</f>
        <v>0</v>
      </c>
      <c r="I48" s="456">
        <f>PGL_Supplies!D12/1000</f>
        <v>0</v>
      </c>
    </row>
    <row r="49" spans="1:9" ht="18.899999999999999" customHeight="1">
      <c r="A49" s="837"/>
      <c r="B49" s="838" t="s">
        <v>136</v>
      </c>
      <c r="C49" s="838"/>
      <c r="D49" s="457">
        <f>PGL_Supplies!F7/1000</f>
        <v>4.5999999999999996</v>
      </c>
      <c r="E49" s="457">
        <f>PGL_Supplies!F8/1000</f>
        <v>0</v>
      </c>
      <c r="F49" s="457">
        <f>PGL_Supplies!F9/1000</f>
        <v>0</v>
      </c>
      <c r="G49" s="457">
        <f>PGL_Supplies!F10/1000</f>
        <v>0</v>
      </c>
      <c r="H49" s="457">
        <f>PGL_Supplies!F11/1000</f>
        <v>0</v>
      </c>
      <c r="I49" s="458">
        <f>PGL_Supplies!F12/1000</f>
        <v>0</v>
      </c>
    </row>
    <row r="50" spans="1:9" ht="18.899999999999999" customHeight="1" thickBot="1">
      <c r="A50" s="839" t="s">
        <v>149</v>
      </c>
      <c r="B50" s="840"/>
      <c r="C50" s="840"/>
      <c r="D50" s="465">
        <f t="shared" ref="D50:I50" si="2">SUM(D28:D49)</f>
        <v>564.02800000000002</v>
      </c>
      <c r="E50" s="465">
        <f t="shared" si="2"/>
        <v>521.75600000000009</v>
      </c>
      <c r="F50" s="465">
        <f t="shared" si="2"/>
        <v>471.80599999999998</v>
      </c>
      <c r="G50" s="465">
        <f t="shared" si="2"/>
        <v>471.80599999999998</v>
      </c>
      <c r="H50" s="465">
        <f t="shared" si="2"/>
        <v>471.80599999999998</v>
      </c>
      <c r="I50" s="1069">
        <f t="shared" si="2"/>
        <v>471.80599999999998</v>
      </c>
    </row>
    <row r="51" spans="1:9" ht="18.899999999999999" customHeight="1">
      <c r="A51" s="841" t="s">
        <v>150</v>
      </c>
      <c r="B51" s="842"/>
      <c r="C51" s="842"/>
      <c r="D51" s="466">
        <f t="shared" ref="D51:I51" si="3">IF(D50-D25&lt;0,0,D50-D25)</f>
        <v>9.9999999997635314E-4</v>
      </c>
      <c r="E51" s="466">
        <f t="shared" si="3"/>
        <v>48.946000000000083</v>
      </c>
      <c r="F51" s="466">
        <f t="shared" si="3"/>
        <v>147.54599999999999</v>
      </c>
      <c r="G51" s="466">
        <f t="shared" si="3"/>
        <v>157.54599999999999</v>
      </c>
      <c r="H51" s="466">
        <f t="shared" si="3"/>
        <v>147.54599999999999</v>
      </c>
      <c r="I51" s="1070">
        <f t="shared" si="3"/>
        <v>147.54599999999999</v>
      </c>
    </row>
    <row r="52" spans="1:9" ht="18.899999999999999" customHeight="1" thickBot="1">
      <c r="A52" s="843" t="s">
        <v>151</v>
      </c>
      <c r="B52" s="828"/>
      <c r="C52" s="844"/>
      <c r="D52" s="467">
        <f t="shared" ref="D52:I52" si="4">IF(D25-D50&lt;0,0,D25-D50)</f>
        <v>0</v>
      </c>
      <c r="E52" s="467">
        <f t="shared" si="4"/>
        <v>0</v>
      </c>
      <c r="F52" s="467">
        <f t="shared" si="4"/>
        <v>0</v>
      </c>
      <c r="G52" s="467">
        <f t="shared" si="4"/>
        <v>0</v>
      </c>
      <c r="H52" s="467">
        <f t="shared" si="4"/>
        <v>0</v>
      </c>
      <c r="I52" s="1071">
        <f t="shared" si="4"/>
        <v>0</v>
      </c>
    </row>
    <row r="53" spans="1:9" ht="18.899999999999999" customHeight="1" thickTop="1" thickBot="1">
      <c r="A53" s="1058" t="s">
        <v>683</v>
      </c>
      <c r="B53" s="1059"/>
      <c r="C53" s="1059"/>
      <c r="D53" s="1060">
        <f>PGL_Supplies!U7/1000</f>
        <v>128.71299999999999</v>
      </c>
      <c r="E53" s="1060">
        <f>PGL_Supplies!U8/1000</f>
        <v>128.71299999999999</v>
      </c>
      <c r="F53" s="1060">
        <f>PGL_Supplies!U9/1000</f>
        <v>128.71299999999999</v>
      </c>
      <c r="G53" s="1060">
        <f>PGL_Supplies!U10/1000</f>
        <v>128.71299999999999</v>
      </c>
      <c r="H53" s="1060">
        <f>PGL_Supplies!U11/1000</f>
        <v>128.71299999999999</v>
      </c>
      <c r="I53" s="1061">
        <f>PGL_Supplies!U12/1000</f>
        <v>128.71299999999999</v>
      </c>
    </row>
    <row r="54" spans="1:9" ht="18.899999999999999" customHeight="1" thickTop="1"/>
    <row r="56" spans="1:9">
      <c r="C56" s="111" t="s">
        <v>700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2001-08-01T18:58:58Z</cp:lastPrinted>
  <dcterms:created xsi:type="dcterms:W3CDTF">1997-07-16T16:14:22Z</dcterms:created>
  <dcterms:modified xsi:type="dcterms:W3CDTF">2023-09-10T11:13:17Z</dcterms:modified>
</cp:coreProperties>
</file>