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3288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PGL_Requirements!$J$8:$AD$12</definedName>
    <definedName name="PGL_Noms">PGL_Requirements!$A$7:$Y$12</definedName>
    <definedName name="PGL_Sendout_Input">PGL_Deliveries!$C$6:$C$10</definedName>
    <definedName name="PGL_Sendouts">PGL_Deliveries!$A$5:$S$10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NSG_Supplies!$A$3:$R$12</definedName>
    <definedName name="_xlnm.Print_Area" localSheetId="4">PGL_Requirements!$H$3:$AI$12</definedName>
    <definedName name="_xlnm.Print_Area" localSheetId="5">PGL_Supplies!$S$3:$AE$12</definedName>
    <definedName name="_xlnm.Print_Area" localSheetId="1">Weather_Input!$A$2:$H$5</definedName>
    <definedName name="Print_Area_MI">NSG_6_Day_Report!$A$1:$A$22</definedName>
    <definedName name="Six_day_NSG_PRANGE">NSG_6_Day_Report!$A$1:$I$26</definedName>
    <definedName name="Six_Day_PGL_PRANGE">PGL_6_Day_Report!$A$1:$I$53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NSG_6_Day_Report!$A$1:$I$20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NSG_Supplies!$A$3:$R$12</definedName>
    <definedName name="Z_66C35B70_1DF5_11D4_B46C_0004ACEC7D4A_.wvu.PrintArea" localSheetId="4" hidden="1">PGL_Requirements!$H$3:$AI$12</definedName>
    <definedName name="Z_66C35B70_1DF5_11D4_B46C_0004ACEC7D4A_.wvu.PrintArea" localSheetId="5" hidden="1">PGL_Supplies!$S$3:$AE$12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B4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B16" i="18"/>
  <c r="C16" i="18"/>
  <c r="D16" i="18"/>
  <c r="G16" i="18"/>
  <c r="I16" i="18"/>
  <c r="C17" i="18"/>
  <c r="G17" i="18"/>
  <c r="I17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H9" i="34"/>
  <c r="L9" i="34"/>
  <c r="A11" i="34"/>
  <c r="H11" i="34"/>
  <c r="L11" i="34"/>
  <c r="A13" i="34"/>
  <c r="K17" i="34"/>
  <c r="A20" i="34"/>
  <c r="A23" i="34"/>
  <c r="G24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6" i="10"/>
  <c r="E26" i="10"/>
  <c r="F26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F19" i="21"/>
  <c r="F20" i="21"/>
  <c r="E21" i="21"/>
  <c r="E22" i="21"/>
  <c r="E23" i="21"/>
  <c r="E24" i="21"/>
  <c r="E25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C24" i="12"/>
  <c r="C25" i="12"/>
  <c r="E25" i="12"/>
  <c r="G25" i="12"/>
  <c r="I25" i="12"/>
  <c r="C27" i="12"/>
  <c r="E27" i="12"/>
  <c r="G27" i="12"/>
  <c r="I27" i="12"/>
  <c r="B29" i="12"/>
  <c r="B30" i="12"/>
  <c r="B31" i="12"/>
  <c r="B32" i="12"/>
  <c r="B33" i="12"/>
  <c r="B34" i="12"/>
  <c r="B35" i="12"/>
  <c r="B36" i="12"/>
  <c r="B37" i="12"/>
  <c r="B40" i="12"/>
  <c r="B41" i="12"/>
  <c r="B44" i="12"/>
  <c r="B45" i="12"/>
  <c r="B47" i="12"/>
  <c r="B48" i="12"/>
  <c r="B49" i="12"/>
  <c r="B50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U7" i="8"/>
  <c r="A8" i="8"/>
  <c r="U8" i="8"/>
  <c r="A9" i="8"/>
  <c r="U9" i="8"/>
  <c r="A10" i="8"/>
  <c r="U10" i="8"/>
  <c r="A11" i="8"/>
  <c r="U11" i="8"/>
  <c r="A12" i="8"/>
  <c r="U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9" i="9"/>
  <c r="E9" i="9"/>
  <c r="F9" i="9"/>
  <c r="G9" i="9"/>
  <c r="H9" i="9"/>
  <c r="I9" i="9"/>
  <c r="D10" i="9"/>
  <c r="E10" i="9"/>
  <c r="F10" i="9"/>
  <c r="G10" i="9"/>
  <c r="H10" i="9"/>
  <c r="I10" i="9"/>
  <c r="D11" i="9"/>
  <c r="E11" i="9"/>
  <c r="F11" i="9"/>
  <c r="G11" i="9"/>
  <c r="H11" i="9"/>
  <c r="I11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7" i="9"/>
  <c r="E17" i="9"/>
  <c r="F17" i="9"/>
  <c r="G17" i="9"/>
  <c r="H17" i="9"/>
  <c r="I17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A5" i="3"/>
  <c r="B5" i="3"/>
  <c r="U5" i="3"/>
  <c r="AW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E5" i="20"/>
  <c r="B6" i="20"/>
  <c r="E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C16" i="20"/>
  <c r="E16" i="20"/>
  <c r="B17" i="20"/>
  <c r="E17" i="20"/>
  <c r="B18" i="20"/>
  <c r="E18" i="20"/>
  <c r="B19" i="20"/>
  <c r="E19" i="20"/>
  <c r="B20" i="20"/>
  <c r="E20" i="20"/>
  <c r="C21" i="20"/>
  <c r="E21" i="20"/>
  <c r="B22" i="20"/>
  <c r="E22" i="20"/>
  <c r="B23" i="20"/>
  <c r="F23" i="20"/>
  <c r="C24" i="20"/>
  <c r="B25" i="20"/>
  <c r="F25" i="20"/>
  <c r="B27" i="20"/>
  <c r="F27" i="20"/>
  <c r="E28" i="20"/>
  <c r="B29" i="20"/>
  <c r="E29" i="20"/>
  <c r="B30" i="20"/>
  <c r="E30" i="20"/>
  <c r="B32" i="20"/>
  <c r="E32" i="20"/>
  <c r="B33" i="20"/>
  <c r="E33" i="20"/>
  <c r="C34" i="20"/>
  <c r="C35" i="20"/>
  <c r="C36" i="20"/>
  <c r="B37" i="20"/>
  <c r="C38" i="20"/>
  <c r="B39" i="20"/>
  <c r="E39" i="20"/>
  <c r="B40" i="20"/>
  <c r="F40" i="20"/>
  <c r="B41" i="20"/>
  <c r="E41" i="20"/>
  <c r="B42" i="20"/>
  <c r="C42" i="20"/>
  <c r="E42" i="20"/>
  <c r="B43" i="20"/>
  <c r="F43" i="20"/>
  <c r="C44" i="20"/>
  <c r="E44" i="20"/>
  <c r="B45" i="20"/>
  <c r="E45" i="20"/>
  <c r="B46" i="20"/>
  <c r="F46" i="20"/>
  <c r="B47" i="20"/>
  <c r="F47" i="20"/>
  <c r="B48" i="20"/>
  <c r="E48" i="20"/>
  <c r="B49" i="20"/>
  <c r="E49" i="20"/>
  <c r="E50" i="20"/>
  <c r="M1" i="11"/>
  <c r="N1" i="11"/>
  <c r="B2" i="11"/>
  <c r="B3" i="11"/>
  <c r="F3" i="11"/>
  <c r="J3" i="11"/>
  <c r="K3" i="11"/>
  <c r="B5" i="11"/>
  <c r="F5" i="11"/>
  <c r="K5" i="11"/>
  <c r="B6" i="11"/>
  <c r="K6" i="11"/>
  <c r="F7" i="11"/>
  <c r="B8" i="11"/>
  <c r="F8" i="11"/>
  <c r="K8" i="11"/>
  <c r="B9" i="11"/>
  <c r="F9" i="11"/>
  <c r="K9" i="11"/>
  <c r="B10" i="11"/>
  <c r="F10" i="11"/>
  <c r="K10" i="11"/>
  <c r="B11" i="11"/>
  <c r="F11" i="11"/>
  <c r="K11" i="11"/>
  <c r="K12" i="11"/>
  <c r="B13" i="11"/>
  <c r="K13" i="11"/>
  <c r="B14" i="11"/>
  <c r="K14" i="11"/>
  <c r="B15" i="11"/>
  <c r="K15" i="11"/>
  <c r="B16" i="11"/>
  <c r="K16" i="11"/>
  <c r="B17" i="11"/>
  <c r="F17" i="11"/>
  <c r="K17" i="11"/>
  <c r="B18" i="11"/>
  <c r="K18" i="11"/>
  <c r="B19" i="11"/>
  <c r="F19" i="11"/>
  <c r="K19" i="11"/>
  <c r="K20" i="11"/>
  <c r="B22" i="11"/>
  <c r="K22" i="11"/>
  <c r="K23" i="11"/>
  <c r="B24" i="11"/>
  <c r="F24" i="11"/>
  <c r="B25" i="11"/>
  <c r="K25" i="11"/>
  <c r="B26" i="11"/>
  <c r="K26" i="11"/>
  <c r="B27" i="11"/>
  <c r="K27" i="11"/>
  <c r="B28" i="11"/>
  <c r="K28" i="11"/>
  <c r="K29" i="11"/>
  <c r="B30" i="11"/>
  <c r="K30" i="11"/>
  <c r="M30" i="11"/>
  <c r="O30" i="11"/>
  <c r="B31" i="11"/>
  <c r="B32" i="11"/>
  <c r="B33" i="11"/>
  <c r="B34" i="11"/>
  <c r="B36" i="11"/>
  <c r="B37" i="11"/>
  <c r="B38" i="11"/>
  <c r="B39" i="11"/>
  <c r="A7" i="5"/>
  <c r="P7" i="5"/>
  <c r="AI7" i="5"/>
  <c r="A8" i="5"/>
  <c r="P8" i="5"/>
  <c r="AI8" i="5"/>
  <c r="A9" i="5"/>
  <c r="P9" i="5"/>
  <c r="AI9" i="5"/>
  <c r="A10" i="5"/>
  <c r="P10" i="5"/>
  <c r="AI10" i="5"/>
  <c r="A11" i="5"/>
  <c r="P11" i="5"/>
  <c r="AI11" i="5"/>
  <c r="A12" i="5"/>
  <c r="P12" i="5"/>
  <c r="AI12" i="5"/>
  <c r="A7" i="6"/>
  <c r="AE7" i="6"/>
  <c r="A8" i="6"/>
  <c r="AE8" i="6"/>
  <c r="A9" i="6"/>
  <c r="AE9" i="6"/>
  <c r="A10" i="6"/>
  <c r="AE10" i="6"/>
  <c r="A11" i="6"/>
  <c r="AE11" i="6"/>
  <c r="A12" i="6"/>
  <c r="AE12" i="6"/>
  <c r="C6" i="33"/>
  <c r="C10" i="33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  <c r="N10" i="2"/>
</calcChain>
</file>

<file path=xl/sharedStrings.xml><?xml version="1.0" encoding="utf-8"?>
<sst xmlns="http://schemas.openxmlformats.org/spreadsheetml/2006/main" count="2070" uniqueCount="818">
  <si>
    <t>Peoples Gas 6-day nomination Report</t>
  </si>
  <si>
    <t>Oani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</si>
  <si>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</si>
  <si>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</si>
  <si>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</si>
  <si>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</si>
  <si>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</si>
  <si>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</si>
  <si>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</si>
  <si>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</si>
  <si>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</si>
  <si>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</si>
  <si>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</si>
  <si>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</si>
  <si>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</si>
  <si>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</si>
  <si>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</si>
  <si>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</si>
  <si>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</si>
  <si>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</si>
  <si>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</si>
  <si>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</si>
  <si>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</si>
  <si>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</si>
  <si>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</si>
  <si>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</si>
  <si>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</si>
  <si>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</si>
  <si>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</si>
  <si>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</si>
  <si>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</si>
  <si>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</si>
  <si>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</si>
  <si>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</si>
  <si>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</si>
  <si>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</si>
  <si>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</si>
  <si>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</si>
  <si>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</si>
  <si>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</si>
  <si>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</si>
  <si>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</si>
  <si>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</si>
  <si>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</si>
  <si>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</si>
  <si>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</si>
  <si>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</si>
  <si>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</si>
  <si>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</si>
  <si>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</si>
  <si>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</si>
  <si>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</si>
  <si>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</si>
  <si>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</si>
  <si>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</si>
  <si>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</si>
  <si>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</si>
  <si>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</si>
  <si>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</si>
  <si>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</si>
  <si>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</si>
  <si>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</si>
  <si>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</si>
  <si>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</si>
  <si>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</si>
  <si>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</si>
  <si>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</si>
  <si>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</si>
  <si>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</si>
  <si>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</si>
  <si>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</si>
  <si>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</si>
  <si>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</si>
  <si>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</si>
  <si>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</si>
  <si>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</si>
  <si>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</si>
  <si>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</si>
  <si>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</si>
  <si>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</si>
  <si>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</si>
  <si>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</si>
  <si>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</si>
  <si>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</si>
  <si>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</si>
  <si>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</si>
  <si>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Off-System Sales</t>
  </si>
  <si>
    <t>No-Notice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</si>
  <si>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</si>
  <si>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</si>
  <si>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</si>
  <si>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</si>
  <si>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</si>
  <si>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</si>
  <si>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</si>
  <si>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</si>
  <si>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</si>
  <si>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</si>
  <si>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</si>
  <si>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</si>
  <si>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</si>
  <si>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</si>
  <si>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</si>
  <si>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</si>
  <si>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</si>
  <si>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</si>
  <si>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</si>
  <si>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</si>
  <si>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</si>
  <si>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</si>
  <si>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</si>
  <si>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</si>
  <si>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</si>
  <si>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</si>
  <si>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</si>
  <si>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</si>
  <si>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</si>
  <si>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</si>
  <si>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</si>
  <si>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</si>
  <si>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</si>
  <si>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</si>
  <si>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</si>
  <si>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</si>
  <si>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</si>
  <si>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</si>
  <si>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</si>
  <si>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</si>
  <si>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</si>
  <si>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</si>
  <si>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</si>
  <si>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</si>
  <si>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</si>
  <si>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</si>
  <si>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</si>
  <si>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NGPL:</t>
  </si>
  <si>
    <t>TGC:</t>
  </si>
  <si>
    <t>ANR:</t>
  </si>
  <si>
    <t>Injection:</t>
  </si>
  <si>
    <t>PGL:</t>
  </si>
  <si>
    <t>MGT: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</si>
  <si>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</si>
  <si>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</si>
  <si>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</si>
  <si>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</si>
  <si>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</si>
  <si>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</si>
  <si>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</si>
  <si>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</si>
  <si>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</si>
  <si>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</si>
  <si>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</si>
  <si>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</si>
  <si>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</si>
  <si>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</si>
  <si>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</si>
  <si>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Flowing Supply: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</si>
  <si>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</si>
  <si>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</si>
  <si>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</si>
  <si>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</si>
  <si>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</si>
  <si>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</si>
  <si>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</si>
  <si>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</si>
  <si>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</si>
  <si>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</si>
  <si>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</si>
  <si>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</si>
  <si>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</si>
  <si>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</si>
  <si>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</si>
  <si>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</si>
  <si>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</si>
  <si>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</si>
  <si>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</si>
  <si>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</si>
  <si>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</si>
  <si>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</si>
  <si>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</si>
  <si>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</si>
  <si>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</si>
  <si>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</si>
  <si>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</si>
  <si>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</si>
  <si>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</si>
  <si>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</si>
  <si>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</si>
  <si>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</si>
  <si>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</si>
  <si>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</si>
  <si>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</si>
  <si>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</si>
  <si>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</si>
  <si>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</si>
  <si>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</si>
  <si>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</si>
  <si>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</si>
  <si>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</si>
  <si>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</si>
  <si>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</si>
  <si>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</si>
  <si>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</si>
  <si>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</si>
  <si>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</si>
  <si>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</si>
  <si>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</si>
  <si>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</si>
  <si>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</si>
  <si>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</si>
  <si>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</si>
  <si>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</si>
  <si>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</si>
  <si>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</si>
  <si>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</si>
  <si>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</si>
  <si>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</si>
  <si>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</si>
  <si>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</si>
  <si>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</si>
  <si>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</si>
  <si>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</si>
  <si>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</si>
  <si>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</si>
  <si>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</si>
  <si>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</si>
  <si>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</si>
  <si>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</si>
  <si>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</si>
  <si>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</si>
  <si>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</si>
  <si>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</si>
  <si>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</si>
  <si>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</si>
  <si>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</si>
  <si>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</si>
  <si>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</si>
  <si>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</si>
  <si>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</si>
  <si>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</si>
  <si>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</si>
  <si>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</si>
  <si>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</si>
  <si>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</si>
  <si>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</si>
  <si>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</si>
  <si>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</si>
  <si>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</si>
  <si>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</si>
  <si>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</si>
  <si>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</si>
  <si>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</si>
  <si>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</si>
  <si>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</si>
  <si>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</si>
  <si>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</si>
  <si>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</si>
  <si>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</si>
  <si>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</si>
  <si>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</si>
  <si>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</si>
  <si>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</si>
  <si>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</si>
  <si>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</si>
  <si>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</si>
  <si>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</si>
  <si>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</si>
  <si>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</si>
  <si>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</si>
  <si>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</si>
  <si>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</si>
  <si>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</si>
  <si>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</si>
  <si>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</si>
  <si>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</si>
  <si>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</si>
  <si>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</si>
  <si>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</si>
  <si>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</si>
  <si>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</si>
  <si>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</si>
  <si>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</si>
  <si>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</si>
  <si>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</si>
  <si>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</si>
  <si>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</si>
  <si>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</si>
  <si>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</si>
  <si>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</si>
  <si>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</si>
  <si>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</si>
  <si>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</si>
  <si>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</si>
  <si>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</si>
  <si>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</si>
  <si>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</si>
  <si>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</si>
  <si>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</si>
  <si>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</si>
  <si>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</si>
  <si>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</si>
  <si>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</si>
  <si>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</si>
  <si>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</si>
  <si>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</si>
  <si>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</si>
  <si>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</si>
  <si>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</si>
  <si>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</si>
  <si>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</si>
  <si>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</si>
  <si>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</si>
  <si>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</si>
  <si>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</si>
  <si>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</si>
  <si>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</si>
  <si>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</si>
  <si>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</si>
  <si>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</si>
  <si>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</si>
  <si>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</si>
  <si>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</si>
  <si>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</si>
  <si>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</si>
  <si>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</si>
  <si>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</si>
  <si>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</si>
  <si>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</si>
  <si>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ANR-50 INJECTION</t>
  </si>
  <si>
    <t>ANR-50 W\DRAWAL @ BUSSE  RD.</t>
  </si>
  <si>
    <t>ANR-50 PGL W/D @ BUSSE RD.</t>
  </si>
  <si>
    <t>ANR SYSTEM SUPPLY @ E. JOLIET</t>
  </si>
  <si>
    <t>PGL-NSG ANR-ANR DISPLACEMENT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</si>
  <si>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</si>
  <si>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</si>
  <si>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</si>
  <si>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</si>
  <si>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</si>
  <si>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</si>
  <si>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</si>
  <si>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</si>
  <si>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</si>
  <si>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</si>
  <si>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</si>
  <si>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</si>
  <si>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</si>
  <si>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</si>
  <si>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</si>
  <si>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</si>
  <si>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</si>
  <si>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</si>
  <si>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</si>
  <si>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NEW DAY NOMINATIONS/DELIVERIES</t>
  </si>
  <si>
    <t>ANR-50 W/D</t>
  </si>
  <si>
    <t>Payback MIDW-PGL</t>
  </si>
  <si>
    <t>Payback PGL-MIDW</t>
  </si>
  <si>
    <t>Total Nominations</t>
  </si>
  <si>
    <t>Payback TGC-PGL</t>
  </si>
  <si>
    <t>Payback PGL-TGC</t>
  </si>
  <si>
    <t>Gas Day: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</si>
  <si>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</si>
  <si>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</si>
  <si>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</si>
  <si>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</si>
  <si>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</si>
  <si>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</si>
  <si>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</si>
  <si>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</si>
  <si>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</si>
  <si>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</si>
  <si>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Busse Rd.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</si>
  <si>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</si>
  <si>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</si>
  <si>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</si>
  <si>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</si>
  <si>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</si>
  <si>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</si>
  <si>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</si>
  <si>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</si>
  <si>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</si>
  <si>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</si>
  <si>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</si>
  <si>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</si>
  <si>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</si>
  <si>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</si>
  <si>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</si>
  <si>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</si>
  <si>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</si>
  <si>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</si>
  <si>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</si>
  <si>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</si>
  <si>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</si>
  <si>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</si>
  <si>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</si>
  <si>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</si>
  <si>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</si>
  <si>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</si>
  <si>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</si>
  <si>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</si>
  <si>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</si>
  <si>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</si>
  <si>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</si>
  <si>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</si>
  <si>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</si>
  <si>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</si>
  <si>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</si>
  <si>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</si>
  <si>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</si>
  <si>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</si>
  <si>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</si>
  <si>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</si>
  <si>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</si>
  <si>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</si>
  <si>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</si>
  <si>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</si>
  <si>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</si>
  <si>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</si>
  <si>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</si>
  <si>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</si>
  <si>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</si>
  <si>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</si>
  <si>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</si>
  <si>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</si>
  <si>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</si>
  <si>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</si>
  <si>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</si>
  <si>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</si>
  <si>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</si>
  <si>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</si>
  <si>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</si>
  <si>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</si>
  <si>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</si>
  <si>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</si>
  <si>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</si>
  <si>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</si>
  <si>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</si>
  <si>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</si>
  <si>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</si>
  <si>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</si>
  <si>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</si>
  <si>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</si>
  <si>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</si>
  <si>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</si>
  <si>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</si>
  <si>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</si>
  <si>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</si>
  <si>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</si>
  <si>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</si>
  <si>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</si>
  <si>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</si>
  <si>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</si>
  <si>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</si>
  <si>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</si>
  <si>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</si>
  <si>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</si>
  <si>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</si>
  <si>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</si>
  <si>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</si>
  <si>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</si>
  <si>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</si>
  <si>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</si>
  <si>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</si>
  <si>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</si>
  <si>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</si>
  <si>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</si>
  <si>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</si>
  <si>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</si>
  <si>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</si>
  <si>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</si>
  <si>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</si>
  <si>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</si>
  <si>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</si>
  <si>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</si>
  <si>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</si>
  <si>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</si>
  <si>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</si>
  <si>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</si>
  <si>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</si>
  <si>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</si>
  <si>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</si>
  <si>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</si>
  <si>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</si>
  <si>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</si>
  <si>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</si>
  <si>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</si>
  <si>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</si>
  <si>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</si>
  <si>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</si>
  <si>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</si>
  <si>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</si>
  <si>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</si>
  <si>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</si>
  <si>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</si>
  <si>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</si>
  <si>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</si>
  <si>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</si>
  <si>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</si>
  <si>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</si>
  <si>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</si>
  <si>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</si>
  <si>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</si>
  <si>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</si>
  <si>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</si>
  <si>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</si>
  <si>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Payback NBDR-PGL</t>
  </si>
  <si>
    <t>Payback PGL-NBDR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</si>
  <si>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</si>
  <si>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</si>
  <si>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</si>
  <si>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</si>
  <si>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</si>
  <si>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</si>
  <si>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</si>
  <si>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</si>
  <si>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</si>
  <si>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</si>
  <si>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</si>
  <si>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</si>
  <si>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</si>
  <si>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</si>
  <si>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 xml:space="preserve">Injection </t>
  </si>
  <si>
    <t>Oakton to NICOR</t>
  </si>
  <si>
    <t>Deliveries to NICOR</t>
  </si>
  <si>
    <t>Deliveries @ Man.North</t>
  </si>
  <si>
    <t>Deliveries @ Manlove</t>
  </si>
  <si>
    <t xml:space="preserve">Deliveries @ Busse </t>
  </si>
  <si>
    <t>Deliveries @ Midwest</t>
  </si>
  <si>
    <t>Deliveries @ E. Joliet</t>
  </si>
  <si>
    <t>via NBDR</t>
  </si>
  <si>
    <t>Morning Avg.</t>
  </si>
  <si>
    <t>Evening Avg.</t>
  </si>
  <si>
    <t xml:space="preserve">Nights Avg. </t>
  </si>
  <si>
    <t xml:space="preserve">Deliveries @ Man.South </t>
  </si>
  <si>
    <t>Deliveries to Manlove</t>
  </si>
  <si>
    <t>Linepack Out   (+)</t>
  </si>
  <si>
    <t>Linepack In      (-)</t>
  </si>
  <si>
    <t>Elwood Energy</t>
  </si>
  <si>
    <t>Deliveries @ Elwood Energy</t>
  </si>
  <si>
    <t>Man. North</t>
  </si>
  <si>
    <t>Man. South</t>
  </si>
  <si>
    <t>MCF</t>
  </si>
  <si>
    <t>DKT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</si>
  <si>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</si>
  <si>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</si>
  <si>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</si>
  <si>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</si>
  <si>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</si>
  <si>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</si>
  <si>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</si>
  <si>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</si>
  <si>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</si>
  <si>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</si>
  <si>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</si>
  <si>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</si>
  <si>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</si>
  <si>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</si>
  <si>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</si>
  <si>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</si>
  <si>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DSS (INJ)</t>
  </si>
  <si>
    <t>MW SYSTEM SUPPLY</t>
  </si>
  <si>
    <t>NSS (INJ)</t>
  </si>
  <si>
    <t>TGL-30 @ MIDWESTERN</t>
  </si>
  <si>
    <t>BESS (INJ)</t>
  </si>
  <si>
    <t>TL SYSTEM SUPPLY</t>
  </si>
  <si>
    <t>TEJAS/QNT</t>
  </si>
  <si>
    <t>NO-NOTICE  (INJ)</t>
  </si>
  <si>
    <t>NO-NOTICE  (W/D)</t>
  </si>
  <si>
    <t>TOTAL DELIVERIES</t>
  </si>
  <si>
    <t>DELIVERY TO LNG</t>
  </si>
  <si>
    <t>BESS (W/D)</t>
  </si>
  <si>
    <t>DELIVERY TO INJ.</t>
  </si>
  <si>
    <t>DSS (W/D)</t>
  </si>
  <si>
    <t>MANLOVE INJ. TOTAL</t>
  </si>
  <si>
    <t>NSS (W/D)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</si>
  <si>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</si>
  <si>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</si>
  <si>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</si>
  <si>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</si>
  <si>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</si>
  <si>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</si>
  <si>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</si>
  <si>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</si>
  <si>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</si>
  <si>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</si>
  <si>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</si>
  <si>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</si>
  <si>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</si>
  <si>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Elwood/NICOR Nom</t>
  </si>
  <si>
    <t xml:space="preserve"> Elwood Energy</t>
  </si>
  <si>
    <t>Northern Borders</t>
  </si>
  <si>
    <t>S</t>
  </si>
  <si>
    <t xml:space="preserve">                   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</si>
  <si>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</si>
  <si>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</si>
  <si>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</si>
  <si>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</si>
  <si>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</si>
  <si>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Elwood nom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</si>
  <si>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</si>
  <si>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</si>
  <si>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</si>
  <si>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</si>
  <si>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</si>
  <si>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</si>
  <si>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</si>
  <si>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</si>
  <si>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</si>
  <si>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ANR SOMERS RD.</t>
  </si>
  <si>
    <t>Deliveries to Somers Rd.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</si>
  <si>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</si>
  <si>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</si>
  <si>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</si>
  <si>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</si>
  <si>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</si>
  <si>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</si>
  <si>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</si>
  <si>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</si>
  <si>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</si>
  <si>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</si>
  <si>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</si>
  <si>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</si>
  <si>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</si>
  <si>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</si>
  <si>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</si>
  <si>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</si>
  <si>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</si>
  <si>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</si>
  <si>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</si>
  <si>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</si>
  <si>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</si>
  <si>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</si>
  <si>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</si>
  <si>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</si>
  <si>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</si>
  <si>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</si>
  <si>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</si>
  <si>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</si>
  <si>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</si>
  <si>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</si>
  <si>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</si>
  <si>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</si>
  <si>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</si>
  <si>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</si>
  <si>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</si>
  <si>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</si>
  <si>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</si>
  <si>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</si>
  <si>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</si>
  <si>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</si>
  <si>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</si>
  <si>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>TOTAL Northern Border</t>
  </si>
  <si>
    <t xml:space="preserve">            </t>
  </si>
  <si>
    <t>NO-NOTICE</t>
  </si>
  <si>
    <t>System Supply ANR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</si>
  <si>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</si>
  <si>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</si>
  <si>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</si>
  <si>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</si>
  <si>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</si>
  <si>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</si>
  <si>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</si>
  <si>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</si>
  <si>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</si>
  <si>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</si>
  <si>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</si>
  <si>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</si>
  <si>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</si>
  <si>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 xml:space="preserve">             Don't call suppliers till we get a nomination from NICOR.</t>
  </si>
  <si>
    <t xml:space="preserve">NOTE: If Elwood is to burn any gas make sure Northern Border knows it. </t>
  </si>
  <si>
    <t>ANR No-Notice Withdraw</t>
  </si>
  <si>
    <t>Lincoln Energy</t>
  </si>
  <si>
    <t>Deliveries @ Lincoln Energy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</si>
  <si>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</si>
  <si>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</si>
  <si>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</si>
  <si>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</si>
  <si>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</si>
  <si>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</si>
  <si>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</si>
  <si>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</si>
  <si>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</si>
  <si>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</si>
  <si>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</si>
  <si>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</si>
  <si>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</si>
  <si>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</si>
  <si>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</si>
  <si>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</si>
  <si>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</si>
  <si>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</si>
  <si>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</si>
  <si>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</si>
  <si>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</si>
  <si>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</si>
  <si>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</si>
  <si>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</si>
  <si>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</si>
  <si>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</si>
  <si>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>Payback Alliance to PGL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</si>
  <si>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</si>
  <si>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</si>
  <si>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</si>
  <si>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</si>
  <si>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</si>
  <si>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</si>
  <si>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</si>
  <si>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>ANR System Supply</t>
  </si>
  <si>
    <t>Midwestern System Supply</t>
  </si>
  <si>
    <t>Alliance Deliveries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</si>
  <si>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</si>
  <si>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</si>
  <si>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</si>
  <si>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</si>
  <si>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</si>
  <si>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</si>
  <si>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</si>
  <si>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Payback NSG TO NICOR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</si>
  <si>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</si>
  <si>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</si>
  <si>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</si>
  <si>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</si>
  <si>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</si>
  <si>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</si>
  <si>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</si>
  <si>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</si>
  <si>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>Manlove Hourly Rate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</si>
  <si>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</si>
  <si>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</si>
  <si>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</si>
  <si>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DELIVERY TO MANLOVE</t>
  </si>
  <si>
    <t>ALIIANCE TO MANLOVE</t>
  </si>
  <si>
    <t>Allegheny</t>
  </si>
  <si>
    <t>Wilton</t>
  </si>
  <si>
    <t>N Border only</t>
  </si>
  <si>
    <t>Alliance thu Manlove</t>
  </si>
  <si>
    <t>Utrasonic Bi-Directional</t>
  </si>
  <si>
    <t>Payback PGL to Alliance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</si>
  <si>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</si>
  <si>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Alliance to NGPL to Manl.</t>
  </si>
  <si>
    <t xml:space="preserve">Payback Midw to PGL </t>
  </si>
  <si>
    <t>TGL - 30 @ Midwestern</t>
  </si>
  <si>
    <t>SNG/RFG</t>
  </si>
  <si>
    <t>Electric Power Plants</t>
  </si>
  <si>
    <t>Alleghney / Lincoln / Wilton</t>
  </si>
  <si>
    <t>Elwood Nicor 1 units (1-4)</t>
  </si>
  <si>
    <t>Elwood Nicor 2 Turbine</t>
  </si>
  <si>
    <t>Elwood Nicor 2 Ultrasonic</t>
  </si>
  <si>
    <t>Total Elwood</t>
  </si>
  <si>
    <t>Sharp Rd. Northern Border</t>
  </si>
  <si>
    <t>Wisvest Calumet 3</t>
  </si>
  <si>
    <t>Crawford Edison</t>
  </si>
  <si>
    <t>Fisk Edison</t>
  </si>
  <si>
    <t>Total Edison</t>
  </si>
  <si>
    <t xml:space="preserve">            Minimum take :</t>
  </si>
  <si>
    <t xml:space="preserve">ANR </t>
  </si>
  <si>
    <t xml:space="preserve">Midwestern </t>
  </si>
  <si>
    <t xml:space="preserve">Northern Border </t>
  </si>
  <si>
    <t xml:space="preserve">Trunkline </t>
  </si>
  <si>
    <t>126th &amp; Saginaw (Ford)</t>
  </si>
  <si>
    <t>Ave Temp</t>
  </si>
  <si>
    <t>Ave BTU</t>
  </si>
  <si>
    <t>System Supply**</t>
  </si>
  <si>
    <t>Elwood Burns by Units</t>
  </si>
  <si>
    <t xml:space="preserve">Units </t>
  </si>
  <si>
    <t>1 - 4</t>
  </si>
  <si>
    <t>5 - 8</t>
  </si>
  <si>
    <t>Ultrasonic</t>
  </si>
  <si>
    <t>Turbine</t>
  </si>
  <si>
    <t xml:space="preserve">Deliveries to Manhattan North </t>
  </si>
  <si>
    <t xml:space="preserve">Deliveries to Manhattan South </t>
  </si>
  <si>
    <t xml:space="preserve">Deliveries to Sharp Rd. </t>
  </si>
  <si>
    <t>Alleghney Energy</t>
  </si>
  <si>
    <t>Ave Temperature</t>
  </si>
  <si>
    <t>73rd &amp; Crawford</t>
  </si>
  <si>
    <t>Allegheny Energy</t>
  </si>
  <si>
    <t>Constellation Energy</t>
  </si>
  <si>
    <t>Elwood / PGL</t>
  </si>
  <si>
    <t>No-Notice E. Joliet</t>
  </si>
  <si>
    <t>Constellation</t>
  </si>
  <si>
    <t>No-Notice CoMo</t>
  </si>
  <si>
    <t>E. Joliet</t>
  </si>
  <si>
    <t>Monee</t>
  </si>
  <si>
    <t xml:space="preserve">              ANR</t>
  </si>
  <si>
    <t xml:space="preserve">Elwood </t>
  </si>
  <si>
    <t>BURN</t>
  </si>
  <si>
    <t>Deliveries</t>
  </si>
  <si>
    <t>To</t>
  </si>
  <si>
    <t>Deliveries to Midwestern@ Union Hill</t>
  </si>
  <si>
    <t>No-Notice Somers Rd</t>
  </si>
  <si>
    <t>No-Notice Grlk/Tonne</t>
  </si>
  <si>
    <t>Deliveries to Oakton NICOR</t>
  </si>
  <si>
    <t>Elwood Gas Burn</t>
  </si>
  <si>
    <t>Allegheny Gas Burn</t>
  </si>
  <si>
    <t>NGPL Ultrasonic Bi-Directional</t>
  </si>
  <si>
    <t xml:space="preserve">       Bi-Directional</t>
  </si>
  <si>
    <t xml:space="preserve">  Manlove Ultrasonic</t>
  </si>
  <si>
    <t xml:space="preserve">   To NGPL</t>
  </si>
  <si>
    <t xml:space="preserve">     To PGL</t>
  </si>
  <si>
    <t xml:space="preserve">               ANR</t>
  </si>
  <si>
    <t>CoMo</t>
  </si>
  <si>
    <t>PGL (Manlove): to NGPL SPSSO</t>
  </si>
  <si>
    <t>NGPL to : PGL (Manlove) SPSSO</t>
  </si>
  <si>
    <t>NGPL to PGL</t>
  </si>
  <si>
    <t>SPSSO</t>
  </si>
  <si>
    <t>MFUL</t>
  </si>
  <si>
    <t>PGLto NGPL</t>
  </si>
  <si>
    <t>Deliveries to Alleghney(Wilton)</t>
  </si>
  <si>
    <t xml:space="preserve">Ave Wind </t>
  </si>
  <si>
    <t>Wisvest</t>
  </si>
  <si>
    <t xml:space="preserve">PARTLY CLOUDY. </t>
  </si>
  <si>
    <t>SUNNY LESS HUMID. HIGH NEAR 90 INLAND, LOW 80S NEAR THE LAKE. TONIGHT</t>
  </si>
  <si>
    <t>INCREASING CLOUDS WITH A 40% CHANCE OF SHOWERS. LOW IN THE 60S.</t>
  </si>
  <si>
    <t xml:space="preserve">COOLER.. WITH SHOWERS AND T-STORMS POSSIBLE. HIGH AROUND 70. BUT </t>
  </si>
  <si>
    <t>COOLER NEAR THE LAKE. CHANCE OF RAIN 70%.</t>
  </si>
  <si>
    <t>FAIR.,,,, HIGH IN THE MIDDLE 70S,</t>
  </si>
  <si>
    <t>FAIR…..LOW AROUND 60. HIGH IN THE 80S.</t>
  </si>
  <si>
    <t xml:space="preserve">PARTLY CLOUDY.CHANCE OF T-STORMS LATE. LOW IN THE MIDDLE 60S. HIGH IN </t>
  </si>
  <si>
    <t>THE MIDDLE 80S.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</si>
</sst>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  <font>
      <sz val="11"/>
      <name val=" 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0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73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7" fillId="0" borderId="0" xfId="0" quotePrefix="1" applyNumberFormat="1" applyFont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Protection="1"/>
    <xf numFmtId="164" fontId="17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19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0" fontId="16" fillId="0" borderId="26" xfId="0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8" fillId="0" borderId="9" xfId="0" applyFont="1" applyBorder="1"/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3" fontId="22" fillId="0" borderId="0" xfId="0" applyNumberFormat="1" applyFont="1"/>
    <xf numFmtId="178" fontId="0" fillId="0" borderId="0" xfId="0" applyNumberFormat="1" applyProtection="1"/>
    <xf numFmtId="0" fontId="23" fillId="0" borderId="29" xfId="0" applyFont="1" applyBorder="1" applyAlignment="1">
      <alignment horizontal="centerContinuous"/>
    </xf>
    <xf numFmtId="0" fontId="23" fillId="0" borderId="30" xfId="0" applyFont="1" applyBorder="1" applyAlignment="1">
      <alignment horizontal="centerContinuous"/>
    </xf>
    <xf numFmtId="0" fontId="24" fillId="0" borderId="31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167" fontId="5" fillId="0" borderId="1" xfId="0" applyNumberFormat="1" applyFont="1" applyBorder="1"/>
    <xf numFmtId="0" fontId="1" fillId="0" borderId="36" xfId="0" quotePrefix="1" applyFont="1" applyBorder="1" applyAlignment="1">
      <alignment horizontal="center"/>
    </xf>
    <xf numFmtId="0" fontId="7" fillId="2" borderId="12" xfId="0" applyFont="1" applyFill="1" applyBorder="1"/>
    <xf numFmtId="0" fontId="7" fillId="2" borderId="5" xfId="0" applyFont="1" applyFill="1" applyBorder="1"/>
    <xf numFmtId="0" fontId="7" fillId="2" borderId="37" xfId="0" applyFont="1" applyFill="1" applyBorder="1"/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8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9" xfId="0" applyBorder="1"/>
    <xf numFmtId="0" fontId="1" fillId="2" borderId="38" xfId="0" quotePrefix="1" applyFont="1" applyFill="1" applyBorder="1" applyAlignment="1">
      <alignment horizontal="left"/>
    </xf>
    <xf numFmtId="0" fontId="0" fillId="0" borderId="40" xfId="0" applyBorder="1"/>
    <xf numFmtId="167" fontId="1" fillId="2" borderId="39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40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1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29" fillId="0" borderId="42" xfId="0" applyFont="1" applyFill="1" applyBorder="1" applyAlignment="1"/>
    <xf numFmtId="0" fontId="28" fillId="0" borderId="42" xfId="0" applyFont="1" applyFill="1" applyBorder="1" applyAlignment="1"/>
    <xf numFmtId="164" fontId="28" fillId="0" borderId="42" xfId="0" applyNumberFormat="1" applyFont="1" applyFill="1" applyBorder="1" applyAlignment="1"/>
    <xf numFmtId="0" fontId="29" fillId="0" borderId="43" xfId="0" applyFont="1" applyFill="1" applyBorder="1" applyAlignment="1"/>
    <xf numFmtId="0" fontId="28" fillId="0" borderId="11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13" xfId="0" applyFont="1" applyFill="1" applyBorder="1" applyAlignment="1"/>
    <xf numFmtId="0" fontId="29" fillId="0" borderId="0" xfId="0" quotePrefix="1" applyFont="1" applyFill="1" applyBorder="1" applyAlignment="1"/>
    <xf numFmtId="0" fontId="28" fillId="0" borderId="44" xfId="0" applyFont="1" applyFill="1" applyBorder="1" applyAlignment="1">
      <alignment horizontal="left"/>
    </xf>
    <xf numFmtId="0" fontId="29" fillId="0" borderId="2" xfId="0" quotePrefix="1" applyFont="1" applyFill="1" applyBorder="1" applyAlignment="1"/>
    <xf numFmtId="0" fontId="29" fillId="0" borderId="12" xfId="0" quotePrefix="1" applyFont="1" applyFill="1" applyBorder="1" applyAlignment="1"/>
    <xf numFmtId="0" fontId="28" fillId="0" borderId="44" xfId="0" quotePrefix="1" applyFont="1" applyFill="1" applyBorder="1" applyAlignment="1">
      <alignment horizontal="left"/>
    </xf>
    <xf numFmtId="0" fontId="29" fillId="0" borderId="2" xfId="0" applyFont="1" applyFill="1" applyBorder="1" applyAlignment="1"/>
    <xf numFmtId="0" fontId="29" fillId="0" borderId="12" xfId="0" applyFont="1" applyFill="1" applyBorder="1" applyAlignment="1"/>
    <xf numFmtId="0" fontId="29" fillId="0" borderId="39" xfId="0" applyFont="1" applyFill="1" applyBorder="1" applyAlignment="1"/>
    <xf numFmtId="0" fontId="29" fillId="0" borderId="6" xfId="0" applyFont="1" applyFill="1" applyBorder="1" applyAlignment="1"/>
    <xf numFmtId="0" fontId="29" fillId="0" borderId="40" xfId="0" applyFont="1" applyFill="1" applyBorder="1" applyAlignment="1"/>
    <xf numFmtId="0" fontId="29" fillId="0" borderId="5" xfId="0" applyFont="1" applyFill="1" applyBorder="1" applyAlignment="1"/>
    <xf numFmtId="0" fontId="28" fillId="0" borderId="45" xfId="0" quotePrefix="1" applyFont="1" applyFill="1" applyBorder="1" applyAlignment="1">
      <alignment horizontal="left"/>
    </xf>
    <xf numFmtId="166" fontId="29" fillId="0" borderId="42" xfId="0" applyNumberFormat="1" applyFont="1" applyFill="1" applyBorder="1" applyAlignment="1" applyProtection="1"/>
    <xf numFmtId="171" fontId="29" fillId="0" borderId="46" xfId="0" applyNumberFormat="1" applyFont="1" applyFill="1" applyBorder="1" applyAlignment="1"/>
    <xf numFmtId="0" fontId="29" fillId="0" borderId="46" xfId="0" applyFont="1" applyFill="1" applyBorder="1" applyAlignment="1"/>
    <xf numFmtId="0" fontId="29" fillId="0" borderId="47" xfId="0" applyFont="1" applyFill="1" applyBorder="1" applyAlignment="1"/>
    <xf numFmtId="0" fontId="28" fillId="5" borderId="48" xfId="0" quotePrefix="1" applyFont="1" applyFill="1" applyBorder="1" applyAlignment="1">
      <alignment horizontal="left"/>
    </xf>
    <xf numFmtId="0" fontId="28" fillId="5" borderId="49" xfId="0" quotePrefix="1" applyFont="1" applyFill="1" applyBorder="1" applyAlignment="1">
      <alignment horizontal="center"/>
    </xf>
    <xf numFmtId="0" fontId="28" fillId="5" borderId="49" xfId="0" quotePrefix="1" applyFont="1" applyFill="1" applyBorder="1" applyAlignment="1">
      <alignment horizontal="left"/>
    </xf>
    <xf numFmtId="0" fontId="28" fillId="5" borderId="50" xfId="0" quotePrefix="1" applyFont="1" applyFill="1" applyBorder="1" applyAlignment="1">
      <alignment horizontal="left"/>
    </xf>
    <xf numFmtId="0" fontId="28" fillId="0" borderId="51" xfId="0" quotePrefix="1" applyFont="1" applyFill="1" applyBorder="1" applyAlignment="1">
      <alignment horizontal="left"/>
    </xf>
    <xf numFmtId="166" fontId="29" fillId="0" borderId="4" xfId="0" applyNumberFormat="1" applyFont="1" applyFill="1" applyBorder="1" applyAlignment="1"/>
    <xf numFmtId="0" fontId="28" fillId="0" borderId="11" xfId="0" quotePrefix="1" applyFont="1" applyFill="1" applyBorder="1" applyAlignment="1">
      <alignment horizontal="left"/>
    </xf>
    <xf numFmtId="166" fontId="29" fillId="0" borderId="39" xfId="0" applyNumberFormat="1" applyFont="1" applyFill="1" applyBorder="1" applyAlignment="1"/>
    <xf numFmtId="167" fontId="29" fillId="0" borderId="12" xfId="0" applyNumberFormat="1" applyFont="1" applyFill="1" applyBorder="1" applyAlignment="1"/>
    <xf numFmtId="174" fontId="29" fillId="0" borderId="4" xfId="0" applyNumberFormat="1" applyFont="1" applyFill="1" applyBorder="1" applyAlignment="1"/>
    <xf numFmtId="0" fontId="29" fillId="0" borderId="52" xfId="0" applyFont="1" applyFill="1" applyBorder="1" applyAlignment="1"/>
    <xf numFmtId="0" fontId="28" fillId="0" borderId="53" xfId="0" quotePrefix="1" applyFont="1" applyFill="1" applyBorder="1" applyAlignment="1">
      <alignment horizontal="left"/>
    </xf>
    <xf numFmtId="166" fontId="29" fillId="0" borderId="54" xfId="0" applyNumberFormat="1" applyFont="1" applyFill="1" applyBorder="1" applyAlignment="1"/>
    <xf numFmtId="166" fontId="29" fillId="0" borderId="55" xfId="0" applyNumberFormat="1" applyFont="1" applyFill="1" applyBorder="1" applyAlignment="1"/>
    <xf numFmtId="0" fontId="29" fillId="0" borderId="56" xfId="0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29" fillId="0" borderId="57" xfId="0" applyNumberFormat="1" applyFont="1" applyFill="1" applyBorder="1" applyAlignment="1"/>
    <xf numFmtId="166" fontId="29" fillId="0" borderId="46" xfId="0" applyNumberFormat="1" applyFont="1" applyFill="1" applyBorder="1" applyAlignment="1"/>
    <xf numFmtId="171" fontId="29" fillId="0" borderId="39" xfId="0" applyNumberFormat="1" applyFont="1" applyFill="1" applyBorder="1" applyAlignment="1"/>
    <xf numFmtId="0" fontId="29" fillId="0" borderId="58" xfId="0" applyFont="1" applyFill="1" applyBorder="1" applyAlignment="1"/>
    <xf numFmtId="166" fontId="29" fillId="0" borderId="0" xfId="0" applyNumberFormat="1" applyFont="1" applyFill="1" applyBorder="1" applyAlignment="1"/>
    <xf numFmtId="166" fontId="29" fillId="0" borderId="5" xfId="0" applyNumberFormat="1" applyFont="1" applyFill="1" applyBorder="1" applyAlignment="1"/>
    <xf numFmtId="0" fontId="28" fillId="0" borderId="59" xfId="0" quotePrefix="1" applyFont="1" applyFill="1" applyBorder="1" applyAlignment="1">
      <alignment horizontal="left"/>
    </xf>
    <xf numFmtId="166" fontId="28" fillId="0" borderId="60" xfId="0" applyNumberFormat="1" applyFont="1" applyFill="1" applyBorder="1" applyAlignment="1"/>
    <xf numFmtId="166" fontId="28" fillId="0" borderId="61" xfId="0" applyNumberFormat="1" applyFont="1" applyFill="1" applyBorder="1" applyAlignment="1"/>
    <xf numFmtId="0" fontId="29" fillId="0" borderId="62" xfId="0" applyFont="1" applyFill="1" applyBorder="1" applyAlignment="1"/>
    <xf numFmtId="167" fontId="29" fillId="0" borderId="63" xfId="0" applyNumberFormat="1" applyFont="1" applyFill="1" applyBorder="1" applyAlignment="1"/>
    <xf numFmtId="167" fontId="29" fillId="0" borderId="58" xfId="0" applyNumberFormat="1" applyFont="1" applyFill="1" applyBorder="1" applyAlignment="1"/>
    <xf numFmtId="0" fontId="28" fillId="0" borderId="64" xfId="0" quotePrefix="1" applyFont="1" applyFill="1" applyBorder="1" applyAlignment="1">
      <alignment horizontal="left"/>
    </xf>
    <xf numFmtId="166" fontId="29" fillId="0" borderId="61" xfId="0" applyNumberFormat="1" applyFont="1" applyFill="1" applyBorder="1" applyAlignment="1"/>
    <xf numFmtId="166" fontId="29" fillId="0" borderId="60" xfId="0" applyNumberFormat="1" applyFont="1" applyFill="1" applyBorder="1" applyAlignment="1"/>
    <xf numFmtId="167" fontId="29" fillId="0" borderId="65" xfId="0" applyNumberFormat="1" applyFont="1" applyFill="1" applyBorder="1" applyAlignment="1"/>
    <xf numFmtId="0" fontId="30" fillId="0" borderId="11" xfId="0" quotePrefix="1" applyFont="1" applyBorder="1" applyAlignment="1">
      <alignment horizontal="left"/>
    </xf>
    <xf numFmtId="166" fontId="28" fillId="0" borderId="61" xfId="0" applyNumberFormat="1" applyFont="1" applyBorder="1"/>
    <xf numFmtId="167" fontId="28" fillId="0" borderId="2" xfId="0" applyNumberFormat="1" applyFont="1" applyBorder="1"/>
    <xf numFmtId="167" fontId="28" fillId="0" borderId="52" xfId="0" applyNumberFormat="1" applyFont="1" applyBorder="1"/>
    <xf numFmtId="0" fontId="31" fillId="0" borderId="61" xfId="0" applyFont="1" applyBorder="1"/>
    <xf numFmtId="0" fontId="32" fillId="0" borderId="11" xfId="0" quotePrefix="1" applyFont="1" applyBorder="1" applyAlignment="1">
      <alignment horizontal="left"/>
    </xf>
    <xf numFmtId="166" fontId="29" fillId="0" borderId="61" xfId="0" applyNumberFormat="1" applyFont="1" applyBorder="1"/>
    <xf numFmtId="0" fontId="32" fillId="0" borderId="11" xfId="0" quotePrefix="1" applyFont="1" applyBorder="1" applyAlignment="1">
      <alignment horizontal="center"/>
    </xf>
    <xf numFmtId="0" fontId="31" fillId="0" borderId="2" xfId="0" applyFont="1" applyBorder="1"/>
    <xf numFmtId="0" fontId="31" fillId="0" borderId="52" xfId="0" applyFont="1" applyBorder="1"/>
    <xf numFmtId="0" fontId="28" fillId="0" borderId="11" xfId="0" applyFont="1" applyBorder="1" applyAlignment="1">
      <alignment horizontal="left"/>
    </xf>
    <xf numFmtId="167" fontId="29" fillId="0" borderId="2" xfId="0" applyNumberFormat="1" applyFont="1" applyBorder="1"/>
    <xf numFmtId="167" fontId="29" fillId="0" borderId="52" xfId="0" applyNumberFormat="1" applyFont="1" applyBorder="1"/>
    <xf numFmtId="0" fontId="28" fillId="0" borderId="11" xfId="0" quotePrefix="1" applyFont="1" applyBorder="1" applyAlignment="1">
      <alignment horizontal="left"/>
    </xf>
    <xf numFmtId="166" fontId="33" fillId="0" borderId="61" xfId="0" applyNumberFormat="1" applyFont="1" applyBorder="1"/>
    <xf numFmtId="167" fontId="29" fillId="0" borderId="61" xfId="0" applyNumberFormat="1" applyFont="1" applyBorder="1"/>
    <xf numFmtId="0" fontId="28" fillId="0" borderId="66" xfId="0" quotePrefix="1" applyFont="1" applyBorder="1" applyAlignment="1">
      <alignment horizontal="left"/>
    </xf>
    <xf numFmtId="0" fontId="34" fillId="6" borderId="64" xfId="0" applyFont="1" applyFill="1" applyBorder="1" applyAlignment="1">
      <alignment horizontal="left"/>
    </xf>
    <xf numFmtId="0" fontId="30" fillId="6" borderId="67" xfId="0" applyFont="1" applyFill="1" applyBorder="1" applyAlignment="1">
      <alignment horizontal="centerContinuous"/>
    </xf>
    <xf numFmtId="0" fontId="35" fillId="6" borderId="67" xfId="0" applyFont="1" applyFill="1" applyBorder="1" applyAlignment="1">
      <alignment horizontal="centerContinuous"/>
    </xf>
    <xf numFmtId="0" fontId="28" fillId="6" borderId="67" xfId="0" applyFont="1" applyFill="1" applyBorder="1" applyAlignment="1">
      <alignment horizontal="centerContinuous"/>
    </xf>
    <xf numFmtId="0" fontId="35" fillId="6" borderId="62" xfId="0" applyFont="1" applyFill="1" applyBorder="1" applyAlignment="1">
      <alignment horizontal="centerContinuous"/>
    </xf>
    <xf numFmtId="0" fontId="35" fillId="6" borderId="68" xfId="0" applyFont="1" applyFill="1" applyBorder="1" applyAlignment="1">
      <alignment horizontal="centerContinuous"/>
    </xf>
    <xf numFmtId="0" fontId="29" fillId="0" borderId="11" xfId="0" quotePrefix="1" applyFont="1" applyBorder="1" applyAlignment="1">
      <alignment horizontal="left"/>
    </xf>
    <xf numFmtId="0" fontId="31" fillId="0" borderId="65" xfId="0" applyFont="1" applyBorder="1"/>
    <xf numFmtId="0" fontId="28" fillId="0" borderId="0" xfId="0" quotePrefix="1" applyFont="1" applyAlignment="1">
      <alignment horizontal="left"/>
    </xf>
    <xf numFmtId="0" fontId="31" fillId="0" borderId="42" xfId="0" applyFont="1" applyBorder="1"/>
    <xf numFmtId="0" fontId="31" fillId="5" borderId="13" xfId="0" applyFont="1" applyFill="1" applyBorder="1"/>
    <xf numFmtId="0" fontId="28" fillId="0" borderId="61" xfId="0" applyFont="1" applyBorder="1" applyAlignment="1">
      <alignment horizontal="left"/>
    </xf>
    <xf numFmtId="0" fontId="28" fillId="0" borderId="61" xfId="0" quotePrefix="1" applyFont="1" applyBorder="1" applyAlignment="1">
      <alignment horizontal="left"/>
    </xf>
    <xf numFmtId="174" fontId="29" fillId="0" borderId="39" xfId="0" applyNumberFormat="1" applyFont="1" applyBorder="1"/>
    <xf numFmtId="0" fontId="29" fillId="0" borderId="0" xfId="0" applyFont="1"/>
    <xf numFmtId="174" fontId="29" fillId="0" borderId="4" xfId="0" applyNumberFormat="1" applyFont="1" applyBorder="1"/>
    <xf numFmtId="0" fontId="28" fillId="0" borderId="61" xfId="0" applyFont="1" applyBorder="1"/>
    <xf numFmtId="174" fontId="29" fillId="0" borderId="69" xfId="0" applyNumberFormat="1" applyFont="1" applyBorder="1"/>
    <xf numFmtId="0" fontId="31" fillId="0" borderId="70" xfId="0" applyFont="1" applyBorder="1"/>
    <xf numFmtId="0" fontId="31" fillId="0" borderId="71" xfId="0" applyFont="1" applyBorder="1"/>
    <xf numFmtId="0" fontId="36" fillId="6" borderId="64" xfId="0" applyFont="1" applyFill="1" applyBorder="1" applyAlignment="1">
      <alignment horizontal="left"/>
    </xf>
    <xf numFmtId="0" fontId="36" fillId="6" borderId="67" xfId="0" applyFont="1" applyFill="1" applyBorder="1" applyAlignment="1">
      <alignment horizontal="centerContinuous"/>
    </xf>
    <xf numFmtId="0" fontId="28" fillId="0" borderId="72" xfId="0" applyFont="1" applyBorder="1"/>
    <xf numFmtId="0" fontId="31" fillId="0" borderId="73" xfId="0" applyFont="1" applyBorder="1"/>
    <xf numFmtId="0" fontId="31" fillId="0" borderId="0" xfId="0" applyFont="1" applyBorder="1"/>
    <xf numFmtId="0" fontId="31" fillId="0" borderId="63" xfId="0" applyFont="1" applyBorder="1"/>
    <xf numFmtId="0" fontId="31" fillId="0" borderId="62" xfId="0" applyFont="1" applyBorder="1"/>
    <xf numFmtId="0" fontId="28" fillId="0" borderId="59" xfId="0" applyFont="1" applyBorder="1" applyAlignment="1">
      <alignment horizontal="left"/>
    </xf>
    <xf numFmtId="0" fontId="28" fillId="0" borderId="64" xfId="0" applyFont="1" applyBorder="1" applyAlignment="1">
      <alignment horizontal="left"/>
    </xf>
    <xf numFmtId="0" fontId="31" fillId="0" borderId="74" xfId="0" applyFont="1" applyBorder="1"/>
    <xf numFmtId="0" fontId="31" fillId="0" borderId="1" xfId="0" applyFont="1" applyBorder="1"/>
    <xf numFmtId="0" fontId="37" fillId="0" borderId="61" xfId="0" applyFont="1" applyBorder="1"/>
    <xf numFmtId="0" fontId="28" fillId="6" borderId="64" xfId="0" applyFont="1" applyFill="1" applyBorder="1" applyAlignment="1">
      <alignment horizontal="centerContinuous"/>
    </xf>
    <xf numFmtId="0" fontId="31" fillId="6" borderId="67" xfId="0" applyFont="1" applyFill="1" applyBorder="1" applyAlignment="1">
      <alignment horizontal="centerContinuous"/>
    </xf>
    <xf numFmtId="0" fontId="31" fillId="6" borderId="68" xfId="0" applyFont="1" applyFill="1" applyBorder="1" applyAlignment="1">
      <alignment horizontal="centerContinuous"/>
    </xf>
    <xf numFmtId="0" fontId="29" fillId="0" borderId="72" xfId="0" applyFont="1" applyBorder="1"/>
    <xf numFmtId="0" fontId="29" fillId="5" borderId="2" xfId="0" applyFont="1" applyFill="1" applyBorder="1"/>
    <xf numFmtId="172" fontId="29" fillId="0" borderId="6" xfId="0" applyNumberFormat="1" applyFont="1" applyBorder="1"/>
    <xf numFmtId="0" fontId="29" fillId="0" borderId="12" xfId="0" applyFont="1" applyBorder="1"/>
    <xf numFmtId="0" fontId="29" fillId="5" borderId="0" xfId="0" applyFont="1" applyFill="1"/>
    <xf numFmtId="167" fontId="29" fillId="0" borderId="12" xfId="0" applyNumberFormat="1" applyFont="1" applyBorder="1"/>
    <xf numFmtId="0" fontId="38" fillId="0" borderId="72" xfId="0" applyFont="1" applyBorder="1"/>
    <xf numFmtId="167" fontId="29" fillId="2" borderId="6" xfId="0" applyNumberFormat="1" applyFont="1" applyFill="1" applyBorder="1"/>
    <xf numFmtId="167" fontId="29" fillId="5" borderId="13" xfId="0" applyNumberFormat="1" applyFont="1" applyFill="1" applyBorder="1"/>
    <xf numFmtId="0" fontId="29" fillId="0" borderId="11" xfId="0" applyFont="1" applyBorder="1"/>
    <xf numFmtId="0" fontId="29" fillId="0" borderId="51" xfId="0" quotePrefix="1" applyFont="1" applyBorder="1" applyAlignment="1">
      <alignment horizontal="left"/>
    </xf>
    <xf numFmtId="167" fontId="29" fillId="2" borderId="75" xfId="0" applyNumberFormat="1" applyFont="1" applyFill="1" applyBorder="1" applyProtection="1"/>
    <xf numFmtId="0" fontId="29" fillId="0" borderId="76" xfId="0" quotePrefix="1" applyFont="1" applyBorder="1" applyAlignment="1">
      <alignment horizontal="left"/>
    </xf>
    <xf numFmtId="0" fontId="29" fillId="5" borderId="14" xfId="0" applyFont="1" applyFill="1" applyBorder="1"/>
    <xf numFmtId="167" fontId="29" fillId="0" borderId="77" xfId="0" applyNumberFormat="1" applyFont="1" applyBorder="1"/>
    <xf numFmtId="167" fontId="28" fillId="0" borderId="3" xfId="0" applyNumberFormat="1" applyFont="1" applyBorder="1"/>
    <xf numFmtId="0" fontId="29" fillId="0" borderId="3" xfId="0" applyFont="1" applyBorder="1"/>
    <xf numFmtId="0" fontId="28" fillId="0" borderId="72" xfId="0" quotePrefix="1" applyFont="1" applyBorder="1" applyAlignment="1">
      <alignment horizontal="left"/>
    </xf>
    <xf numFmtId="172" fontId="28" fillId="0" borderId="52" xfId="0" applyNumberFormat="1" applyFont="1" applyBorder="1"/>
    <xf numFmtId="0" fontId="33" fillId="0" borderId="12" xfId="0" applyFont="1" applyBorder="1"/>
    <xf numFmtId="167" fontId="33" fillId="0" borderId="61" xfId="0" applyNumberFormat="1" applyFont="1" applyBorder="1"/>
    <xf numFmtId="0" fontId="31" fillId="0" borderId="12" xfId="0" applyFont="1" applyBorder="1"/>
    <xf numFmtId="0" fontId="29" fillId="0" borderId="72" xfId="0" quotePrefix="1" applyFont="1" applyBorder="1" applyAlignment="1">
      <alignment horizontal="left"/>
    </xf>
    <xf numFmtId="0" fontId="29" fillId="0" borderId="2" xfId="0" applyFont="1" applyBorder="1"/>
    <xf numFmtId="0" fontId="29" fillId="0" borderId="39" xfId="0" applyFont="1" applyBorder="1"/>
    <xf numFmtId="167" fontId="29" fillId="2" borderId="12" xfId="0" applyNumberFormat="1" applyFont="1" applyFill="1" applyBorder="1" applyProtection="1"/>
    <xf numFmtId="167" fontId="29" fillId="2" borderId="39" xfId="0" applyNumberFormat="1" applyFont="1" applyFill="1" applyBorder="1"/>
    <xf numFmtId="172" fontId="29" fillId="0" borderId="4" xfId="0" applyNumberFormat="1" applyFont="1" applyBorder="1"/>
    <xf numFmtId="172" fontId="33" fillId="0" borderId="4" xfId="0" applyNumberFormat="1" applyFont="1" applyBorder="1"/>
    <xf numFmtId="167" fontId="29" fillId="2" borderId="39" xfId="0" applyNumberFormat="1" applyFont="1" applyFill="1" applyBorder="1" applyProtection="1"/>
    <xf numFmtId="167" fontId="29" fillId="2" borderId="78" xfId="0" applyNumberFormat="1" applyFont="1" applyFill="1" applyBorder="1" applyProtection="1"/>
    <xf numFmtId="0" fontId="29" fillId="0" borderId="1" xfId="0" applyFont="1" applyBorder="1"/>
    <xf numFmtId="0" fontId="29" fillId="0" borderId="79" xfId="0" applyFont="1" applyBorder="1"/>
    <xf numFmtId="0" fontId="29" fillId="0" borderId="80" xfId="0" applyFont="1" applyBorder="1"/>
    <xf numFmtId="0" fontId="29" fillId="0" borderId="2" xfId="0" quotePrefix="1" applyFont="1" applyBorder="1" applyAlignment="1">
      <alignment horizontal="left"/>
    </xf>
    <xf numFmtId="0" fontId="31" fillId="0" borderId="39" xfId="0" applyFont="1" applyBorder="1"/>
    <xf numFmtId="0" fontId="31" fillId="0" borderId="39" xfId="0" quotePrefix="1" applyFont="1" applyBorder="1" applyAlignment="1">
      <alignment horizontal="left"/>
    </xf>
    <xf numFmtId="0" fontId="31" fillId="0" borderId="39" xfId="0" applyFont="1" applyBorder="1" applyAlignment="1">
      <alignment horizontal="center"/>
    </xf>
    <xf numFmtId="0" fontId="28" fillId="0" borderId="66" xfId="0" applyFont="1" applyBorder="1"/>
    <xf numFmtId="167" fontId="28" fillId="0" borderId="81" xfId="0" applyNumberFormat="1" applyFont="1" applyBorder="1"/>
    <xf numFmtId="0" fontId="31" fillId="0" borderId="81" xfId="0" applyFont="1" applyBorder="1"/>
    <xf numFmtId="0" fontId="31" fillId="0" borderId="82" xfId="0" applyFont="1" applyBorder="1"/>
    <xf numFmtId="0" fontId="31" fillId="0" borderId="83" xfId="0" applyFont="1" applyBorder="1"/>
    <xf numFmtId="0" fontId="31" fillId="0" borderId="22" xfId="0" applyFont="1" applyBorder="1"/>
    <xf numFmtId="0" fontId="28" fillId="0" borderId="2" xfId="0" applyFont="1" applyBorder="1" applyAlignment="1">
      <alignment horizontal="right"/>
    </xf>
    <xf numFmtId="164" fontId="28" fillId="0" borderId="2" xfId="0" applyNumberFormat="1" applyFont="1" applyBorder="1" applyAlignment="1">
      <alignment horizontal="centerContinuous"/>
    </xf>
    <xf numFmtId="0" fontId="29" fillId="0" borderId="13" xfId="0" applyFont="1" applyBorder="1"/>
    <xf numFmtId="0" fontId="31" fillId="0" borderId="3" xfId="0" applyFont="1" applyBorder="1"/>
    <xf numFmtId="0" fontId="31" fillId="0" borderId="4" xfId="0" applyFont="1" applyBorder="1"/>
    <xf numFmtId="0" fontId="28" fillId="0" borderId="76" xfId="0" quotePrefix="1" applyFont="1" applyBorder="1" applyAlignment="1">
      <alignment horizontal="left"/>
    </xf>
    <xf numFmtId="0" fontId="28" fillId="0" borderId="14" xfId="0" quotePrefix="1" applyFont="1" applyBorder="1" applyAlignment="1">
      <alignment horizontal="left"/>
    </xf>
    <xf numFmtId="0" fontId="33" fillId="0" borderId="69" xfId="0" applyFont="1" applyBorder="1"/>
    <xf numFmtId="0" fontId="28" fillId="0" borderId="14" xfId="0" applyFont="1" applyBorder="1"/>
    <xf numFmtId="0" fontId="33" fillId="0" borderId="14" xfId="0" applyFont="1" applyBorder="1" applyAlignment="1">
      <alignment horizontal="left"/>
    </xf>
    <xf numFmtId="0" fontId="28" fillId="0" borderId="70" xfId="0" quotePrefix="1" applyFont="1" applyBorder="1" applyAlignment="1">
      <alignment horizontal="left"/>
    </xf>
    <xf numFmtId="0" fontId="28" fillId="0" borderId="84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29" fillId="0" borderId="75" xfId="0" applyNumberFormat="1" applyFont="1" applyBorder="1"/>
    <xf numFmtId="166" fontId="29" fillId="2" borderId="61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12" xfId="0" applyFont="1" applyBorder="1" applyAlignment="1">
      <alignment horizontal="left"/>
    </xf>
    <xf numFmtId="0" fontId="29" fillId="0" borderId="39" xfId="0" quotePrefix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5" xfId="0" applyBorder="1"/>
    <xf numFmtId="0" fontId="40" fillId="0" borderId="0" xfId="0" applyFont="1"/>
    <xf numFmtId="0" fontId="0" fillId="0" borderId="62" xfId="0" applyBorder="1"/>
    <xf numFmtId="0" fontId="11" fillId="0" borderId="86" xfId="0" applyFont="1" applyBorder="1"/>
    <xf numFmtId="0" fontId="0" fillId="0" borderId="87" xfId="0" applyBorder="1"/>
    <xf numFmtId="0" fontId="11" fillId="0" borderId="88" xfId="0" applyFont="1" applyBorder="1"/>
    <xf numFmtId="0" fontId="0" fillId="0" borderId="49" xfId="0" applyBorder="1"/>
    <xf numFmtId="0" fontId="41" fillId="0" borderId="8" xfId="0" applyFont="1" applyBorder="1" applyAlignment="1">
      <alignment horizontal="left"/>
    </xf>
    <xf numFmtId="167" fontId="11" fillId="0" borderId="89" xfId="0" applyNumberFormat="1" applyFont="1" applyBorder="1"/>
    <xf numFmtId="0" fontId="11" fillId="0" borderId="49" xfId="0" applyFont="1" applyBorder="1" applyAlignment="1">
      <alignment horizontal="right"/>
    </xf>
    <xf numFmtId="0" fontId="20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40" xfId="0" applyNumberFormat="1" applyFont="1" applyFill="1" applyBorder="1"/>
    <xf numFmtId="167" fontId="11" fillId="0" borderId="62" xfId="0" applyNumberFormat="1" applyFont="1" applyBorder="1"/>
    <xf numFmtId="167" fontId="11" fillId="0" borderId="49" xfId="0" applyNumberFormat="1" applyFont="1" applyBorder="1"/>
    <xf numFmtId="164" fontId="0" fillId="0" borderId="0" xfId="0" applyNumberFormat="1" applyAlignment="1" applyProtection="1">
      <alignment horizontal="left"/>
    </xf>
    <xf numFmtId="167" fontId="11" fillId="0" borderId="24" xfId="0" applyNumberFormat="1" applyFont="1" applyBorder="1"/>
    <xf numFmtId="0" fontId="15" fillId="0" borderId="0" xfId="0" applyFont="1" applyAlignment="1">
      <alignment horizontal="left"/>
    </xf>
    <xf numFmtId="167" fontId="29" fillId="0" borderId="60" xfId="0" applyNumberFormat="1" applyFont="1" applyFill="1" applyBorder="1" applyAlignment="1"/>
    <xf numFmtId="0" fontId="29" fillId="0" borderId="1" xfId="0" applyFont="1" applyFill="1" applyBorder="1" applyAlignment="1"/>
    <xf numFmtId="0" fontId="0" fillId="0" borderId="0" xfId="0" applyNumberFormat="1"/>
    <xf numFmtId="0" fontId="44" fillId="0" borderId="0" xfId="0" applyFont="1"/>
    <xf numFmtId="0" fontId="28" fillId="5" borderId="49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left"/>
    </xf>
    <xf numFmtId="166" fontId="29" fillId="0" borderId="90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29" fillId="0" borderId="61" xfId="0" applyFont="1" applyFill="1" applyBorder="1" applyAlignment="1"/>
    <xf numFmtId="179" fontId="16" fillId="2" borderId="91" xfId="0" applyNumberFormat="1" applyFont="1" applyFill="1" applyBorder="1" applyAlignment="1" applyProtection="1">
      <alignment horizontal="center"/>
    </xf>
    <xf numFmtId="1" fontId="46" fillId="8" borderId="92" xfId="0" applyNumberFormat="1" applyFont="1" applyFill="1" applyBorder="1" applyAlignment="1">
      <alignment horizontal="left"/>
    </xf>
    <xf numFmtId="0" fontId="47" fillId="0" borderId="0" xfId="0" applyFont="1" applyProtection="1">
      <protection locked="0"/>
    </xf>
    <xf numFmtId="0" fontId="46" fillId="0" borderId="0" xfId="0" applyFont="1" applyProtection="1">
      <protection locked="0"/>
    </xf>
    <xf numFmtId="164" fontId="16" fillId="2" borderId="91" xfId="0" applyNumberFormat="1" applyFont="1" applyFill="1" applyBorder="1" applyProtection="1"/>
    <xf numFmtId="164" fontId="16" fillId="2" borderId="93" xfId="0" applyNumberFormat="1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166" fontId="16" fillId="2" borderId="75" xfId="0" applyNumberFormat="1" applyFont="1" applyFill="1" applyBorder="1" applyProtection="1"/>
    <xf numFmtId="166" fontId="16" fillId="2" borderId="96" xfId="0" applyNumberFormat="1" applyFont="1" applyFill="1" applyBorder="1" applyProtection="1"/>
    <xf numFmtId="166" fontId="16" fillId="2" borderId="97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8" xfId="0" applyFont="1" applyFill="1" applyBorder="1" applyProtection="1"/>
    <xf numFmtId="166" fontId="16" fillId="2" borderId="98" xfId="0" applyNumberFormat="1" applyFont="1" applyFill="1" applyBorder="1" applyProtection="1"/>
    <xf numFmtId="166" fontId="16" fillId="2" borderId="99" xfId="0" applyNumberFormat="1" applyFont="1" applyFill="1" applyBorder="1" applyProtection="1"/>
    <xf numFmtId="2" fontId="16" fillId="2" borderId="75" xfId="0" applyNumberFormat="1" applyFont="1" applyFill="1" applyBorder="1" applyProtection="1"/>
    <xf numFmtId="2" fontId="16" fillId="2" borderId="97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6" fillId="0" borderId="0" xfId="0" applyFont="1" applyAlignment="1" applyProtection="1">
      <alignment horizontal="left"/>
      <protection locked="0"/>
    </xf>
    <xf numFmtId="0" fontId="36" fillId="0" borderId="67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8" fillId="6" borderId="67" xfId="0" applyFont="1" applyFill="1" applyBorder="1" applyAlignment="1">
      <alignment horizontal="right"/>
    </xf>
    <xf numFmtId="0" fontId="6" fillId="5" borderId="67" xfId="0" applyFont="1" applyFill="1" applyBorder="1"/>
    <xf numFmtId="0" fontId="30" fillId="6" borderId="67" xfId="0" applyFont="1" applyFill="1" applyBorder="1" applyAlignment="1">
      <alignment horizontal="left"/>
    </xf>
    <xf numFmtId="0" fontId="28" fillId="5" borderId="49" xfId="0" applyFont="1" applyFill="1" applyBorder="1" applyAlignment="1">
      <alignment horizontal="left"/>
    </xf>
    <xf numFmtId="0" fontId="28" fillId="0" borderId="100" xfId="0" applyFont="1" applyFill="1" applyBorder="1" applyAlignment="1">
      <alignment horizontal="left"/>
    </xf>
    <xf numFmtId="0" fontId="0" fillId="0" borderId="0" xfId="0" applyFill="1"/>
    <xf numFmtId="0" fontId="31" fillId="0" borderId="12" xfId="0" applyFont="1" applyFill="1" applyBorder="1"/>
    <xf numFmtId="0" fontId="31" fillId="9" borderId="83" xfId="0" applyFont="1" applyFill="1" applyBorder="1"/>
    <xf numFmtId="0" fontId="29" fillId="0" borderId="11" xfId="0" applyFont="1" applyFill="1" applyBorder="1" applyAlignment="1">
      <alignment horizontal="left"/>
    </xf>
    <xf numFmtId="0" fontId="29" fillId="0" borderId="13" xfId="0" quotePrefix="1" applyFont="1" applyFill="1" applyBorder="1" applyAlignment="1"/>
    <xf numFmtId="166" fontId="29" fillId="0" borderId="0" xfId="0" applyNumberFormat="1" applyFont="1" applyFill="1" applyBorder="1" applyAlignment="1" applyProtection="1"/>
    <xf numFmtId="0" fontId="28" fillId="5" borderId="101" xfId="0" quotePrefix="1" applyFont="1" applyFill="1" applyBorder="1" applyAlignment="1">
      <alignment horizontal="left"/>
    </xf>
    <xf numFmtId="0" fontId="28" fillId="5" borderId="30" xfId="0" applyFont="1" applyFill="1" applyBorder="1" applyAlignment="1">
      <alignment horizontal="center"/>
    </xf>
    <xf numFmtId="0" fontId="28" fillId="5" borderId="30" xfId="0" quotePrefix="1" applyFont="1" applyFill="1" applyBorder="1" applyAlignment="1">
      <alignment horizontal="left"/>
    </xf>
    <xf numFmtId="0" fontId="28" fillId="5" borderId="85" xfId="0" quotePrefix="1" applyFont="1" applyFill="1" applyBorder="1" applyAlignment="1">
      <alignment horizontal="left"/>
    </xf>
    <xf numFmtId="171" fontId="29" fillId="0" borderId="5" xfId="0" applyNumberFormat="1" applyFont="1" applyFill="1" applyBorder="1" applyAlignment="1"/>
    <xf numFmtId="166" fontId="29" fillId="0" borderId="102" xfId="0" applyNumberFormat="1" applyFont="1" applyFill="1" applyBorder="1" applyAlignment="1" applyProtection="1"/>
    <xf numFmtId="0" fontId="29" fillId="0" borderId="74" xfId="0" applyFont="1" applyFill="1" applyBorder="1" applyAlignment="1"/>
    <xf numFmtId="0" fontId="29" fillId="0" borderId="102" xfId="0" applyFont="1" applyFill="1" applyBorder="1" applyAlignment="1"/>
    <xf numFmtId="0" fontId="28" fillId="5" borderId="101" xfId="0" applyFont="1" applyFill="1" applyBorder="1" applyAlignment="1">
      <alignment horizontal="center"/>
    </xf>
    <xf numFmtId="166" fontId="29" fillId="5" borderId="103" xfId="0" applyNumberFormat="1" applyFont="1" applyFill="1" applyBorder="1" applyAlignment="1"/>
    <xf numFmtId="166" fontId="29" fillId="5" borderId="104" xfId="0" applyNumberFormat="1" applyFont="1" applyFill="1" applyBorder="1" applyAlignment="1"/>
    <xf numFmtId="0" fontId="29" fillId="5" borderId="30" xfId="0" applyFont="1" applyFill="1" applyBorder="1" applyAlignment="1"/>
    <xf numFmtId="0" fontId="29" fillId="5" borderId="104" xfId="0" applyFont="1" applyFill="1" applyBorder="1" applyAlignment="1"/>
    <xf numFmtId="0" fontId="29" fillId="5" borderId="105" xfId="0" applyFont="1" applyFill="1" applyBorder="1" applyAlignment="1"/>
    <xf numFmtId="0" fontId="29" fillId="5" borderId="85" xfId="0" applyFont="1" applyFill="1" applyBorder="1" applyAlignment="1"/>
    <xf numFmtId="166" fontId="29" fillId="0" borderId="30" xfId="0" applyNumberFormat="1" applyFont="1" applyFill="1" applyBorder="1" applyAlignment="1"/>
    <xf numFmtId="0" fontId="29" fillId="0" borderId="59" xfId="0" applyFont="1" applyFill="1" applyBorder="1" applyAlignment="1">
      <alignment horizontal="left"/>
    </xf>
    <xf numFmtId="0" fontId="28" fillId="0" borderId="64" xfId="0" applyFont="1" applyFill="1" applyBorder="1" applyAlignment="1">
      <alignment horizontal="center"/>
    </xf>
    <xf numFmtId="167" fontId="29" fillId="0" borderId="2" xfId="0" applyNumberFormat="1" applyFont="1" applyFill="1" applyBorder="1" applyAlignment="1"/>
    <xf numFmtId="167" fontId="29" fillId="0" borderId="52" xfId="0" applyNumberFormat="1" applyFont="1" applyFill="1" applyBorder="1" applyAlignment="1"/>
    <xf numFmtId="0" fontId="28" fillId="6" borderId="67" xfId="0" applyFont="1" applyFill="1" applyBorder="1" applyAlignment="1">
      <alignment horizontal="center"/>
    </xf>
    <xf numFmtId="0" fontId="37" fillId="6" borderId="67" xfId="0" applyFont="1" applyFill="1" applyBorder="1" applyAlignment="1">
      <alignment horizontal="center"/>
    </xf>
    <xf numFmtId="0" fontId="28" fillId="0" borderId="101" xfId="0" quotePrefix="1" applyFont="1" applyBorder="1" applyAlignment="1">
      <alignment horizontal="left"/>
    </xf>
    <xf numFmtId="167" fontId="29" fillId="2" borderId="30" xfId="0" applyNumberFormat="1" applyFont="1" applyFill="1" applyBorder="1" applyProtection="1"/>
    <xf numFmtId="0" fontId="31" fillId="0" borderId="103" xfId="0" applyFont="1" applyBorder="1"/>
    <xf numFmtId="0" fontId="31" fillId="0" borderId="56" xfId="0" applyFont="1" applyBorder="1"/>
    <xf numFmtId="167" fontId="29" fillId="2" borderId="57" xfId="0" applyNumberFormat="1" applyFont="1" applyFill="1" applyBorder="1" applyProtection="1"/>
    <xf numFmtId="0" fontId="31" fillId="0" borderId="57" xfId="0" applyFont="1" applyBorder="1"/>
    <xf numFmtId="0" fontId="31" fillId="0" borderId="106" xfId="0" applyFont="1" applyBorder="1"/>
    <xf numFmtId="0" fontId="31" fillId="0" borderId="13" xfId="0" applyFont="1" applyBorder="1"/>
    <xf numFmtId="172" fontId="29" fillId="0" borderId="3" xfId="0" applyNumberFormat="1" applyFont="1" applyBorder="1"/>
    <xf numFmtId="167" fontId="33" fillId="0" borderId="73" xfId="0" applyNumberFormat="1" applyFont="1" applyBorder="1"/>
    <xf numFmtId="0" fontId="28" fillId="6" borderId="66" xfId="0" applyFont="1" applyFill="1" applyBorder="1" applyAlignment="1">
      <alignment horizontal="centerContinuous"/>
    </xf>
    <xf numFmtId="0" fontId="31" fillId="6" borderId="1" xfId="0" applyFont="1" applyFill="1" applyBorder="1" applyAlignment="1">
      <alignment horizontal="centerContinuous"/>
    </xf>
    <xf numFmtId="0" fontId="31" fillId="6" borderId="80" xfId="0" applyFont="1" applyFill="1" applyBorder="1" applyAlignment="1">
      <alignment horizontal="centerContinuous"/>
    </xf>
    <xf numFmtId="0" fontId="31" fillId="0" borderId="104" xfId="0" applyFont="1" applyBorder="1"/>
    <xf numFmtId="0" fontId="31" fillId="0" borderId="107" xfId="0" applyFont="1" applyBorder="1"/>
    <xf numFmtId="167" fontId="28" fillId="0" borderId="55" xfId="0" applyNumberFormat="1" applyFont="1" applyBorder="1"/>
    <xf numFmtId="0" fontId="31" fillId="0" borderId="55" xfId="0" applyFont="1" applyBorder="1"/>
    <xf numFmtId="0" fontId="31" fillId="0" borderId="108" xfId="0" applyFont="1" applyBorder="1"/>
    <xf numFmtId="0" fontId="31" fillId="0" borderId="109" xfId="0" applyFont="1" applyBorder="1"/>
    <xf numFmtId="0" fontId="29" fillId="0" borderId="51" xfId="0" applyFont="1" applyBorder="1"/>
    <xf numFmtId="0" fontId="29" fillId="0" borderId="18" xfId="0" applyFont="1" applyBorder="1"/>
    <xf numFmtId="0" fontId="29" fillId="0" borderId="62" xfId="0" applyFont="1" applyBorder="1"/>
    <xf numFmtId="0" fontId="29" fillId="0" borderId="60" xfId="0" applyFont="1" applyBorder="1"/>
    <xf numFmtId="0" fontId="31" fillId="0" borderId="47" xfId="0" applyFont="1" applyBorder="1"/>
    <xf numFmtId="0" fontId="29" fillId="0" borderId="110" xfId="0" applyFont="1" applyBorder="1" applyAlignment="1">
      <alignment horizontal="left"/>
    </xf>
    <xf numFmtId="0" fontId="31" fillId="0" borderId="28" xfId="0" applyFont="1" applyBorder="1"/>
    <xf numFmtId="0" fontId="31" fillId="0" borderId="5" xfId="0" applyFont="1" applyBorder="1"/>
    <xf numFmtId="0" fontId="31" fillId="0" borderId="40" xfId="0" applyFont="1" applyBorder="1"/>
    <xf numFmtId="0" fontId="29" fillId="0" borderId="40" xfId="0" applyFont="1" applyBorder="1" applyAlignment="1">
      <alignment horizontal="left"/>
    </xf>
    <xf numFmtId="0" fontId="29" fillId="0" borderId="16" xfId="0" applyFont="1" applyBorder="1"/>
    <xf numFmtId="0" fontId="37" fillId="0" borderId="5" xfId="0" applyFont="1" applyBorder="1"/>
    <xf numFmtId="0" fontId="31" fillId="0" borderId="60" xfId="0" applyFont="1" applyBorder="1"/>
    <xf numFmtId="0" fontId="29" fillId="0" borderId="111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1" fillId="0" borderId="112" xfId="0" applyFont="1" applyBorder="1"/>
    <xf numFmtId="0" fontId="36" fillId="6" borderId="66" xfId="0" applyFont="1" applyFill="1" applyBorder="1" applyAlignment="1">
      <alignment horizontal="left"/>
    </xf>
    <xf numFmtId="0" fontId="30" fillId="6" borderId="1" xfId="0" applyFont="1" applyFill="1" applyBorder="1" applyAlignment="1">
      <alignment horizontal="centerContinuous"/>
    </xf>
    <xf numFmtId="0" fontId="37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Continuous"/>
    </xf>
    <xf numFmtId="0" fontId="28" fillId="0" borderId="101" xfId="0" applyFont="1" applyBorder="1" applyAlignment="1">
      <alignment horizontal="left"/>
    </xf>
    <xf numFmtId="0" fontId="28" fillId="6" borderId="1" xfId="0" applyFont="1" applyFill="1" applyBorder="1" applyAlignment="1">
      <alignment horizontal="centerContinuous"/>
    </xf>
    <xf numFmtId="167" fontId="28" fillId="0" borderId="103" xfId="0" applyNumberFormat="1" applyFont="1" applyBorder="1"/>
    <xf numFmtId="167" fontId="29" fillId="0" borderId="104" xfId="0" applyNumberFormat="1" applyFont="1" applyBorder="1"/>
    <xf numFmtId="167" fontId="29" fillId="0" borderId="57" xfId="0" applyNumberFormat="1" applyFont="1" applyBorder="1"/>
    <xf numFmtId="0" fontId="29" fillId="0" borderId="113" xfId="0" applyFont="1" applyBorder="1"/>
    <xf numFmtId="0" fontId="29" fillId="0" borderId="90" xfId="0" applyFont="1" applyBorder="1"/>
    <xf numFmtId="172" fontId="29" fillId="0" borderId="103" xfId="0" applyNumberFormat="1" applyFont="1" applyBorder="1"/>
    <xf numFmtId="167" fontId="29" fillId="0" borderId="85" xfId="0" applyNumberFormat="1" applyFont="1" applyBorder="1"/>
    <xf numFmtId="0" fontId="29" fillId="0" borderId="59" xfId="0" applyFont="1" applyBorder="1"/>
    <xf numFmtId="167" fontId="29" fillId="2" borderId="2" xfId="0" applyNumberFormat="1" applyFont="1" applyFill="1" applyBorder="1"/>
    <xf numFmtId="167" fontId="29" fillId="0" borderId="43" xfId="0" applyNumberFormat="1" applyFont="1" applyBorder="1"/>
    <xf numFmtId="167" fontId="29" fillId="2" borderId="0" xfId="0" applyNumberFormat="1" applyFont="1" applyFill="1" applyBorder="1"/>
    <xf numFmtId="167" fontId="29" fillId="0" borderId="13" xfId="0" applyNumberFormat="1" applyFont="1" applyBorder="1"/>
    <xf numFmtId="0" fontId="29" fillId="0" borderId="5" xfId="0" applyFont="1" applyBorder="1"/>
    <xf numFmtId="0" fontId="29" fillId="0" borderId="57" xfId="0" applyFont="1" applyBorder="1"/>
    <xf numFmtId="0" fontId="29" fillId="0" borderId="110" xfId="0" applyFont="1" applyBorder="1"/>
    <xf numFmtId="0" fontId="29" fillId="0" borderId="28" xfId="0" applyFont="1" applyBorder="1"/>
    <xf numFmtId="167" fontId="28" fillId="0" borderId="43" xfId="0" applyNumberFormat="1" applyFont="1" applyBorder="1"/>
    <xf numFmtId="0" fontId="29" fillId="0" borderId="66" xfId="0" applyFont="1" applyBorder="1"/>
    <xf numFmtId="0" fontId="29" fillId="0" borderId="102" xfId="0" applyFont="1" applyBorder="1"/>
    <xf numFmtId="0" fontId="29" fillId="0" borderId="68" xfId="0" applyFont="1" applyBorder="1"/>
    <xf numFmtId="0" fontId="29" fillId="0" borderId="100" xfId="0" applyFont="1" applyBorder="1" applyAlignment="1">
      <alignment horizontal="left"/>
    </xf>
    <xf numFmtId="0" fontId="28" fillId="0" borderId="90" xfId="0" quotePrefix="1" applyFont="1" applyBorder="1" applyAlignment="1">
      <alignment horizontal="left"/>
    </xf>
    <xf numFmtId="0" fontId="31" fillId="0" borderId="85" xfId="0" applyFont="1" applyBorder="1"/>
    <xf numFmtId="0" fontId="31" fillId="0" borderId="102" xfId="0" applyFont="1" applyBorder="1"/>
    <xf numFmtId="0" fontId="31" fillId="0" borderId="68" xfId="0" applyFont="1" applyBorder="1"/>
    <xf numFmtId="0" fontId="29" fillId="0" borderId="43" xfId="0" applyFont="1" applyBorder="1" applyAlignment="1">
      <alignment horizontal="left"/>
    </xf>
    <xf numFmtId="0" fontId="28" fillId="0" borderId="114" xfId="0" applyFont="1" applyFill="1" applyBorder="1" applyAlignment="1">
      <alignment horizontal="left"/>
    </xf>
    <xf numFmtId="0" fontId="29" fillId="0" borderId="115" xfId="0" applyFont="1" applyFill="1" applyBorder="1" applyAlignment="1"/>
    <xf numFmtId="0" fontId="28" fillId="0" borderId="116" xfId="0" applyFont="1" applyFill="1" applyBorder="1" applyAlignment="1"/>
    <xf numFmtId="179" fontId="16" fillId="2" borderId="117" xfId="0" applyNumberFormat="1" applyFont="1" applyFill="1" applyBorder="1" applyAlignment="1" applyProtection="1">
      <alignment horizontal="center"/>
    </xf>
    <xf numFmtId="164" fontId="28" fillId="0" borderId="116" xfId="0" applyNumberFormat="1" applyFont="1" applyFill="1" applyBorder="1" applyAlignment="1"/>
    <xf numFmtId="0" fontId="29" fillId="0" borderId="116" xfId="0" applyFont="1" applyFill="1" applyBorder="1" applyAlignment="1"/>
    <xf numFmtId="0" fontId="29" fillId="0" borderId="118" xfId="0" applyFont="1" applyFill="1" applyBorder="1" applyAlignment="1"/>
    <xf numFmtId="0" fontId="29" fillId="0" borderId="0" xfId="0" applyFont="1" applyBorder="1"/>
    <xf numFmtId="0" fontId="28" fillId="0" borderId="110" xfId="0" applyFont="1" applyBorder="1"/>
    <xf numFmtId="0" fontId="6" fillId="0" borderId="119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29" fillId="0" borderId="3" xfId="0" quotePrefix="1" applyFont="1" applyFill="1" applyBorder="1" applyAlignment="1"/>
    <xf numFmtId="0" fontId="29" fillId="0" borderId="3" xfId="0" applyFont="1" applyFill="1" applyBorder="1" applyAlignment="1"/>
    <xf numFmtId="0" fontId="29" fillId="0" borderId="4" xfId="0" applyFont="1" applyFill="1" applyBorder="1" applyAlignment="1"/>
    <xf numFmtId="0" fontId="29" fillId="0" borderId="120" xfId="0" quotePrefix="1" applyFont="1" applyFill="1" applyBorder="1" applyAlignment="1"/>
    <xf numFmtId="0" fontId="29" fillId="0" borderId="121" xfId="0" applyFont="1" applyFill="1" applyBorder="1" applyAlignment="1"/>
    <xf numFmtId="0" fontId="29" fillId="0" borderId="111" xfId="0" quotePrefix="1" applyFont="1" applyFill="1" applyBorder="1" applyAlignment="1"/>
    <xf numFmtId="0" fontId="29" fillId="0" borderId="122" xfId="0" applyFont="1" applyFill="1" applyBorder="1" applyAlignment="1"/>
    <xf numFmtId="0" fontId="29" fillId="0" borderId="63" xfId="0" applyFont="1" applyFill="1" applyBorder="1" applyAlignment="1"/>
    <xf numFmtId="0" fontId="29" fillId="0" borderId="123" xfId="0" applyFont="1" applyFill="1" applyBorder="1" applyAlignment="1"/>
    <xf numFmtId="0" fontId="29" fillId="0" borderId="3" xfId="0" quotePrefix="1" applyFont="1" applyFill="1" applyBorder="1" applyAlignment="1">
      <alignment horizontal="left"/>
    </xf>
    <xf numFmtId="0" fontId="31" fillId="0" borderId="54" xfId="0" applyFont="1" applyBorder="1"/>
    <xf numFmtId="167" fontId="29" fillId="0" borderId="73" xfId="0" applyNumberFormat="1" applyFont="1" applyBorder="1"/>
    <xf numFmtId="167" fontId="28" fillId="0" borderId="40" xfId="0" applyNumberFormat="1" applyFont="1" applyBorder="1"/>
    <xf numFmtId="0" fontId="6" fillId="0" borderId="46" xfId="0" applyFont="1" applyBorder="1"/>
    <xf numFmtId="166" fontId="29" fillId="0" borderId="6" xfId="0" applyNumberFormat="1" applyFont="1" applyFill="1" applyBorder="1" applyAlignment="1"/>
    <xf numFmtId="166" fontId="29" fillId="0" borderId="36" xfId="0" applyNumberFormat="1" applyFont="1" applyFill="1" applyBorder="1" applyAlignment="1"/>
    <xf numFmtId="0" fontId="28" fillId="0" borderId="101" xfId="0" applyFont="1" applyFill="1" applyBorder="1" applyAlignment="1">
      <alignment horizontal="left"/>
    </xf>
    <xf numFmtId="166" fontId="29" fillId="0" borderId="31" xfId="0" applyNumberFormat="1" applyFont="1" applyFill="1" applyBorder="1" applyAlignment="1"/>
    <xf numFmtId="166" fontId="29" fillId="0" borderId="105" xfId="0" applyNumberFormat="1" applyFont="1" applyFill="1" applyBorder="1" applyAlignment="1"/>
    <xf numFmtId="0" fontId="29" fillId="0" borderId="57" xfId="0" applyFont="1" applyFill="1" applyBorder="1" applyAlignment="1"/>
    <xf numFmtId="0" fontId="29" fillId="0" borderId="60" xfId="0" applyFont="1" applyFill="1" applyBorder="1" applyAlignment="1"/>
    <xf numFmtId="166" fontId="29" fillId="0" borderId="103" xfId="0" applyNumberFormat="1" applyFont="1" applyFill="1" applyBorder="1" applyAlignment="1"/>
    <xf numFmtId="0" fontId="29" fillId="0" borderId="85" xfId="0" applyFont="1" applyFill="1" applyBorder="1" applyAlignment="1"/>
    <xf numFmtId="167" fontId="29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11" fillId="0" borderId="1" xfId="0" quotePrefix="1" applyFont="1" applyBorder="1" applyAlignment="1">
      <alignment horizontal="center"/>
    </xf>
    <xf numFmtId="0" fontId="7" fillId="0" borderId="28" xfId="0" applyFont="1" applyBorder="1"/>
    <xf numFmtId="167" fontId="0" fillId="0" borderId="54" xfId="0" applyNumberFormat="1" applyBorder="1"/>
    <xf numFmtId="0" fontId="2" fillId="0" borderId="0" xfId="0" applyFont="1" applyBorder="1"/>
    <xf numFmtId="167" fontId="1" fillId="0" borderId="0" xfId="0" applyNumberFormat="1" applyFont="1" applyBorder="1"/>
    <xf numFmtId="0" fontId="16" fillId="0" borderId="11" xfId="0" applyFont="1" applyBorder="1"/>
    <xf numFmtId="0" fontId="36" fillId="6" borderId="101" xfId="0" applyFont="1" applyFill="1" applyBorder="1" applyAlignment="1">
      <alignment horizontal="left"/>
    </xf>
    <xf numFmtId="0" fontId="49" fillId="0" borderId="115" xfId="0" applyFont="1" applyBorder="1"/>
    <xf numFmtId="0" fontId="49" fillId="0" borderId="116" xfId="0" applyFont="1" applyBorder="1"/>
    <xf numFmtId="0" fontId="49" fillId="0" borderId="11" xfId="0" applyFont="1" applyBorder="1"/>
    <xf numFmtId="0" fontId="50" fillId="0" borderId="0" xfId="0" applyFont="1" applyBorder="1"/>
    <xf numFmtId="0" fontId="50" fillId="0" borderId="87" xfId="0" applyFont="1" applyBorder="1"/>
    <xf numFmtId="0" fontId="50" fillId="0" borderId="13" xfId="0" applyFont="1" applyBorder="1"/>
    <xf numFmtId="0" fontId="49" fillId="0" borderId="8" xfId="0" applyFont="1" applyBorder="1" applyAlignment="1">
      <alignment horizontal="center"/>
    </xf>
    <xf numFmtId="0" fontId="49" fillId="0" borderId="24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13" xfId="0" applyFont="1" applyBorder="1" applyAlignment="1">
      <alignment horizontal="center"/>
    </xf>
    <xf numFmtId="0" fontId="50" fillId="0" borderId="124" xfId="0" applyFont="1" applyBorder="1" applyAlignment="1">
      <alignment horizontal="center"/>
    </xf>
    <xf numFmtId="1" fontId="49" fillId="0" borderId="9" xfId="0" applyNumberFormat="1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49" fillId="0" borderId="125" xfId="0" applyFont="1" applyBorder="1" applyAlignment="1">
      <alignment horizontal="center"/>
    </xf>
    <xf numFmtId="0" fontId="49" fillId="0" borderId="9" xfId="0" applyFont="1" applyBorder="1" applyAlignment="1">
      <alignment horizontal="center"/>
    </xf>
    <xf numFmtId="0" fontId="49" fillId="0" borderId="126" xfId="0" applyFont="1" applyBorder="1" applyAlignment="1">
      <alignment horizontal="center"/>
    </xf>
    <xf numFmtId="0" fontId="51" fillId="0" borderId="127" xfId="0" applyFont="1" applyBorder="1"/>
    <xf numFmtId="0" fontId="52" fillId="0" borderId="9" xfId="0" applyFont="1" applyBorder="1"/>
    <xf numFmtId="171" fontId="52" fillId="0" borderId="26" xfId="0" applyNumberFormat="1" applyFont="1" applyBorder="1"/>
    <xf numFmtId="0" fontId="52" fillId="0" borderId="26" xfId="0" applyFont="1" applyBorder="1"/>
    <xf numFmtId="0" fontId="52" fillId="0" borderId="80" xfId="0" applyFont="1" applyBorder="1"/>
    <xf numFmtId="0" fontId="49" fillId="5" borderId="101" xfId="0" applyFont="1" applyFill="1" applyBorder="1"/>
    <xf numFmtId="0" fontId="49" fillId="5" borderId="31" xfId="0" applyFont="1" applyFill="1" applyBorder="1"/>
    <xf numFmtId="0" fontId="49" fillId="5" borderId="29" xfId="0" applyFont="1" applyFill="1" applyBorder="1"/>
    <xf numFmtId="0" fontId="49" fillId="5" borderId="30" xfId="0" applyFont="1" applyFill="1" applyBorder="1"/>
    <xf numFmtId="0" fontId="49" fillId="5" borderId="85" xfId="0" applyFont="1" applyFill="1" applyBorder="1"/>
    <xf numFmtId="0" fontId="51" fillId="0" borderId="11" xfId="0" applyFont="1" applyBorder="1"/>
    <xf numFmtId="0" fontId="52" fillId="0" borderId="1" xfId="0" applyFont="1" applyBorder="1"/>
    <xf numFmtId="0" fontId="49" fillId="5" borderId="7" xfId="0" applyFont="1" applyFill="1" applyBorder="1"/>
    <xf numFmtId="0" fontId="49" fillId="5" borderId="27" xfId="0" applyFont="1" applyFill="1" applyBorder="1"/>
    <xf numFmtId="0" fontId="49" fillId="2" borderId="110" xfId="0" applyFont="1" applyFill="1" applyBorder="1"/>
    <xf numFmtId="0" fontId="49" fillId="2" borderId="128" xfId="0" applyFont="1" applyFill="1" applyBorder="1"/>
    <xf numFmtId="171" fontId="52" fillId="0" borderId="129" xfId="0" applyNumberFormat="1" applyFont="1" applyBorder="1"/>
    <xf numFmtId="0" fontId="49" fillId="2" borderId="54" xfId="0" applyFont="1" applyFill="1" applyBorder="1"/>
    <xf numFmtId="0" fontId="49" fillId="2" borderId="27" xfId="0" applyFont="1" applyFill="1" applyBorder="1"/>
    <xf numFmtId="0" fontId="49" fillId="2" borderId="7" xfId="0" applyFont="1" applyFill="1" applyBorder="1"/>
    <xf numFmtId="0" fontId="49" fillId="2" borderId="130" xfId="0" applyFont="1" applyFill="1" applyBorder="1"/>
    <xf numFmtId="0" fontId="49" fillId="2" borderId="131" xfId="0" applyFont="1" applyFill="1" applyBorder="1"/>
    <xf numFmtId="0" fontId="49" fillId="2" borderId="86" xfId="0" applyFont="1" applyFill="1" applyBorder="1"/>
    <xf numFmtId="171" fontId="52" fillId="0" borderId="87" xfId="0" applyNumberFormat="1" applyFont="1" applyBorder="1"/>
    <xf numFmtId="0" fontId="49" fillId="2" borderId="62" xfId="0" applyFont="1" applyFill="1" applyBorder="1"/>
    <xf numFmtId="0" fontId="49" fillId="2" borderId="87" xfId="0" applyFont="1" applyFill="1" applyBorder="1"/>
    <xf numFmtId="0" fontId="49" fillId="2" borderId="58" xfId="0" applyFont="1" applyFill="1" applyBorder="1"/>
    <xf numFmtId="0" fontId="49" fillId="2" borderId="10" xfId="0" applyFont="1" applyFill="1" applyBorder="1"/>
    <xf numFmtId="0" fontId="49" fillId="2" borderId="32" xfId="0" applyFont="1" applyFill="1" applyBorder="1"/>
    <xf numFmtId="0" fontId="49" fillId="2" borderId="124" xfId="0" applyFont="1" applyFill="1" applyBorder="1"/>
    <xf numFmtId="0" fontId="49" fillId="2" borderId="1" xfId="0" applyFont="1" applyFill="1" applyBorder="1"/>
    <xf numFmtId="0" fontId="49" fillId="2" borderId="26" xfId="0" applyFont="1" applyFill="1" applyBorder="1"/>
    <xf numFmtId="0" fontId="49" fillId="2" borderId="9" xfId="0" applyFont="1" applyFill="1" applyBorder="1"/>
    <xf numFmtId="0" fontId="49" fillId="2" borderId="80" xfId="0" applyFont="1" applyFill="1" applyBorder="1"/>
    <xf numFmtId="0" fontId="51" fillId="0" borderId="124" xfId="0" applyFont="1" applyBorder="1"/>
    <xf numFmtId="0" fontId="51" fillId="0" borderId="9" xfId="0" applyFont="1" applyBorder="1"/>
    <xf numFmtId="0" fontId="51" fillId="0" borderId="26" xfId="0" applyFont="1" applyBorder="1"/>
    <xf numFmtId="0" fontId="51" fillId="0" borderId="1" xfId="0" applyFont="1" applyBorder="1"/>
    <xf numFmtId="0" fontId="51" fillId="0" borderId="80" xfId="0" applyFont="1" applyBorder="1"/>
    <xf numFmtId="0" fontId="48" fillId="5" borderId="101" xfId="0" applyFont="1" applyFill="1" applyBorder="1" applyAlignment="1">
      <alignment horizontal="center"/>
    </xf>
    <xf numFmtId="0" fontId="52" fillId="0" borderId="11" xfId="0" applyFont="1" applyBorder="1"/>
    <xf numFmtId="0" fontId="52" fillId="0" borderId="8" xfId="0" applyFont="1" applyBorder="1"/>
    <xf numFmtId="1" fontId="52" fillId="0" borderId="24" xfId="0" applyNumberFormat="1" applyFont="1" applyBorder="1"/>
    <xf numFmtId="0" fontId="52" fillId="0" borderId="0" xfId="0" applyFont="1" applyBorder="1"/>
    <xf numFmtId="0" fontId="52" fillId="0" borderId="24" xfId="0" applyFont="1" applyBorder="1"/>
    <xf numFmtId="0" fontId="52" fillId="0" borderId="13" xfId="0" applyFont="1" applyBorder="1"/>
    <xf numFmtId="0" fontId="48" fillId="5" borderId="127" xfId="0" applyFont="1" applyFill="1" applyBorder="1" applyAlignment="1">
      <alignment horizontal="center"/>
    </xf>
    <xf numFmtId="0" fontId="51" fillId="0" borderId="101" xfId="0" applyFont="1" applyBorder="1"/>
    <xf numFmtId="0" fontId="52" fillId="0" borderId="31" xfId="0" applyFont="1" applyBorder="1"/>
    <xf numFmtId="171" fontId="52" fillId="0" borderId="29" xfId="0" applyNumberFormat="1" applyFont="1" applyBorder="1"/>
    <xf numFmtId="0" fontId="52" fillId="0" borderId="30" xfId="0" applyFont="1" applyBorder="1"/>
    <xf numFmtId="0" fontId="52" fillId="0" borderId="29" xfId="0" applyFont="1" applyBorder="1"/>
    <xf numFmtId="0" fontId="52" fillId="0" borderId="85" xfId="0" applyFont="1" applyBorder="1"/>
    <xf numFmtId="0" fontId="50" fillId="0" borderId="11" xfId="0" applyFont="1" applyBorder="1"/>
    <xf numFmtId="0" fontId="49" fillId="0" borderId="10" xfId="0" applyFont="1" applyBorder="1"/>
    <xf numFmtId="166" fontId="49" fillId="0" borderId="32" xfId="0" applyNumberFormat="1" applyFont="1" applyBorder="1"/>
    <xf numFmtId="0" fontId="49" fillId="0" borderId="2" xfId="0" applyFont="1" applyBorder="1"/>
    <xf numFmtId="0" fontId="50" fillId="0" borderId="131" xfId="0" applyFont="1" applyBorder="1"/>
    <xf numFmtId="0" fontId="49" fillId="0" borderId="8" xfId="0" applyFont="1" applyBorder="1"/>
    <xf numFmtId="0" fontId="49" fillId="0" borderId="0" xfId="0" applyFont="1" applyBorder="1"/>
    <xf numFmtId="0" fontId="49" fillId="0" borderId="24" xfId="0" applyFont="1" applyBorder="1"/>
    <xf numFmtId="0" fontId="49" fillId="0" borderId="86" xfId="0" applyFont="1" applyBorder="1"/>
    <xf numFmtId="0" fontId="49" fillId="0" borderId="62" xfId="0" applyFont="1" applyBorder="1"/>
    <xf numFmtId="0" fontId="49" fillId="0" borderId="87" xfId="0" applyFont="1" applyBorder="1"/>
    <xf numFmtId="0" fontId="49" fillId="0" borderId="9" xfId="0" applyFont="1" applyBorder="1"/>
    <xf numFmtId="0" fontId="49" fillId="0" borderId="26" xfId="0" applyFont="1" applyBorder="1"/>
    <xf numFmtId="0" fontId="52" fillId="5" borderId="101" xfId="0" applyFont="1" applyFill="1" applyBorder="1"/>
    <xf numFmtId="0" fontId="52" fillId="5" borderId="30" xfId="0" applyFont="1" applyFill="1" applyBorder="1"/>
    <xf numFmtId="0" fontId="51" fillId="5" borderId="30" xfId="0" applyFont="1" applyFill="1" applyBorder="1" applyAlignment="1">
      <alignment horizontal="center"/>
    </xf>
    <xf numFmtId="0" fontId="52" fillId="5" borderId="29" xfId="0" applyFont="1" applyFill="1" applyBorder="1"/>
    <xf numFmtId="0" fontId="51" fillId="5" borderId="30" xfId="0" applyFont="1" applyFill="1" applyBorder="1"/>
    <xf numFmtId="0" fontId="52" fillId="5" borderId="85" xfId="0" applyFont="1" applyFill="1" applyBorder="1"/>
    <xf numFmtId="167" fontId="49" fillId="0" borderId="46" xfId="0" applyNumberFormat="1" applyFont="1" applyBorder="1"/>
    <xf numFmtId="0" fontId="49" fillId="0" borderId="42" xfId="0" applyFont="1" applyBorder="1"/>
    <xf numFmtId="0" fontId="49" fillId="0" borderId="46" xfId="0" applyFont="1" applyBorder="1"/>
    <xf numFmtId="0" fontId="49" fillId="0" borderId="129" xfId="0" applyFont="1" applyBorder="1"/>
    <xf numFmtId="0" fontId="53" fillId="0" borderId="0" xfId="0" applyFont="1" applyBorder="1"/>
    <xf numFmtId="0" fontId="49" fillId="0" borderId="54" xfId="0" applyFont="1" applyBorder="1"/>
    <xf numFmtId="0" fontId="49" fillId="2" borderId="13" xfId="0" applyFont="1" applyFill="1" applyBorder="1"/>
    <xf numFmtId="167" fontId="49" fillId="0" borderId="39" xfId="0" applyNumberFormat="1" applyFont="1" applyBorder="1"/>
    <xf numFmtId="0" fontId="49" fillId="0" borderId="61" xfId="0" applyFont="1" applyBorder="1"/>
    <xf numFmtId="0" fontId="49" fillId="0" borderId="40" xfId="0" applyFont="1" applyBorder="1"/>
    <xf numFmtId="167" fontId="49" fillId="0" borderId="79" xfId="0" applyNumberFormat="1" applyFont="1" applyBorder="1"/>
    <xf numFmtId="0" fontId="49" fillId="0" borderId="1" xfId="0" applyFont="1" applyBorder="1"/>
    <xf numFmtId="0" fontId="49" fillId="0" borderId="79" xfId="0" applyFont="1" applyBorder="1"/>
    <xf numFmtId="0" fontId="48" fillId="0" borderId="101" xfId="0" applyFont="1" applyBorder="1"/>
    <xf numFmtId="0" fontId="50" fillId="0" borderId="104" xfId="0" applyFont="1" applyBorder="1"/>
    <xf numFmtId="0" fontId="50" fillId="0" borderId="107" xfId="0" applyFont="1" applyBorder="1"/>
    <xf numFmtId="0" fontId="50" fillId="0" borderId="55" xfId="0" applyFont="1" applyBorder="1"/>
    <xf numFmtId="0" fontId="50" fillId="0" borderId="27" xfId="0" applyFont="1" applyBorder="1"/>
    <xf numFmtId="0" fontId="50" fillId="0" borderId="40" xfId="0" applyFont="1" applyBorder="1"/>
    <xf numFmtId="0" fontId="50" fillId="0" borderId="24" xfId="0" applyFont="1" applyBorder="1"/>
    <xf numFmtId="0" fontId="49" fillId="0" borderId="104" xfId="0" applyFont="1" applyBorder="1"/>
    <xf numFmtId="0" fontId="49" fillId="0" borderId="30" xfId="0" applyFont="1" applyBorder="1"/>
    <xf numFmtId="0" fontId="49" fillId="0" borderId="29" xfId="0" applyFont="1" applyBorder="1"/>
    <xf numFmtId="0" fontId="49" fillId="0" borderId="63" xfId="0" applyFont="1" applyBorder="1"/>
    <xf numFmtId="0" fontId="50" fillId="0" borderId="5" xfId="0" applyFont="1" applyBorder="1"/>
    <xf numFmtId="0" fontId="54" fillId="0" borderId="132" xfId="0" applyFont="1" applyBorder="1"/>
    <xf numFmtId="0" fontId="50" fillId="0" borderId="133" xfId="0" applyFont="1" applyBorder="1"/>
    <xf numFmtId="0" fontId="50" fillId="0" borderId="61" xfId="0" applyFont="1" applyBorder="1"/>
    <xf numFmtId="0" fontId="50" fillId="0" borderId="134" xfId="0" applyFont="1" applyBorder="1"/>
    <xf numFmtId="0" fontId="50" fillId="0" borderId="14" xfId="0" applyFont="1" applyBorder="1"/>
    <xf numFmtId="1" fontId="49" fillId="0" borderId="125" xfId="0" applyNumberFormat="1" applyFont="1" applyBorder="1" applyAlignment="1">
      <alignment horizontal="center"/>
    </xf>
    <xf numFmtId="167" fontId="54" fillId="0" borderId="39" xfId="0" applyNumberFormat="1" applyFont="1" applyBorder="1"/>
    <xf numFmtId="167" fontId="54" fillId="0" borderId="46" xfId="0" applyNumberFormat="1" applyFont="1" applyBorder="1"/>
    <xf numFmtId="167" fontId="54" fillId="0" borderId="61" xfId="0" applyNumberFormat="1" applyFont="1" applyBorder="1"/>
    <xf numFmtId="167" fontId="54" fillId="0" borderId="104" xfId="0" applyNumberFormat="1" applyFont="1" applyBorder="1"/>
    <xf numFmtId="171" fontId="51" fillId="0" borderId="26" xfId="0" applyNumberFormat="1" applyFont="1" applyBorder="1"/>
    <xf numFmtId="0" fontId="50" fillId="0" borderId="11" xfId="0" quotePrefix="1" applyFont="1" applyBorder="1" applyAlignment="1">
      <alignment horizontal="left"/>
    </xf>
    <xf numFmtId="0" fontId="50" fillId="0" borderId="135" xfId="0" applyFont="1" applyBorder="1"/>
    <xf numFmtId="0" fontId="50" fillId="0" borderId="136" xfId="0" applyFont="1" applyBorder="1"/>
    <xf numFmtId="0" fontId="50" fillId="0" borderId="70" xfId="0" applyFont="1" applyBorder="1"/>
    <xf numFmtId="0" fontId="50" fillId="0" borderId="137" xfId="0" applyFont="1" applyBorder="1"/>
    <xf numFmtId="0" fontId="49" fillId="0" borderId="14" xfId="0" applyFont="1" applyBorder="1"/>
    <xf numFmtId="167" fontId="4" fillId="2" borderId="5" xfId="0" applyNumberFormat="1" applyFont="1" applyFill="1" applyBorder="1"/>
    <xf numFmtId="0" fontId="7" fillId="0" borderId="138" xfId="0" quotePrefix="1" applyFont="1" applyBorder="1" applyAlignment="1">
      <alignment horizontal="left"/>
    </xf>
    <xf numFmtId="167" fontId="49" fillId="0" borderId="43" xfId="0" applyNumberFormat="1" applyFont="1" applyBorder="1"/>
    <xf numFmtId="167" fontId="49" fillId="0" borderId="58" xfId="0" applyNumberFormat="1" applyFont="1" applyBorder="1"/>
    <xf numFmtId="167" fontId="49" fillId="0" borderId="12" xfId="0" applyNumberFormat="1" applyFont="1" applyBorder="1"/>
    <xf numFmtId="0" fontId="7" fillId="0" borderId="40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9" xfId="0" quotePrefix="1" applyFont="1" applyBorder="1" applyAlignment="1">
      <alignment horizontal="left"/>
    </xf>
    <xf numFmtId="0" fontId="13" fillId="2" borderId="0" xfId="0" applyFont="1" applyFill="1" applyBorder="1"/>
    <xf numFmtId="0" fontId="56" fillId="0" borderId="88" xfId="0" quotePrefix="1" applyFont="1" applyBorder="1" applyAlignment="1">
      <alignment horizontal="left"/>
    </xf>
    <xf numFmtId="0" fontId="54" fillId="0" borderId="11" xfId="0" applyFont="1" applyBorder="1"/>
    <xf numFmtId="0" fontId="54" fillId="0" borderId="11" xfId="0" quotePrefix="1" applyFont="1" applyBorder="1" applyAlignment="1">
      <alignment horizontal="left"/>
    </xf>
    <xf numFmtId="167" fontId="49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7" fillId="0" borderId="36" xfId="0" applyFont="1" applyBorder="1"/>
    <xf numFmtId="0" fontId="0" fillId="0" borderId="115" xfId="0" applyBorder="1"/>
    <xf numFmtId="0" fontId="41" fillId="0" borderId="140" xfId="0" applyFont="1" applyBorder="1"/>
    <xf numFmtId="0" fontId="16" fillId="0" borderId="0" xfId="0" quotePrefix="1" applyFont="1" applyBorder="1" applyAlignment="1">
      <alignment horizontal="left"/>
    </xf>
    <xf numFmtId="0" fontId="16" fillId="0" borderId="87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41" xfId="0" applyNumberFormat="1" applyFont="1" applyFill="1" applyBorder="1"/>
    <xf numFmtId="0" fontId="28" fillId="0" borderId="101" xfId="0" applyFont="1" applyBorder="1"/>
    <xf numFmtId="0" fontId="11" fillId="0" borderId="0" xfId="0" applyFont="1"/>
    <xf numFmtId="167" fontId="11" fillId="0" borderId="142" xfId="0" applyNumberFormat="1" applyFont="1" applyBorder="1"/>
    <xf numFmtId="0" fontId="0" fillId="0" borderId="32" xfId="0" applyBorder="1"/>
    <xf numFmtId="0" fontId="11" fillId="0" borderId="143" xfId="0" applyFont="1" applyBorder="1" applyAlignment="1">
      <alignment horizontal="center"/>
    </xf>
    <xf numFmtId="0" fontId="11" fillId="0" borderId="115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54" xfId="0" applyFont="1" applyBorder="1"/>
    <xf numFmtId="167" fontId="7" fillId="2" borderId="0" xfId="0" applyNumberFormat="1" applyFont="1" applyFill="1" applyBorder="1" applyProtection="1"/>
    <xf numFmtId="179" fontId="41" fillId="0" borderId="31" xfId="0" applyNumberFormat="1" applyFont="1" applyBorder="1" applyAlignment="1">
      <alignment horizontal="right"/>
    </xf>
    <xf numFmtId="0" fontId="43" fillId="0" borderId="29" xfId="0" applyFont="1" applyBorder="1"/>
    <xf numFmtId="0" fontId="0" fillId="0" borderId="0" xfId="0" applyAlignment="1"/>
    <xf numFmtId="0" fontId="0" fillId="0" borderId="58" xfId="0" applyBorder="1"/>
    <xf numFmtId="167" fontId="1" fillId="2" borderId="61" xfId="0" applyNumberFormat="1" applyFont="1" applyFill="1" applyBorder="1"/>
    <xf numFmtId="167" fontId="7" fillId="0" borderId="73" xfId="0" applyNumberFormat="1" applyFont="1" applyBorder="1"/>
    <xf numFmtId="167" fontId="7" fillId="0" borderId="13" xfId="0" applyNumberFormat="1" applyFont="1" applyBorder="1"/>
    <xf numFmtId="167" fontId="7" fillId="0" borderId="79" xfId="0" applyNumberFormat="1" applyFont="1" applyBorder="1"/>
    <xf numFmtId="167" fontId="7" fillId="0" borderId="80" xfId="0" applyNumberFormat="1" applyFont="1" applyBorder="1"/>
    <xf numFmtId="0" fontId="0" fillId="0" borderId="144" xfId="0" applyBorder="1"/>
    <xf numFmtId="0" fontId="8" fillId="0" borderId="86" xfId="0" applyFont="1" applyBorder="1"/>
    <xf numFmtId="167" fontId="50" fillId="0" borderId="55" xfId="0" applyNumberFormat="1" applyFont="1" applyBorder="1"/>
    <xf numFmtId="167" fontId="49" fillId="0" borderId="61" xfId="0" applyNumberFormat="1" applyFont="1" applyBorder="1"/>
    <xf numFmtId="167" fontId="50" fillId="0" borderId="40" xfId="0" applyNumberFormat="1" applyFont="1" applyBorder="1"/>
    <xf numFmtId="167" fontId="49" fillId="0" borderId="104" xfId="0" applyNumberFormat="1" applyFont="1" applyBorder="1"/>
    <xf numFmtId="0" fontId="49" fillId="5" borderId="110" xfId="0" applyFont="1" applyFill="1" applyBorder="1"/>
    <xf numFmtId="0" fontId="49" fillId="5" borderId="54" xfId="0" applyFont="1" applyFill="1" applyBorder="1"/>
    <xf numFmtId="0" fontId="49" fillId="5" borderId="130" xfId="0" applyFont="1" applyFill="1" applyBorder="1"/>
    <xf numFmtId="0" fontId="4" fillId="2" borderId="145" xfId="0" applyFont="1" applyFill="1" applyBorder="1"/>
    <xf numFmtId="0" fontId="51" fillId="2" borderId="110" xfId="0" applyFont="1" applyFill="1" applyBorder="1"/>
    <xf numFmtId="0" fontId="48" fillId="5" borderId="85" xfId="0" applyFont="1" applyFill="1" applyBorder="1" applyAlignment="1">
      <alignment horizontal="left"/>
    </xf>
    <xf numFmtId="0" fontId="51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7" fillId="2" borderId="115" xfId="0" applyFont="1" applyFill="1" applyBorder="1" applyProtection="1"/>
    <xf numFmtId="164" fontId="57" fillId="2" borderId="115" xfId="0" applyNumberFormat="1" applyFont="1" applyFill="1" applyBorder="1" applyAlignment="1" applyProtection="1">
      <alignment horizontal="center"/>
    </xf>
    <xf numFmtId="164" fontId="57" fillId="2" borderId="15" xfId="0" applyNumberFormat="1" applyFont="1" applyFill="1" applyBorder="1" applyAlignment="1" applyProtection="1">
      <alignment horizontal="center"/>
    </xf>
    <xf numFmtId="0" fontId="56" fillId="2" borderId="11" xfId="0" quotePrefix="1" applyFont="1" applyFill="1" applyBorder="1" applyAlignment="1" applyProtection="1">
      <alignment horizontal="left"/>
    </xf>
    <xf numFmtId="0" fontId="57" fillId="2" borderId="0" xfId="0" applyFont="1" applyFill="1" applyBorder="1" applyProtection="1"/>
    <xf numFmtId="0" fontId="57" fillId="2" borderId="13" xfId="0" applyFont="1" applyFill="1" applyBorder="1" applyProtection="1"/>
    <xf numFmtId="0" fontId="58" fillId="2" borderId="11" xfId="0" applyFont="1" applyFill="1" applyBorder="1" applyProtection="1"/>
    <xf numFmtId="0" fontId="56" fillId="2" borderId="0" xfId="0" applyFont="1" applyFill="1" applyBorder="1" applyAlignment="1" applyProtection="1">
      <alignment horizontal="center"/>
    </xf>
    <xf numFmtId="0" fontId="56" fillId="2" borderId="13" xfId="0" applyFont="1" applyFill="1" applyBorder="1" applyAlignment="1" applyProtection="1">
      <alignment horizontal="center"/>
    </xf>
    <xf numFmtId="0" fontId="58" fillId="2" borderId="146" xfId="0" applyFont="1" applyFill="1" applyBorder="1" applyAlignment="1" applyProtection="1">
      <alignment horizontal="left"/>
    </xf>
    <xf numFmtId="0" fontId="57" fillId="2" borderId="147" xfId="0" applyFont="1" applyFill="1" applyBorder="1" applyProtection="1"/>
    <xf numFmtId="164" fontId="57" fillId="2" borderId="91" xfId="0" applyNumberFormat="1" applyFont="1" applyFill="1" applyBorder="1" applyProtection="1"/>
    <xf numFmtId="164" fontId="57" fillId="2" borderId="93" xfId="0" applyNumberFormat="1" applyFont="1" applyFill="1" applyBorder="1" applyProtection="1"/>
    <xf numFmtId="0" fontId="59" fillId="2" borderId="11" xfId="0" applyFont="1" applyFill="1" applyBorder="1" applyProtection="1"/>
    <xf numFmtId="166" fontId="57" fillId="2" borderId="94" xfId="0" applyNumberFormat="1" applyFont="1" applyFill="1" applyBorder="1" applyProtection="1"/>
    <xf numFmtId="166" fontId="57" fillId="2" borderId="95" xfId="0" applyNumberFormat="1" applyFont="1" applyFill="1" applyBorder="1" applyProtection="1"/>
    <xf numFmtId="0" fontId="59" fillId="2" borderId="11" xfId="0" applyFont="1" applyFill="1" applyBorder="1" applyAlignment="1" applyProtection="1">
      <alignment horizontal="left"/>
    </xf>
    <xf numFmtId="0" fontId="57" fillId="2" borderId="0" xfId="0" applyFont="1" applyFill="1" applyBorder="1"/>
    <xf numFmtId="0" fontId="57" fillId="2" borderId="0" xfId="0" quotePrefix="1" applyFont="1" applyFill="1" applyBorder="1" applyAlignment="1" applyProtection="1">
      <alignment horizontal="left"/>
    </xf>
    <xf numFmtId="166" fontId="57" fillId="2" borderId="148" xfId="0" applyNumberFormat="1" applyFont="1" applyFill="1" applyBorder="1" applyProtection="1"/>
    <xf numFmtId="0" fontId="57" fillId="2" borderId="0" xfId="0" applyFont="1" applyFill="1" applyBorder="1" applyAlignment="1" applyProtection="1">
      <alignment horizontal="left"/>
    </xf>
    <xf numFmtId="0" fontId="59" fillId="2" borderId="149" xfId="0" applyFont="1" applyFill="1" applyBorder="1" applyAlignment="1" applyProtection="1">
      <alignment horizontal="left"/>
    </xf>
    <xf numFmtId="0" fontId="57" fillId="2" borderId="150" xfId="0" applyFont="1" applyFill="1" applyBorder="1" applyProtection="1"/>
    <xf numFmtId="166" fontId="57" fillId="2" borderId="97" xfId="0" applyNumberFormat="1" applyFont="1" applyFill="1" applyBorder="1" applyProtection="1"/>
    <xf numFmtId="166" fontId="57" fillId="2" borderId="151" xfId="0" applyNumberFormat="1" applyFont="1" applyFill="1" applyBorder="1" applyProtection="1"/>
    <xf numFmtId="0" fontId="56" fillId="2" borderId="0" xfId="0" applyFont="1" applyFill="1" applyBorder="1" applyProtection="1"/>
    <xf numFmtId="0" fontId="58" fillId="2" borderId="152" xfId="0" applyFont="1" applyFill="1" applyBorder="1" applyAlignment="1" applyProtection="1">
      <alignment horizontal="left"/>
    </xf>
    <xf numFmtId="0" fontId="57" fillId="2" borderId="153" xfId="0" applyFont="1" applyFill="1" applyBorder="1" applyProtection="1"/>
    <xf numFmtId="166" fontId="57" fillId="2" borderId="98" xfId="0" applyNumberFormat="1" applyFont="1" applyFill="1" applyBorder="1" applyProtection="1"/>
    <xf numFmtId="166" fontId="57" fillId="2" borderId="154" xfId="0" applyNumberFormat="1" applyFont="1" applyFill="1" applyBorder="1" applyProtection="1"/>
    <xf numFmtId="0" fontId="59" fillId="2" borderId="11" xfId="0" quotePrefix="1" applyFont="1" applyFill="1" applyBorder="1" applyAlignment="1" applyProtection="1">
      <alignment horizontal="left"/>
    </xf>
    <xf numFmtId="0" fontId="59" fillId="2" borderId="44" xfId="0" applyFont="1" applyFill="1" applyBorder="1" applyProtection="1"/>
    <xf numFmtId="0" fontId="57" fillId="2" borderId="2" xfId="0" applyFont="1" applyFill="1" applyBorder="1" applyProtection="1"/>
    <xf numFmtId="0" fontId="59" fillId="2" borderId="155" xfId="0" applyFont="1" applyFill="1" applyBorder="1" applyAlignment="1" applyProtection="1">
      <alignment horizontal="left"/>
    </xf>
    <xf numFmtId="0" fontId="57" fillId="2" borderId="156" xfId="0" applyFont="1" applyFill="1" applyBorder="1" applyProtection="1"/>
    <xf numFmtId="0" fontId="57" fillId="2" borderId="157" xfId="0" applyFont="1" applyFill="1" applyBorder="1" applyAlignment="1" applyProtection="1">
      <alignment horizontal="left"/>
    </xf>
    <xf numFmtId="0" fontId="57" fillId="2" borderId="25" xfId="0" applyFont="1" applyFill="1" applyBorder="1" applyProtection="1"/>
    <xf numFmtId="0" fontId="57" fillId="2" borderId="149" xfId="0" applyFont="1" applyFill="1" applyBorder="1" applyAlignment="1" applyProtection="1">
      <alignment horizontal="left"/>
    </xf>
    <xf numFmtId="0" fontId="57" fillId="2" borderId="14" xfId="0" applyFont="1" applyFill="1" applyBorder="1" applyProtection="1"/>
    <xf numFmtId="2" fontId="57" fillId="2" borderId="97" xfId="0" applyNumberFormat="1" applyFont="1" applyFill="1" applyBorder="1" applyProtection="1"/>
    <xf numFmtId="2" fontId="57" fillId="2" borderId="151" xfId="0" applyNumberFormat="1" applyFont="1" applyFill="1" applyBorder="1" applyProtection="1"/>
    <xf numFmtId="0" fontId="56" fillId="2" borderId="114" xfId="0" applyFont="1" applyFill="1" applyBorder="1" applyAlignment="1" applyProtection="1">
      <alignment horizontal="left"/>
    </xf>
    <xf numFmtId="164" fontId="57" fillId="2" borderId="115" xfId="0" applyNumberFormat="1" applyFont="1" applyFill="1" applyBorder="1" applyAlignment="1" applyProtection="1">
      <alignment horizontal="right"/>
    </xf>
    <xf numFmtId="164" fontId="57" fillId="2" borderId="15" xfId="0" applyNumberFormat="1" applyFont="1" applyFill="1" applyBorder="1" applyAlignment="1" applyProtection="1">
      <alignment horizontal="left"/>
    </xf>
    <xf numFmtId="166" fontId="57" fillId="2" borderId="94" xfId="0" applyNumberFormat="1" applyFont="1" applyFill="1" applyBorder="1" applyAlignment="1" applyProtection="1">
      <alignment horizontal="right"/>
    </xf>
    <xf numFmtId="166" fontId="57" fillId="2" borderId="95" xfId="0" applyNumberFormat="1" applyFont="1" applyFill="1" applyBorder="1" applyAlignment="1" applyProtection="1">
      <alignment horizontal="right"/>
    </xf>
    <xf numFmtId="166" fontId="57" fillId="2" borderId="158" xfId="0" applyNumberFormat="1" applyFont="1" applyFill="1" applyBorder="1" applyProtection="1"/>
    <xf numFmtId="166" fontId="57" fillId="2" borderId="78" xfId="0" applyNumberFormat="1" applyFont="1" applyFill="1" applyBorder="1" applyProtection="1"/>
    <xf numFmtId="0" fontId="59" fillId="2" borderId="119" xfId="0" applyFont="1" applyFill="1" applyBorder="1" applyAlignment="1" applyProtection="1">
      <alignment horizontal="left"/>
    </xf>
    <xf numFmtId="0" fontId="59" fillId="2" borderId="0" xfId="0" applyFont="1" applyFill="1" applyProtection="1"/>
    <xf numFmtId="0" fontId="57" fillId="2" borderId="0" xfId="0" applyFont="1" applyFill="1" applyProtection="1"/>
    <xf numFmtId="166" fontId="57" fillId="2" borderId="0" xfId="0" applyNumberFormat="1" applyFont="1" applyFill="1" applyProtection="1"/>
    <xf numFmtId="0" fontId="60" fillId="2" borderId="152" xfId="0" applyFont="1" applyFill="1" applyBorder="1" applyAlignment="1" applyProtection="1">
      <alignment horizontal="left"/>
    </xf>
    <xf numFmtId="0" fontId="57" fillId="2" borderId="159" xfId="0" applyFont="1" applyFill="1" applyBorder="1" applyAlignment="1" applyProtection="1">
      <alignment horizontal="left"/>
    </xf>
    <xf numFmtId="0" fontId="57" fillId="2" borderId="160" xfId="0" applyFont="1" applyFill="1" applyBorder="1" applyProtection="1"/>
    <xf numFmtId="2" fontId="57" fillId="2" borderId="91" xfId="0" applyNumberFormat="1" applyFont="1" applyFill="1" applyBorder="1" applyProtection="1"/>
    <xf numFmtId="2" fontId="57" fillId="2" borderId="93" xfId="0" applyNumberFormat="1" applyFont="1" applyFill="1" applyBorder="1" applyProtection="1"/>
    <xf numFmtId="0" fontId="57" fillId="2" borderId="119" xfId="0" applyFont="1" applyFill="1" applyBorder="1" applyAlignment="1" applyProtection="1">
      <alignment horizontal="left"/>
    </xf>
    <xf numFmtId="0" fontId="57" fillId="2" borderId="0" xfId="0" applyFont="1" applyFill="1"/>
    <xf numFmtId="0" fontId="57" fillId="0" borderId="0" xfId="0" applyFont="1"/>
    <xf numFmtId="0" fontId="57" fillId="2" borderId="161" xfId="0" quotePrefix="1" applyFont="1" applyFill="1" applyBorder="1" applyAlignment="1">
      <alignment horizontal="left"/>
    </xf>
    <xf numFmtId="0" fontId="57" fillId="2" borderId="162" xfId="0" applyFont="1" applyFill="1" applyBorder="1"/>
    <xf numFmtId="1" fontId="57" fillId="2" borderId="163" xfId="0" applyNumberFormat="1" applyFont="1" applyFill="1" applyBorder="1"/>
    <xf numFmtId="0" fontId="57" fillId="2" borderId="164" xfId="0" applyFont="1" applyFill="1" applyBorder="1"/>
    <xf numFmtId="0" fontId="59" fillId="2" borderId="115" xfId="0" applyFont="1" applyFill="1" applyBorder="1" applyProtection="1"/>
    <xf numFmtId="167" fontId="0" fillId="0" borderId="0" xfId="0" applyNumberFormat="1"/>
    <xf numFmtId="167" fontId="11" fillId="0" borderId="30" xfId="0" applyNumberFormat="1" applyFont="1" applyBorder="1"/>
    <xf numFmtId="167" fontId="11" fillId="0" borderId="29" xfId="0" applyNumberFormat="1" applyFont="1" applyBorder="1"/>
    <xf numFmtId="0" fontId="41" fillId="0" borderId="8" xfId="0" applyFont="1" applyBorder="1"/>
    <xf numFmtId="167" fontId="11" fillId="0" borderId="0" xfId="0" applyNumberFormat="1" applyFont="1" applyBorder="1"/>
    <xf numFmtId="179" fontId="41" fillId="0" borderId="30" xfId="0" applyNumberFormat="1" applyFont="1" applyBorder="1" applyAlignment="1">
      <alignment horizontal="left"/>
    </xf>
    <xf numFmtId="0" fontId="42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40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61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2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9" fontId="62" fillId="0" borderId="0" xfId="0" applyNumberFormat="1" applyFont="1" applyAlignment="1">
      <alignment horizontal="right" wrapText="1"/>
    </xf>
    <xf numFmtId="0" fontId="62" fillId="0" borderId="0" xfId="0" applyFont="1" applyAlignment="1">
      <alignment horizontal="center" wrapText="1"/>
    </xf>
    <xf numFmtId="0" fontId="62" fillId="0" borderId="0" xfId="0" applyFont="1" applyAlignment="1">
      <alignment wrapText="1"/>
    </xf>
    <xf numFmtId="49" fontId="62" fillId="0" borderId="0" xfId="0" applyNumberFormat="1" applyFont="1" applyAlignment="1">
      <alignment wrapText="1"/>
    </xf>
    <xf numFmtId="49" fontId="62" fillId="0" borderId="0" xfId="0" applyNumberFormat="1" applyFont="1" applyAlignment="1"/>
    <xf numFmtId="0" fontId="62" fillId="0" borderId="0" xfId="0" applyFont="1" applyBorder="1" applyAlignment="1"/>
    <xf numFmtId="0" fontId="62" fillId="0" borderId="0" xfId="0" applyFont="1" applyAlignment="1">
      <alignment horizontal="left"/>
    </xf>
    <xf numFmtId="49" fontId="62" fillId="0" borderId="0" xfId="0" applyNumberFormat="1" applyFont="1" applyAlignment="1">
      <alignment horizontal="right"/>
    </xf>
    <xf numFmtId="167" fontId="62" fillId="0" borderId="0" xfId="0" applyNumberFormat="1" applyFont="1" applyAlignment="1">
      <alignment wrapText="1"/>
    </xf>
    <xf numFmtId="0" fontId="62" fillId="0" borderId="0" xfId="0" applyFont="1" applyAlignment="1">
      <alignment horizontal="left" wrapText="1"/>
    </xf>
    <xf numFmtId="0" fontId="40" fillId="0" borderId="0" xfId="0" applyFont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40" fillId="0" borderId="0" xfId="0" quotePrefix="1" applyFont="1" applyBorder="1" applyAlignment="1">
      <alignment horizontal="center"/>
    </xf>
    <xf numFmtId="0" fontId="62" fillId="0" borderId="0" xfId="0" quotePrefix="1" applyFont="1" applyBorder="1" applyAlignment="1">
      <alignment horizontal="center"/>
    </xf>
    <xf numFmtId="167" fontId="62" fillId="0" borderId="0" xfId="0" applyNumberFormat="1" applyFont="1" applyBorder="1" applyAlignment="1">
      <alignment horizontal="left"/>
    </xf>
    <xf numFmtId="167" fontId="62" fillId="0" borderId="0" xfId="0" applyNumberFormat="1" applyFont="1" applyAlignment="1">
      <alignment horizontal="left"/>
    </xf>
    <xf numFmtId="0" fontId="16" fillId="0" borderId="87" xfId="0" applyFont="1" applyBorder="1" applyAlignment="1">
      <alignment horizontal="center"/>
    </xf>
    <xf numFmtId="167" fontId="62" fillId="0" borderId="0" xfId="0" applyNumberFormat="1" applyFont="1" applyBorder="1" applyAlignment="1">
      <alignment horizontal="center"/>
    </xf>
    <xf numFmtId="49" fontId="62" fillId="0" borderId="0" xfId="0" applyNumberFormat="1" applyFont="1" applyBorder="1" applyAlignment="1">
      <alignment horizontal="left"/>
    </xf>
    <xf numFmtId="0" fontId="62" fillId="0" borderId="0" xfId="0" applyFont="1" applyBorder="1" applyAlignment="1">
      <alignment horizontal="right"/>
    </xf>
    <xf numFmtId="0" fontId="62" fillId="0" borderId="0" xfId="0" applyFont="1" applyBorder="1" applyAlignment="1">
      <alignment horizontal="left"/>
    </xf>
    <xf numFmtId="0" fontId="62" fillId="0" borderId="0" xfId="0" applyFont="1" applyBorder="1"/>
    <xf numFmtId="0" fontId="62" fillId="10" borderId="0" xfId="0" applyFont="1" applyFill="1" applyBorder="1" applyAlignment="1">
      <alignment horizontal="left"/>
    </xf>
    <xf numFmtId="167" fontId="62" fillId="0" borderId="0" xfId="0" applyNumberFormat="1" applyFont="1" applyAlignment="1">
      <alignment horizontal="center"/>
    </xf>
    <xf numFmtId="167" fontId="62" fillId="0" borderId="0" xfId="0" applyNumberFormat="1" applyFont="1" applyBorder="1" applyAlignment="1">
      <alignment horizontal="right"/>
    </xf>
    <xf numFmtId="0" fontId="29" fillId="0" borderId="39" xfId="0" applyFont="1" applyFill="1" applyBorder="1" applyAlignment="1">
      <alignment horizontal="center"/>
    </xf>
    <xf numFmtId="1" fontId="29" fillId="0" borderId="39" xfId="0" applyNumberFormat="1" applyFont="1" applyFill="1" applyBorder="1" applyAlignment="1">
      <alignment horizontal="center"/>
    </xf>
    <xf numFmtId="166" fontId="28" fillId="0" borderId="63" xfId="0" applyNumberFormat="1" applyFont="1" applyBorder="1"/>
    <xf numFmtId="166" fontId="29" fillId="5" borderId="105" xfId="0" applyNumberFormat="1" applyFont="1" applyFill="1" applyBorder="1" applyAlignment="1"/>
    <xf numFmtId="0" fontId="28" fillId="5" borderId="85" xfId="0" applyFont="1" applyFill="1" applyBorder="1" applyAlignment="1">
      <alignment horizontal="left"/>
    </xf>
    <xf numFmtId="166" fontId="29" fillId="0" borderId="63" xfId="0" applyNumberFormat="1" applyFont="1" applyFill="1" applyBorder="1" applyAlignment="1"/>
    <xf numFmtId="166" fontId="28" fillId="0" borderId="111" xfId="0" applyNumberFormat="1" applyFont="1" applyFill="1" applyBorder="1" applyAlignment="1"/>
    <xf numFmtId="0" fontId="29" fillId="0" borderId="165" xfId="0" applyFont="1" applyFill="1" applyBorder="1" applyAlignment="1"/>
    <xf numFmtId="167" fontId="29" fillId="0" borderId="165" xfId="0" applyNumberFormat="1" applyFont="1" applyFill="1" applyBorder="1" applyAlignment="1"/>
    <xf numFmtId="166" fontId="29" fillId="0" borderId="166" xfId="0" applyNumberFormat="1" applyFont="1" applyFill="1" applyBorder="1" applyAlignment="1"/>
    <xf numFmtId="167" fontId="29" fillId="0" borderId="166" xfId="0" applyNumberFormat="1" applyFont="1" applyFill="1" applyBorder="1" applyAlignment="1"/>
    <xf numFmtId="167" fontId="29" fillId="0" borderId="50" xfId="0" applyNumberFormat="1" applyFont="1" applyFill="1" applyBorder="1" applyAlignment="1"/>
    <xf numFmtId="0" fontId="6" fillId="0" borderId="60" xfId="0" applyFont="1" applyBorder="1"/>
    <xf numFmtId="166" fontId="28" fillId="0" borderId="58" xfId="0" applyNumberFormat="1" applyFont="1" applyBorder="1"/>
    <xf numFmtId="166" fontId="29" fillId="0" borderId="63" xfId="0" applyNumberFormat="1" applyFont="1" applyBorder="1"/>
    <xf numFmtId="167" fontId="29" fillId="0" borderId="58" xfId="0" applyNumberFormat="1" applyFont="1" applyBorder="1"/>
    <xf numFmtId="0" fontId="6" fillId="0" borderId="3" xfId="0" applyFont="1" applyFill="1" applyBorder="1"/>
    <xf numFmtId="0" fontId="6" fillId="0" borderId="60" xfId="0" applyFont="1" applyFill="1" applyBorder="1"/>
    <xf numFmtId="166" fontId="29" fillId="0" borderId="58" xfId="0" applyNumberFormat="1" applyFont="1" applyBorder="1"/>
    <xf numFmtId="0" fontId="28" fillId="6" borderId="1" xfId="0" applyFont="1" applyFill="1" applyBorder="1" applyAlignment="1">
      <alignment horizontal="center"/>
    </xf>
    <xf numFmtId="167" fontId="28" fillId="0" borderId="104" xfId="0" applyNumberFormat="1" applyFont="1" applyBorder="1"/>
    <xf numFmtId="167" fontId="29" fillId="0" borderId="30" xfId="0" applyNumberFormat="1" applyFont="1" applyBorder="1"/>
    <xf numFmtId="167" fontId="29" fillId="0" borderId="60" xfId="0" applyNumberFormat="1" applyFont="1" applyBorder="1"/>
    <xf numFmtId="167" fontId="29" fillId="0" borderId="65" xfId="0" applyNumberFormat="1" applyFont="1" applyBorder="1"/>
    <xf numFmtId="0" fontId="28" fillId="6" borderId="30" xfId="0" applyFont="1" applyFill="1" applyBorder="1" applyAlignment="1">
      <alignment horizontal="center"/>
    </xf>
    <xf numFmtId="0" fontId="36" fillId="6" borderId="30" xfId="0" applyFont="1" applyFill="1" applyBorder="1" applyAlignment="1">
      <alignment horizontal="centerContinuous"/>
    </xf>
    <xf numFmtId="0" fontId="0" fillId="0" borderId="65" xfId="0" applyBorder="1"/>
    <xf numFmtId="0" fontId="0" fillId="0" borderId="73" xfId="0" applyBorder="1"/>
    <xf numFmtId="167" fontId="29" fillId="0" borderId="39" xfId="0" applyNumberFormat="1" applyFont="1" applyBorder="1"/>
    <xf numFmtId="167" fontId="5" fillId="0" borderId="104" xfId="0" applyNumberFormat="1" applyFont="1" applyBorder="1"/>
    <xf numFmtId="167" fontId="7" fillId="0" borderId="26" xfId="0" applyNumberFormat="1" applyFont="1" applyBorder="1"/>
    <xf numFmtId="0" fontId="29" fillId="0" borderId="14" xfId="0" applyFont="1" applyBorder="1"/>
    <xf numFmtId="167" fontId="7" fillId="2" borderId="112" xfId="0" applyNumberFormat="1" applyFont="1" applyFill="1" applyBorder="1"/>
    <xf numFmtId="0" fontId="7" fillId="2" borderId="0" xfId="0" applyFont="1" applyFill="1" applyBorder="1"/>
    <xf numFmtId="0" fontId="7" fillId="0" borderId="138" xfId="0" applyFont="1" applyBorder="1"/>
    <xf numFmtId="179" fontId="62" fillId="0" borderId="0" xfId="0" applyNumberFormat="1" applyFont="1" applyBorder="1" applyAlignment="1">
      <alignment horizontal="right"/>
    </xf>
    <xf numFmtId="179" fontId="62" fillId="0" borderId="0" xfId="0" applyNumberFormat="1" applyFont="1" applyBorder="1" applyAlignment="1">
      <alignment horizontal="left"/>
    </xf>
    <xf numFmtId="0" fontId="63" fillId="0" borderId="0" xfId="0" applyFont="1"/>
    <xf numFmtId="0" fontId="62" fillId="10" borderId="0" xfId="0" applyFont="1" applyFill="1" applyAlignment="1">
      <alignment horizontal="left"/>
    </xf>
    <xf numFmtId="0" fontId="62" fillId="10" borderId="0" xfId="0" applyFont="1" applyFill="1" applyAlignment="1">
      <alignment horizontal="right"/>
    </xf>
    <xf numFmtId="167" fontId="62" fillId="0" borderId="0" xfId="0" applyNumberFormat="1" applyFont="1" applyAlignment="1">
      <alignment horizontal="center" wrapText="1"/>
    </xf>
    <xf numFmtId="167" fontId="64" fillId="0" borderId="12" xfId="0" applyNumberFormat="1" applyFont="1" applyBorder="1" applyAlignment="1">
      <alignment horizontal="center"/>
    </xf>
    <xf numFmtId="0" fontId="63" fillId="0" borderId="0" xfId="0" applyFont="1" applyAlignment="1">
      <alignment horizontal="center"/>
    </xf>
    <xf numFmtId="0" fontId="63" fillId="0" borderId="0" xfId="0" applyFont="1" applyBorder="1"/>
    <xf numFmtId="0" fontId="62" fillId="10" borderId="0" xfId="0" applyFont="1" applyFill="1" applyAlignment="1">
      <alignment horizontal="center"/>
    </xf>
    <xf numFmtId="0" fontId="62" fillId="0" borderId="0" xfId="0" applyFont="1" applyFill="1" applyAlignment="1">
      <alignment horizontal="center"/>
    </xf>
    <xf numFmtId="0" fontId="63" fillId="0" borderId="0" xfId="0" applyFont="1" applyFill="1"/>
    <xf numFmtId="0" fontId="63" fillId="0" borderId="0" xfId="0" applyFont="1" applyFill="1" applyAlignment="1">
      <alignment horizontal="center"/>
    </xf>
    <xf numFmtId="167" fontId="62" fillId="10" borderId="0" xfId="0" applyNumberFormat="1" applyFont="1" applyFill="1" applyAlignment="1">
      <alignment horizontal="center"/>
    </xf>
    <xf numFmtId="167" fontId="62" fillId="0" borderId="0" xfId="0" applyNumberFormat="1" applyFont="1" applyFill="1" applyAlignment="1">
      <alignment horizontal="center"/>
    </xf>
    <xf numFmtId="2" fontId="40" fillId="2" borderId="0" xfId="0" applyNumberFormat="1" applyFont="1" applyFill="1" applyBorder="1" applyProtection="1"/>
    <xf numFmtId="167" fontId="62" fillId="2" borderId="0" xfId="0" applyNumberFormat="1" applyFont="1" applyFill="1" applyBorder="1" applyAlignment="1" applyProtection="1">
      <alignment horizontal="center"/>
    </xf>
    <xf numFmtId="166" fontId="62" fillId="2" borderId="0" xfId="0" applyNumberFormat="1" applyFont="1" applyFill="1" applyBorder="1" applyAlignment="1" applyProtection="1">
      <alignment horizontal="center"/>
    </xf>
    <xf numFmtId="2" fontId="62" fillId="0" borderId="0" xfId="0" applyNumberFormat="1" applyFont="1" applyAlignment="1">
      <alignment horizontal="center"/>
    </xf>
    <xf numFmtId="167" fontId="62" fillId="0" borderId="0" xfId="0" quotePrefix="1" applyNumberFormat="1" applyFont="1" applyBorder="1" applyAlignment="1">
      <alignment horizontal="center"/>
    </xf>
    <xf numFmtId="0" fontId="63" fillId="10" borderId="0" xfId="0" applyFont="1" applyFill="1"/>
    <xf numFmtId="0" fontId="62" fillId="10" borderId="0" xfId="0" applyFont="1" applyFill="1" applyBorder="1" applyAlignment="1">
      <alignment horizontal="center"/>
    </xf>
    <xf numFmtId="1" fontId="62" fillId="10" borderId="61" xfId="0" applyNumberFormat="1" applyFont="1" applyFill="1" applyBorder="1" applyAlignment="1">
      <alignment horizontal="center"/>
    </xf>
    <xf numFmtId="1" fontId="62" fillId="0" borderId="61" xfId="0" applyNumberFormat="1" applyFont="1" applyBorder="1" applyAlignment="1">
      <alignment horizontal="center"/>
    </xf>
    <xf numFmtId="167" fontId="63" fillId="0" borderId="0" xfId="0" applyNumberFormat="1" applyFont="1" applyBorder="1" applyAlignment="1">
      <alignment horizontal="center"/>
    </xf>
    <xf numFmtId="167" fontId="62" fillId="0" borderId="61" xfId="0" applyNumberFormat="1" applyFont="1" applyBorder="1" applyAlignment="1"/>
    <xf numFmtId="167" fontId="62" fillId="0" borderId="61" xfId="0" applyNumberFormat="1" applyFont="1" applyBorder="1" applyAlignment="1">
      <alignment horizontal="center"/>
    </xf>
    <xf numFmtId="0" fontId="63" fillId="0" borderId="0" xfId="0" applyFont="1" applyAlignment="1">
      <alignment horizontal="right"/>
    </xf>
    <xf numFmtId="0" fontId="62" fillId="10" borderId="61" xfId="0" applyFont="1" applyFill="1" applyBorder="1" applyAlignment="1">
      <alignment horizontal="center"/>
    </xf>
    <xf numFmtId="167" fontId="63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0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1" fillId="0" borderId="7" xfId="0" applyFont="1" applyBorder="1"/>
    <xf numFmtId="0" fontId="43" fillId="0" borderId="54" xfId="0" applyFont="1" applyBorder="1"/>
    <xf numFmtId="0" fontId="0" fillId="0" borderId="31" xfId="0" applyBorder="1"/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72" fontId="11" fillId="0" borderId="130" xfId="0" applyNumberFormat="1" applyFont="1" applyBorder="1"/>
    <xf numFmtId="167" fontId="16" fillId="0" borderId="43" xfId="0" applyNumberFormat="1" applyFont="1" applyBorder="1"/>
    <xf numFmtId="172" fontId="16" fillId="0" borderId="58" xfId="0" applyNumberFormat="1" applyFont="1" applyBorder="1"/>
    <xf numFmtId="0" fontId="29" fillId="0" borderId="46" xfId="0" applyFont="1" applyBorder="1"/>
    <xf numFmtId="0" fontId="29" fillId="0" borderId="61" xfId="0" applyFont="1" applyBorder="1" applyAlignment="1">
      <alignment horizontal="left"/>
    </xf>
    <xf numFmtId="0" fontId="15" fillId="0" borderId="8" xfId="0" applyFont="1" applyBorder="1"/>
    <xf numFmtId="0" fontId="0" fillId="0" borderId="167" xfId="0" applyBorder="1"/>
    <xf numFmtId="0" fontId="56" fillId="0" borderId="168" xfId="0" applyFont="1" applyBorder="1"/>
    <xf numFmtId="0" fontId="48" fillId="0" borderId="131" xfId="0" applyFont="1" applyBorder="1" applyAlignment="1">
      <alignment horizontal="center"/>
    </xf>
    <xf numFmtId="0" fontId="50" fillId="0" borderId="22" xfId="0" applyFont="1" applyBorder="1"/>
    <xf numFmtId="0" fontId="48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4" xfId="0" applyBorder="1"/>
    <xf numFmtId="0" fontId="49" fillId="0" borderId="114" xfId="0" applyFont="1" applyBorder="1"/>
    <xf numFmtId="0" fontId="29" fillId="0" borderId="0" xfId="0" applyFont="1" applyBorder="1" applyAlignment="1">
      <alignment horizontal="left"/>
    </xf>
    <xf numFmtId="166" fontId="29" fillId="0" borderId="169" xfId="0" applyNumberFormat="1" applyFont="1" applyFill="1" applyBorder="1" applyAlignment="1"/>
    <xf numFmtId="166" fontId="29" fillId="0" borderId="170" xfId="0" applyNumberFormat="1" applyFont="1" applyFill="1" applyBorder="1" applyAlignment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5" fillId="0" borderId="0" xfId="0" applyFont="1" applyAlignment="1"/>
    <xf numFmtId="179" fontId="62" fillId="0" borderId="0" xfId="0" applyNumberFormat="1" applyFont="1" applyBorder="1" applyAlignment="1">
      <alignment horizontal="center"/>
    </xf>
    <xf numFmtId="166" fontId="52" fillId="0" borderId="29" xfId="0" applyNumberFormat="1" applyFont="1" applyFill="1" applyBorder="1" applyProtection="1">
      <protection locked="0"/>
    </xf>
    <xf numFmtId="0" fontId="0" fillId="0" borderId="79" xfId="0" applyBorder="1"/>
    <xf numFmtId="0" fontId="0" fillId="0" borderId="60" xfId="0" applyBorder="1"/>
    <xf numFmtId="0" fontId="0" fillId="0" borderId="61" xfId="0" applyBorder="1"/>
    <xf numFmtId="0" fontId="0" fillId="0" borderId="63" xfId="0" applyBorder="1"/>
    <xf numFmtId="166" fontId="29" fillId="0" borderId="73" xfId="0" applyNumberFormat="1" applyFont="1" applyBorder="1"/>
    <xf numFmtId="0" fontId="30" fillId="6" borderId="1" xfId="0" applyFont="1" applyFill="1" applyBorder="1" applyAlignment="1">
      <alignment horizontal="left"/>
    </xf>
    <xf numFmtId="0" fontId="6" fillId="5" borderId="1" xfId="0" applyFont="1" applyFill="1" applyBorder="1"/>
    <xf numFmtId="167" fontId="0" fillId="0" borderId="31" xfId="0" applyNumberFormat="1" applyBorder="1"/>
    <xf numFmtId="166" fontId="29" fillId="0" borderId="104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9" xfId="0" applyFont="1" applyBorder="1"/>
    <xf numFmtId="0" fontId="0" fillId="0" borderId="114" xfId="0" applyBorder="1"/>
    <xf numFmtId="0" fontId="0" fillId="0" borderId="143" xfId="0" applyBorder="1"/>
    <xf numFmtId="0" fontId="11" fillId="0" borderId="48" xfId="0" applyFon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29" fillId="0" borderId="74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65" fillId="0" borderId="0" xfId="0" applyFont="1"/>
    <xf numFmtId="0" fontId="0" fillId="0" borderId="55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08" xfId="0" applyBorder="1" applyAlignment="1">
      <alignment horizontal="center"/>
    </xf>
    <xf numFmtId="164" fontId="16" fillId="0" borderId="39" xfId="0" applyNumberFormat="1" applyFont="1" applyBorder="1"/>
    <xf numFmtId="164" fontId="0" fillId="0" borderId="4" xfId="0" applyNumberFormat="1" applyBorder="1"/>
    <xf numFmtId="164" fontId="0" fillId="0" borderId="144" xfId="0" applyNumberFormat="1" applyBorder="1"/>
    <xf numFmtId="166" fontId="0" fillId="0" borderId="73" xfId="0" applyNumberFormat="1" applyBorder="1"/>
    <xf numFmtId="166" fontId="0" fillId="0" borderId="171" xfId="0" applyNumberFormat="1" applyBorder="1"/>
    <xf numFmtId="166" fontId="0" fillId="0" borderId="172" xfId="0" applyNumberFormat="1" applyBorder="1"/>
    <xf numFmtId="166" fontId="0" fillId="3" borderId="111" xfId="0" applyNumberFormat="1" applyFill="1" applyBorder="1"/>
    <xf numFmtId="166" fontId="0" fillId="3" borderId="172" xfId="0" applyNumberFormat="1" applyFill="1" applyBorder="1"/>
    <xf numFmtId="166" fontId="0" fillId="0" borderId="111" xfId="0" applyNumberFormat="1" applyBorder="1" applyProtection="1">
      <protection locked="0"/>
    </xf>
    <xf numFmtId="166" fontId="0" fillId="0" borderId="111" xfId="0" applyNumberFormat="1" applyBorder="1"/>
    <xf numFmtId="166" fontId="0" fillId="0" borderId="102" xfId="0" applyNumberFormat="1" applyBorder="1" applyProtection="1">
      <protection locked="0"/>
    </xf>
    <xf numFmtId="166" fontId="0" fillId="0" borderId="102" xfId="0" applyNumberFormat="1" applyBorder="1"/>
    <xf numFmtId="166" fontId="0" fillId="0" borderId="109" xfId="0" applyNumberFormat="1" applyBorder="1"/>
    <xf numFmtId="164" fontId="0" fillId="0" borderId="139" xfId="0" applyNumberFormat="1" applyBorder="1" applyAlignment="1">
      <alignment horizontal="center"/>
    </xf>
    <xf numFmtId="1" fontId="0" fillId="0" borderId="10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73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0" fontId="7" fillId="0" borderId="36" xfId="0" quotePrefix="1" applyFont="1" applyBorder="1" applyAlignment="1">
      <alignment horizontal="center"/>
    </xf>
    <xf numFmtId="166" fontId="29" fillId="0" borderId="4" xfId="0" applyNumberFormat="1" applyFont="1" applyFill="1" applyBorder="1" applyAlignment="1" applyProtection="1"/>
    <xf numFmtId="0" fontId="0" fillId="0" borderId="102" xfId="0" applyBorder="1"/>
    <xf numFmtId="0" fontId="0" fillId="0" borderId="74" xfId="0" applyBorder="1"/>
    <xf numFmtId="0" fontId="16" fillId="2" borderId="48" xfId="0" applyFont="1" applyFill="1" applyBorder="1"/>
    <xf numFmtId="0" fontId="16" fillId="2" borderId="49" xfId="0" applyFont="1" applyFill="1" applyBorder="1"/>
    <xf numFmtId="166" fontId="16" fillId="2" borderId="174" xfId="0" applyNumberFormat="1" applyFont="1" applyFill="1" applyBorder="1" applyProtection="1"/>
    <xf numFmtId="166" fontId="16" fillId="2" borderId="175" xfId="0" applyNumberFormat="1" applyFont="1" applyFill="1" applyBorder="1" applyProtection="1"/>
    <xf numFmtId="0" fontId="7" fillId="2" borderId="0" xfId="0" applyFont="1" applyFill="1" applyBorder="1" applyProtection="1"/>
    <xf numFmtId="0" fontId="57" fillId="2" borderId="48" xfId="0" applyFont="1" applyFill="1" applyBorder="1"/>
    <xf numFmtId="0" fontId="57" fillId="2" borderId="49" xfId="0" applyFont="1" applyFill="1" applyBorder="1"/>
    <xf numFmtId="166" fontId="57" fillId="2" borderId="174" xfId="0" applyNumberFormat="1" applyFont="1" applyFill="1" applyBorder="1" applyProtection="1"/>
    <xf numFmtId="166" fontId="57" fillId="2" borderId="175" xfId="0" applyNumberFormat="1" applyFont="1" applyFill="1" applyBorder="1" applyProtection="1"/>
    <xf numFmtId="166" fontId="16" fillId="2" borderId="176" xfId="0" applyNumberFormat="1" applyFont="1" applyFill="1" applyBorder="1" applyProtection="1"/>
    <xf numFmtId="166" fontId="16" fillId="2" borderId="177" xfId="0" applyNumberFormat="1" applyFont="1" applyFill="1" applyBorder="1" applyProtection="1"/>
    <xf numFmtId="166" fontId="16" fillId="2" borderId="178" xfId="0" applyNumberFormat="1" applyFont="1" applyFill="1" applyBorder="1" applyProtection="1"/>
    <xf numFmtId="2" fontId="16" fillId="2" borderId="96" xfId="0" applyNumberFormat="1" applyFont="1" applyFill="1" applyBorder="1" applyProtection="1"/>
    <xf numFmtId="2" fontId="16" fillId="2" borderId="176" xfId="0" applyNumberFormat="1" applyFont="1" applyFill="1" applyBorder="1" applyProtection="1"/>
    <xf numFmtId="167" fontId="11" fillId="0" borderId="179" xfId="0" applyNumberFormat="1" applyFont="1" applyBorder="1"/>
    <xf numFmtId="172" fontId="29" fillId="0" borderId="65" xfId="0" applyNumberFormat="1" applyFont="1" applyBorder="1"/>
    <xf numFmtId="166" fontId="0" fillId="0" borderId="171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9" fillId="2" borderId="81" xfId="0" applyNumberFormat="1" applyFont="1" applyFill="1" applyBorder="1" applyProtection="1"/>
    <xf numFmtId="0" fontId="45" fillId="0" borderId="0" xfId="0" applyFont="1" applyAlignment="1">
      <alignment horizontal="fill"/>
    </xf>
    <xf numFmtId="0" fontId="66" fillId="0" borderId="110" xfId="0" applyFont="1" applyBorder="1"/>
    <xf numFmtId="0" fontId="66" fillId="0" borderId="11" xfId="0" applyFont="1" applyBorder="1"/>
    <xf numFmtId="0" fontId="66" fillId="0" borderId="44" xfId="0" applyFont="1" applyBorder="1"/>
    <xf numFmtId="0" fontId="40" fillId="0" borderId="0" xfId="0" applyFont="1" applyBorder="1" applyAlignment="1">
      <alignment horizontal="left"/>
    </xf>
    <xf numFmtId="172" fontId="29" fillId="0" borderId="0" xfId="0" applyNumberFormat="1" applyFont="1" applyBorder="1"/>
    <xf numFmtId="0" fontId="0" fillId="0" borderId="66" xfId="0" applyBorder="1"/>
    <xf numFmtId="0" fontId="31" fillId="0" borderId="46" xfId="0" applyFont="1" applyBorder="1"/>
    <xf numFmtId="0" fontId="62" fillId="0" borderId="180" xfId="0" quotePrefix="1" applyFont="1" applyBorder="1" applyAlignment="1">
      <alignment horizontal="left"/>
    </xf>
    <xf numFmtId="0" fontId="0" fillId="0" borderId="70" xfId="0" applyBorder="1"/>
    <xf numFmtId="167" fontId="28" fillId="0" borderId="84" xfId="0" applyNumberFormat="1" applyFont="1" applyBorder="1" applyAlignment="1">
      <alignment horizontal="center"/>
    </xf>
    <xf numFmtId="167" fontId="29" fillId="2" borderId="111" xfId="0" applyNumberFormat="1" applyFont="1" applyFill="1" applyBorder="1" applyProtection="1"/>
    <xf numFmtId="0" fontId="29" fillId="0" borderId="64" xfId="0" applyFont="1" applyBorder="1" applyAlignment="1">
      <alignment horizontal="left"/>
    </xf>
    <xf numFmtId="0" fontId="29" fillId="0" borderId="67" xfId="0" applyFont="1" applyBorder="1"/>
    <xf numFmtId="0" fontId="29" fillId="0" borderId="109" xfId="0" applyFont="1" applyBorder="1"/>
    <xf numFmtId="0" fontId="31" fillId="0" borderId="171" xfId="0" applyFont="1" applyBorder="1"/>
    <xf numFmtId="0" fontId="31" fillId="0" borderId="172" xfId="0" applyFont="1" applyBorder="1"/>
    <xf numFmtId="0" fontId="31" fillId="0" borderId="181" xfId="0" applyFont="1" applyBorder="1"/>
    <xf numFmtId="0" fontId="29" fillId="0" borderId="171" xfId="0" applyFont="1" applyBorder="1"/>
    <xf numFmtId="0" fontId="0" fillId="0" borderId="171" xfId="0" applyBorder="1"/>
    <xf numFmtId="0" fontId="31" fillId="6" borderId="182" xfId="0" applyFont="1" applyFill="1" applyBorder="1" applyAlignment="1">
      <alignment horizontal="centerContinuous"/>
    </xf>
    <xf numFmtId="167" fontId="29" fillId="0" borderId="32" xfId="0" applyNumberFormat="1" applyFont="1" applyBorder="1"/>
    <xf numFmtId="0" fontId="36" fillId="6" borderId="29" xfId="0" applyFont="1" applyFill="1" applyBorder="1" applyAlignment="1">
      <alignment horizontal="centerContinuous"/>
    </xf>
    <xf numFmtId="0" fontId="29" fillId="0" borderId="129" xfId="0" applyFont="1" applyBorder="1" applyAlignment="1">
      <alignment horizontal="left"/>
    </xf>
    <xf numFmtId="0" fontId="29" fillId="0" borderId="87" xfId="0" applyFont="1" applyBorder="1" applyAlignment="1">
      <alignment horizontal="left"/>
    </xf>
    <xf numFmtId="167" fontId="29" fillId="0" borderId="129" xfId="0" applyNumberFormat="1" applyFont="1" applyBorder="1"/>
    <xf numFmtId="0" fontId="30" fillId="6" borderId="167" xfId="0" applyFont="1" applyFill="1" applyBorder="1" applyAlignment="1">
      <alignment horizontal="left"/>
    </xf>
    <xf numFmtId="0" fontId="28" fillId="6" borderId="167" xfId="0" quotePrefix="1" applyFont="1" applyFill="1" applyBorder="1" applyAlignment="1">
      <alignment horizontal="center"/>
    </xf>
    <xf numFmtId="0" fontId="6" fillId="5" borderId="167" xfId="0" applyFont="1" applyFill="1" applyBorder="1"/>
    <xf numFmtId="0" fontId="28" fillId="6" borderId="183" xfId="0" applyFont="1" applyFill="1" applyBorder="1" applyAlignment="1">
      <alignment horizontal="centerContinuous"/>
    </xf>
    <xf numFmtId="0" fontId="28" fillId="6" borderId="167" xfId="0" applyFont="1" applyFill="1" applyBorder="1" applyAlignment="1">
      <alignment horizontal="centerContinuous"/>
    </xf>
    <xf numFmtId="0" fontId="31" fillId="6" borderId="167" xfId="0" applyFont="1" applyFill="1" applyBorder="1" applyAlignment="1">
      <alignment horizontal="centerContinuous"/>
    </xf>
    <xf numFmtId="0" fontId="31" fillId="6" borderId="179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left"/>
    </xf>
    <xf numFmtId="0" fontId="0" fillId="0" borderId="184" xfId="0" applyBorder="1"/>
    <xf numFmtId="0" fontId="0" fillId="0" borderId="107" xfId="0" applyBorder="1"/>
    <xf numFmtId="0" fontId="16" fillId="0" borderId="86" xfId="0" applyFont="1" applyBorder="1"/>
    <xf numFmtId="0" fontId="16" fillId="0" borderId="185" xfId="0" applyFont="1" applyBorder="1"/>
    <xf numFmtId="0" fontId="0" fillId="0" borderId="142" xfId="0" applyBorder="1"/>
    <xf numFmtId="0" fontId="0" fillId="0" borderId="186" xfId="0" applyBorder="1"/>
    <xf numFmtId="0" fontId="0" fillId="0" borderId="46" xfId="0" applyBorder="1"/>
    <xf numFmtId="0" fontId="0" fillId="0" borderId="181" xfId="0" applyBorder="1"/>
    <xf numFmtId="0" fontId="0" fillId="0" borderId="187" xfId="0" applyBorder="1"/>
    <xf numFmtId="0" fontId="0" fillId="0" borderId="172" xfId="0" applyBorder="1"/>
    <xf numFmtId="0" fontId="0" fillId="0" borderId="125" xfId="0" applyBorder="1"/>
    <xf numFmtId="0" fontId="0" fillId="0" borderId="188" xfId="0" applyBorder="1"/>
    <xf numFmtId="0" fontId="0" fillId="0" borderId="27" xfId="0" applyBorder="1"/>
    <xf numFmtId="0" fontId="29" fillId="0" borderId="3" xfId="0" quotePrefix="1" applyFont="1" applyFill="1" applyBorder="1" applyAlignment="1">
      <alignment horizontal="center"/>
    </xf>
    <xf numFmtId="0" fontId="6" fillId="0" borderId="36" xfId="0" applyFont="1" applyBorder="1"/>
    <xf numFmtId="166" fontId="29" fillId="0" borderId="102" xfId="0" applyNumberFormat="1" applyFont="1" applyFill="1" applyBorder="1" applyAlignment="1"/>
    <xf numFmtId="167" fontId="29" fillId="0" borderId="1" xfId="0" applyNumberFormat="1" applyFont="1" applyFill="1" applyBorder="1" applyAlignment="1"/>
    <xf numFmtId="0" fontId="29" fillId="0" borderId="0" xfId="0" quotePrefix="1" applyFont="1" applyFill="1" applyBorder="1" applyAlignment="1">
      <alignment horizontal="center"/>
    </xf>
    <xf numFmtId="0" fontId="29" fillId="0" borderId="120" xfId="0" quotePrefix="1" applyFont="1" applyFill="1" applyBorder="1" applyAlignment="1">
      <alignment horizontal="center"/>
    </xf>
    <xf numFmtId="0" fontId="29" fillId="0" borderId="13" xfId="0" quotePrefix="1" applyFont="1" applyFill="1" applyBorder="1" applyAlignment="1">
      <alignment horizontal="center"/>
    </xf>
    <xf numFmtId="0" fontId="37" fillId="0" borderId="0" xfId="0" applyFont="1" applyBorder="1"/>
    <xf numFmtId="0" fontId="31" fillId="0" borderId="0" xfId="0" applyFont="1" applyFill="1" applyBorder="1"/>
    <xf numFmtId="0" fontId="35" fillId="6" borderId="30" xfId="0" applyFont="1" applyFill="1" applyBorder="1" applyAlignment="1">
      <alignment horizontal="centerContinuous"/>
    </xf>
    <xf numFmtId="0" fontId="35" fillId="6" borderId="85" xfId="0" applyFont="1" applyFill="1" applyBorder="1" applyAlignment="1">
      <alignment horizontal="centerContinuous"/>
    </xf>
    <xf numFmtId="0" fontId="29" fillId="0" borderId="86" xfId="0" applyFont="1" applyFill="1" applyBorder="1"/>
    <xf numFmtId="0" fontId="29" fillId="0" borderId="86" xfId="0" applyFont="1" applyBorder="1" applyAlignment="1">
      <alignment horizontal="left"/>
    </xf>
    <xf numFmtId="0" fontId="29" fillId="0" borderId="86" xfId="0" applyFont="1" applyBorder="1"/>
    <xf numFmtId="0" fontId="11" fillId="0" borderId="101" xfId="0" applyFont="1" applyBorder="1"/>
    <xf numFmtId="0" fontId="31" fillId="0" borderId="14" xfId="0" applyFont="1" applyBorder="1"/>
    <xf numFmtId="0" fontId="0" fillId="0" borderId="22" xfId="0" applyBorder="1"/>
    <xf numFmtId="0" fontId="31" fillId="0" borderId="115" xfId="0" applyFont="1" applyBorder="1"/>
    <xf numFmtId="0" fontId="31" fillId="0" borderId="115" xfId="0" applyFont="1" applyFill="1" applyBorder="1"/>
    <xf numFmtId="167" fontId="29" fillId="0" borderId="61" xfId="0" applyNumberFormat="1" applyFont="1" applyFill="1" applyBorder="1"/>
    <xf numFmtId="167" fontId="0" fillId="0" borderId="61" xfId="0" applyNumberFormat="1" applyBorder="1"/>
    <xf numFmtId="0" fontId="28" fillId="6" borderId="67" xfId="0" applyFont="1" applyFill="1" applyBorder="1" applyAlignment="1">
      <alignment horizontal="left"/>
    </xf>
    <xf numFmtId="0" fontId="28" fillId="6" borderId="101" xfId="0" applyFont="1" applyFill="1" applyBorder="1" applyAlignment="1">
      <alignment horizontal="centerContinuous"/>
    </xf>
    <xf numFmtId="0" fontId="29" fillId="0" borderId="0" xfId="0" quotePrefix="1" applyFont="1" applyFill="1" applyBorder="1" applyAlignment="1">
      <alignment horizontal="left"/>
    </xf>
    <xf numFmtId="0" fontId="11" fillId="0" borderId="189" xfId="0" applyFont="1" applyBorder="1"/>
    <xf numFmtId="0" fontId="28" fillId="6" borderId="31" xfId="0" applyFont="1" applyFill="1" applyBorder="1" applyAlignment="1">
      <alignment horizontal="centerContinuous"/>
    </xf>
    <xf numFmtId="0" fontId="31" fillId="6" borderId="29" xfId="0" applyFont="1" applyFill="1" applyBorder="1" applyAlignment="1">
      <alignment horizontal="centerContinuous"/>
    </xf>
    <xf numFmtId="0" fontId="28" fillId="0" borderId="115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8" fillId="0" borderId="2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9" fillId="0" borderId="5" xfId="0" applyFont="1" applyFill="1" applyBorder="1" applyAlignment="1">
      <alignment horizontal="left"/>
    </xf>
    <xf numFmtId="0" fontId="28" fillId="0" borderId="49" xfId="0" applyFont="1" applyFill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87" xfId="0" applyFont="1" applyBorder="1" applyAlignment="1">
      <alignment horizontal="left"/>
    </xf>
    <xf numFmtId="0" fontId="29" fillId="0" borderId="63" xfId="0" applyFont="1" applyBorder="1" applyAlignment="1">
      <alignment horizontal="left"/>
    </xf>
    <xf numFmtId="0" fontId="28" fillId="0" borderId="90" xfId="0" applyFont="1" applyBorder="1"/>
    <xf numFmtId="167" fontId="0" fillId="0" borderId="104" xfId="0" applyNumberFormat="1" applyBorder="1"/>
    <xf numFmtId="167" fontId="0" fillId="0" borderId="73" xfId="0" applyNumberFormat="1" applyBorder="1"/>
    <xf numFmtId="167" fontId="0" fillId="0" borderId="46" xfId="0" applyNumberFormat="1" applyBorder="1"/>
    <xf numFmtId="167" fontId="0" fillId="0" borderId="79" xfId="0" applyNumberFormat="1" applyBorder="1"/>
    <xf numFmtId="167" fontId="0" fillId="0" borderId="30" xfId="0" applyNumberFormat="1" applyBorder="1"/>
    <xf numFmtId="0" fontId="8" fillId="0" borderId="4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16" fontId="7" fillId="0" borderId="2" xfId="0" quotePrefix="1" applyNumberFormat="1" applyFont="1" applyBorder="1" applyAlignment="1">
      <alignment horizontal="center"/>
    </xf>
    <xf numFmtId="0" fontId="29" fillId="0" borderId="73" xfId="0" applyFont="1" applyBorder="1"/>
    <xf numFmtId="167" fontId="29" fillId="2" borderId="104" xfId="0" applyNumberFormat="1" applyFont="1" applyFill="1" applyBorder="1" applyProtection="1"/>
    <xf numFmtId="0" fontId="33" fillId="0" borderId="0" xfId="0" applyFont="1" applyFill="1" applyBorder="1"/>
    <xf numFmtId="167" fontId="29" fillId="2" borderId="105" xfId="0" applyNumberFormat="1" applyFont="1" applyFill="1" applyBorder="1"/>
    <xf numFmtId="172" fontId="29" fillId="0" borderId="104" xfId="0" applyNumberFormat="1" applyFont="1" applyBorder="1"/>
    <xf numFmtId="167" fontId="29" fillId="0" borderId="81" xfId="0" applyNumberFormat="1" applyFont="1" applyBorder="1"/>
    <xf numFmtId="0" fontId="0" fillId="0" borderId="80" xfId="0" applyBorder="1"/>
    <xf numFmtId="0" fontId="0" fillId="0" borderId="36" xfId="0" applyBorder="1"/>
    <xf numFmtId="0" fontId="29" fillId="0" borderId="188" xfId="0" applyFont="1" applyBorder="1" applyAlignment="1">
      <alignment horizontal="left"/>
    </xf>
    <xf numFmtId="0" fontId="29" fillId="0" borderId="190" xfId="0" applyFont="1" applyBorder="1" applyAlignment="1">
      <alignment horizontal="left"/>
    </xf>
    <xf numFmtId="179" fontId="11" fillId="2" borderId="191" xfId="0" applyNumberFormat="1" applyFont="1" applyFill="1" applyBorder="1" applyAlignment="1" applyProtection="1">
      <alignment horizontal="center"/>
    </xf>
    <xf numFmtId="0" fontId="55" fillId="0" borderId="116" xfId="0" applyFont="1" applyFill="1" applyBorder="1" applyAlignment="1">
      <alignment horizontal="center"/>
    </xf>
    <xf numFmtId="0" fontId="29" fillId="0" borderId="188" xfId="0" applyFont="1" applyBorder="1"/>
    <xf numFmtId="172" fontId="0" fillId="0" borderId="61" xfId="0" applyNumberFormat="1" applyBorder="1"/>
    <xf numFmtId="167" fontId="0" fillId="0" borderId="70" xfId="0" applyNumberFormat="1" applyBorder="1"/>
    <xf numFmtId="167" fontId="29" fillId="0" borderId="68" xfId="0" applyNumberFormat="1" applyFont="1" applyBorder="1"/>
    <xf numFmtId="0" fontId="37" fillId="6" borderId="30" xfId="0" applyFont="1" applyFill="1" applyBorder="1" applyAlignment="1">
      <alignment horizontal="centerContinuous"/>
    </xf>
    <xf numFmtId="164" fontId="28" fillId="0" borderId="116" xfId="0" applyNumberFormat="1" applyFont="1" applyFill="1" applyBorder="1" applyAlignment="1">
      <alignment horizontal="left"/>
    </xf>
    <xf numFmtId="166" fontId="29" fillId="0" borderId="192" xfId="0" applyNumberFormat="1" applyFont="1" applyFill="1" applyBorder="1" applyAlignment="1"/>
    <xf numFmtId="172" fontId="29" fillId="0" borderId="29" xfId="0" applyNumberFormat="1" applyFont="1" applyBorder="1"/>
    <xf numFmtId="0" fontId="31" fillId="6" borderId="30" xfId="0" quotePrefix="1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"/>
    </xf>
    <xf numFmtId="0" fontId="31" fillId="0" borderId="27" xfId="0" applyFont="1" applyBorder="1"/>
    <xf numFmtId="0" fontId="31" fillId="0" borderId="87" xfId="0" applyFont="1" applyBorder="1"/>
    <xf numFmtId="0" fontId="31" fillId="0" borderId="24" xfId="0" applyFont="1" applyBorder="1"/>
    <xf numFmtId="0" fontId="31" fillId="0" borderId="182" xfId="0" applyFont="1" applyBorder="1"/>
    <xf numFmtId="0" fontId="31" fillId="0" borderId="111" xfId="0" applyFont="1" applyBorder="1"/>
    <xf numFmtId="0" fontId="0" fillId="0" borderId="43" xfId="0" applyBorder="1"/>
    <xf numFmtId="0" fontId="0" fillId="0" borderId="68" xfId="0" applyBorder="1"/>
    <xf numFmtId="0" fontId="0" fillId="0" borderId="57" xfId="0" applyBorder="1"/>
    <xf numFmtId="0" fontId="29" fillId="0" borderId="24" xfId="0" applyFont="1" applyBorder="1" applyAlignment="1">
      <alignment horizontal="center"/>
    </xf>
    <xf numFmtId="0" fontId="8" fillId="0" borderId="2" xfId="0" applyFont="1" applyBorder="1"/>
    <xf numFmtId="0" fontId="8" fillId="0" borderId="5" xfId="0" applyFont="1" applyBorder="1" applyAlignment="1">
      <alignment horizontal="center"/>
    </xf>
    <xf numFmtId="0" fontId="7" fillId="0" borderId="40" xfId="0" applyFont="1" applyFill="1" applyBorder="1" applyAlignment="1" applyProtection="1">
      <alignment horizontal="center"/>
      <protection locked="0"/>
    </xf>
    <xf numFmtId="0" fontId="7" fillId="0" borderId="40" xfId="0" applyFont="1" applyFill="1" applyBorder="1" applyAlignment="1" applyProtection="1">
      <alignment horizontal="right"/>
      <protection locked="0"/>
    </xf>
    <xf numFmtId="0" fontId="59" fillId="2" borderId="193" xfId="0" applyFont="1" applyFill="1" applyBorder="1" applyAlignment="1" applyProtection="1">
      <alignment horizontal="left"/>
    </xf>
    <xf numFmtId="0" fontId="57" fillId="2" borderId="194" xfId="0" applyFont="1" applyFill="1" applyBorder="1" applyProtection="1"/>
    <xf numFmtId="2" fontId="57" fillId="2" borderId="195" xfId="0" applyNumberFormat="1" applyFont="1" applyFill="1" applyBorder="1" applyProtection="1"/>
    <xf numFmtId="2" fontId="57" fillId="2" borderId="196" xfId="0" applyNumberFormat="1" applyFont="1" applyFill="1" applyBorder="1" applyProtection="1"/>
    <xf numFmtId="167" fontId="7" fillId="0" borderId="32" xfId="0" applyNumberFormat="1" applyFont="1" applyBorder="1"/>
    <xf numFmtId="0" fontId="57" fillId="0" borderId="72" xfId="0" applyFont="1" applyBorder="1"/>
    <xf numFmtId="0" fontId="0" fillId="0" borderId="119" xfId="0" applyBorder="1"/>
    <xf numFmtId="0" fontId="0" fillId="0" borderId="59" xfId="0" applyBorder="1"/>
    <xf numFmtId="0" fontId="28" fillId="0" borderId="197" xfId="0" applyFont="1" applyFill="1" applyBorder="1"/>
    <xf numFmtId="0" fontId="0" fillId="0" borderId="111" xfId="0" applyBorder="1"/>
    <xf numFmtId="0" fontId="0" fillId="0" borderId="198" xfId="0" applyBorder="1"/>
    <xf numFmtId="0" fontId="16" fillId="0" borderId="199" xfId="0" applyFont="1" applyBorder="1"/>
    <xf numFmtId="0" fontId="0" fillId="0" borderId="67" xfId="0" applyBorder="1"/>
    <xf numFmtId="0" fontId="0" fillId="0" borderId="200" xfId="0" applyBorder="1"/>
    <xf numFmtId="0" fontId="7" fillId="2" borderId="16" xfId="0" applyFont="1" applyFill="1" applyBorder="1" applyAlignment="1">
      <alignment horizontal="left"/>
    </xf>
    <xf numFmtId="0" fontId="7" fillId="0" borderId="8" xfId="0" applyFont="1" applyFill="1" applyBorder="1"/>
    <xf numFmtId="167" fontId="7" fillId="0" borderId="0" xfId="0" applyNumberFormat="1" applyFont="1" applyFill="1" applyBorder="1"/>
    <xf numFmtId="0" fontId="0" fillId="0" borderId="24" xfId="0" applyFill="1" applyBorder="1"/>
    <xf numFmtId="166" fontId="16" fillId="0" borderId="63" xfId="0" applyNumberFormat="1" applyFont="1" applyBorder="1" applyAlignment="1">
      <alignment horizontal="center"/>
    </xf>
    <xf numFmtId="166" fontId="29" fillId="0" borderId="2" xfId="0" applyNumberFormat="1" applyFont="1" applyFill="1" applyBorder="1" applyAlignment="1" applyProtection="1">
      <alignment horizontal="center"/>
    </xf>
    <xf numFmtId="166" fontId="29" fillId="0" borderId="74" xfId="0" applyNumberFormat="1" applyFont="1" applyBorder="1" applyAlignment="1">
      <alignment horizontal="center"/>
    </xf>
    <xf numFmtId="166" fontId="29" fillId="0" borderId="6" xfId="0" applyNumberFormat="1" applyFont="1" applyFill="1" applyBorder="1" applyAlignment="1">
      <alignment horizontal="center"/>
    </xf>
    <xf numFmtId="166" fontId="0" fillId="0" borderId="62" xfId="0" applyNumberFormat="1" applyBorder="1" applyAlignment="1">
      <alignment horizontal="center"/>
    </xf>
    <xf numFmtId="171" fontId="29" fillId="0" borderId="63" xfId="0" applyNumberFormat="1" applyFont="1" applyFill="1" applyBorder="1" applyAlignment="1">
      <alignment horizontal="center"/>
    </xf>
    <xf numFmtId="166" fontId="29" fillId="0" borderId="63" xfId="0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29" fillId="0" borderId="30" xfId="0" applyNumberFormat="1" applyFont="1" applyFill="1" applyBorder="1" applyAlignment="1">
      <alignment horizontal="center"/>
    </xf>
    <xf numFmtId="166" fontId="29" fillId="0" borderId="63" xfId="0" applyNumberFormat="1" applyFont="1" applyFill="1" applyBorder="1" applyAlignment="1">
      <alignment horizontal="center"/>
    </xf>
    <xf numFmtId="166" fontId="28" fillId="0" borderId="187" xfId="0" applyNumberFormat="1" applyFont="1" applyFill="1" applyBorder="1" applyAlignment="1">
      <alignment horizontal="center"/>
    </xf>
    <xf numFmtId="166" fontId="29" fillId="0" borderId="201" xfId="0" applyNumberFormat="1" applyFont="1" applyFill="1" applyBorder="1" applyAlignment="1">
      <alignment horizontal="center"/>
    </xf>
    <xf numFmtId="166" fontId="29" fillId="0" borderId="6" xfId="0" applyNumberFormat="1" applyFont="1" applyBorder="1" applyAlignment="1">
      <alignment horizontal="center"/>
    </xf>
    <xf numFmtId="0" fontId="34" fillId="0" borderId="18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6" fmlaLink="$K$5" fmlaRange="$AH$1:$AH$6" noThreeD="1" sel="3" val="0"/>
</file>

<file path=xl/ctrlProps/ctrlProp16.xml><?xml version="1.0" encoding="utf-8"?>
<formControlPr xmlns="http://schemas.microsoft.com/office/spreadsheetml/2009/9/main" objectType="Drop" dropStyle="combo" dx="26" fmlaLink="$K$6" fmlaRange="$AH$1:$AH$6" noThreeD="1" sel="1" val="0"/>
</file>

<file path=xl/ctrlProps/ctrlProp17.xml><?xml version="1.0" encoding="utf-8"?>
<formControlPr xmlns="http://schemas.microsoft.com/office/spreadsheetml/2009/9/main" objectType="Drop" dropStyle="combo" dx="26" fmlaLink="$K$7" fmlaRange="$AH$1:$AH$6" noThreeD="1" sel="6" val="0"/>
</file>

<file path=xl/ctrlProps/ctrlProp18.xml><?xml version="1.0" encoding="utf-8"?>
<formControlPr xmlns="http://schemas.microsoft.com/office/spreadsheetml/2009/9/main" objectType="Drop" dropStyle="combo" dx="26" fmlaLink="$K$8" fmlaRange="$AH$1:$AH$6" noThreeD="1" sel="1" val="0"/>
</file>

<file path=xl/ctrlProps/ctrlProp19.xml><?xml version="1.0" encoding="utf-8"?>
<formControlPr xmlns="http://schemas.microsoft.com/office/spreadsheetml/2009/9/main" objectType="Drop" dropStyle="combo" dx="26" fmlaLink="$K$9" fmlaRange="$AH$1:$AH$6" noThreeD="1" sel="1" val="0"/>
</file>

<file path=xl/ctrlProps/ctrlProp20.xml><?xml version="1.0" encoding="utf-8"?>
<formControlPr xmlns="http://schemas.microsoft.com/office/spreadsheetml/2009/9/main" objectType="Drop" dropStyle="combo" dx="26" fmlaLink="$K$10" fmlaRange="$AH$1:$AH$6" noThreeD="1" sel="6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533400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510540</xdr:colOff>
          <xdr:row>6</xdr:row>
          <xdr:rowOff>83820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510540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533400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533400</xdr:colOff>
          <xdr:row>12</xdr:row>
          <xdr:rowOff>68580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518160</xdr:colOff>
          <xdr:row>12</xdr:row>
          <xdr:rowOff>68580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0</xdr:rowOff>
        </xdr:from>
        <xdr:to>
          <xdr:col>4</xdr:col>
          <xdr:colOff>548640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533400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13</xdr:row>
          <xdr:rowOff>0</xdr:rowOff>
        </xdr:from>
        <xdr:to>
          <xdr:col>6</xdr:col>
          <xdr:colOff>548640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518160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30480</xdr:rowOff>
        </xdr:from>
        <xdr:to>
          <xdr:col>6</xdr:col>
          <xdr:colOff>518160</xdr:colOff>
          <xdr:row>21</xdr:row>
          <xdr:rowOff>106680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518160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30480</xdr:rowOff>
        </xdr:from>
        <xdr:to>
          <xdr:col>4</xdr:col>
          <xdr:colOff>533400</xdr:colOff>
          <xdr:row>21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22</xdr:row>
          <xdr:rowOff>106680</xdr:rowOff>
        </xdr:from>
        <xdr:to>
          <xdr:col>4</xdr:col>
          <xdr:colOff>541020</xdr:colOff>
          <xdr:row>24</xdr:row>
          <xdr:rowOff>182880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7620</xdr:rowOff>
        </xdr:from>
        <xdr:to>
          <xdr:col>12</xdr:col>
          <xdr:colOff>0</xdr:colOff>
          <xdr:row>4</xdr:row>
          <xdr:rowOff>198120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7620</xdr:rowOff>
        </xdr:from>
        <xdr:to>
          <xdr:col>12</xdr:col>
          <xdr:colOff>0</xdr:colOff>
          <xdr:row>5</xdr:row>
          <xdr:rowOff>198120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7620</xdr:rowOff>
        </xdr:from>
        <xdr:to>
          <xdr:col>12</xdr:col>
          <xdr:colOff>0</xdr:colOff>
          <xdr:row>6</xdr:row>
          <xdr:rowOff>198120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7620</xdr:rowOff>
        </xdr:from>
        <xdr:to>
          <xdr:col>12</xdr:col>
          <xdr:colOff>0</xdr:colOff>
          <xdr:row>7</xdr:row>
          <xdr:rowOff>198120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7620</xdr:rowOff>
        </xdr:from>
        <xdr:to>
          <xdr:col>12</xdr:col>
          <xdr:colOff>0</xdr:colOff>
          <xdr:row>8</xdr:row>
          <xdr:rowOff>198120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7620</xdr:rowOff>
        </xdr:from>
        <xdr:to>
          <xdr:col>12</xdr:col>
          <xdr:colOff>0</xdr:colOff>
          <xdr:row>9</xdr:row>
          <xdr:rowOff>198120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768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769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770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771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772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773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5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71500"/>
          <a:ext cx="22113240" cy="1387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6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1524000"/>
          <a:ext cx="22113240" cy="1292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7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3429000"/>
          <a:ext cx="22113240" cy="11018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8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334000"/>
          <a:ext cx="22113240" cy="911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9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4381500"/>
          <a:ext cx="22113240" cy="1006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13</xdr:row>
      <xdr:rowOff>0</xdr:rowOff>
    </xdr:from>
    <xdr:to>
      <xdr:col>108</xdr:col>
      <xdr:colOff>91440</xdr:colOff>
      <xdr:row>74</xdr:row>
      <xdr:rowOff>190500</xdr:rowOff>
    </xdr:to>
    <xdr:pic>
      <xdr:nvPicPr>
        <xdr:cNvPr id="5760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2476500"/>
          <a:ext cx="22113240" cy="1197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7620</xdr:colOff>
      <xdr:row>13</xdr:row>
      <xdr:rowOff>7620</xdr:rowOff>
    </xdr:to>
    <xdr:pic>
      <xdr:nvPicPr>
        <xdr:cNvPr id="5768" name="PRTLY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152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7620</xdr:colOff>
      <xdr:row>23</xdr:row>
      <xdr:rowOff>7620</xdr:rowOff>
    </xdr:to>
    <xdr:pic>
      <xdr:nvPicPr>
        <xdr:cNvPr id="5769" name="TSTOR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3429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7620</xdr:colOff>
      <xdr:row>33</xdr:row>
      <xdr:rowOff>7620</xdr:rowOff>
    </xdr:to>
    <xdr:pic>
      <xdr:nvPicPr>
        <xdr:cNvPr id="5770" name="SN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33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7620</xdr:colOff>
      <xdr:row>28</xdr:row>
      <xdr:rowOff>7620</xdr:rowOff>
    </xdr:to>
    <xdr:pic>
      <xdr:nvPicPr>
        <xdr:cNvPr id="5771" name="SUNN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438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7620</xdr:colOff>
      <xdr:row>18</xdr:row>
      <xdr:rowOff>7620</xdr:rowOff>
    </xdr:to>
    <xdr:pic>
      <xdr:nvPicPr>
        <xdr:cNvPr id="5772" name="RAI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2476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7620</xdr:colOff>
      <xdr:row>8</xdr:row>
      <xdr:rowOff>7620</xdr:rowOff>
    </xdr:to>
    <xdr:pic>
      <xdr:nvPicPr>
        <xdr:cNvPr id="5786" name="CLOU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7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91440</xdr:colOff>
      <xdr:row>9</xdr:row>
      <xdr:rowOff>99060</xdr:rowOff>
    </xdr:to>
    <xdr:pic>
      <xdr:nvPicPr>
        <xdr:cNvPr id="39709" name="Day_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76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91440</xdr:colOff>
      <xdr:row>14</xdr:row>
      <xdr:rowOff>99060</xdr:rowOff>
    </xdr:to>
    <xdr:pic>
      <xdr:nvPicPr>
        <xdr:cNvPr id="39710" name="Day_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714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91440</xdr:colOff>
      <xdr:row>19</xdr:row>
      <xdr:rowOff>99060</xdr:rowOff>
    </xdr:to>
    <xdr:pic>
      <xdr:nvPicPr>
        <xdr:cNvPr id="39711" name="Day_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2667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91440</xdr:colOff>
      <xdr:row>24</xdr:row>
      <xdr:rowOff>99060</xdr:rowOff>
    </xdr:to>
    <xdr:pic>
      <xdr:nvPicPr>
        <xdr:cNvPr id="39712" name="Day_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619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91440</xdr:colOff>
      <xdr:row>29</xdr:row>
      <xdr:rowOff>99060</xdr:rowOff>
    </xdr:to>
    <xdr:pic>
      <xdr:nvPicPr>
        <xdr:cNvPr id="39713" name="Day_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457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91440</xdr:colOff>
      <xdr:row>34</xdr:row>
      <xdr:rowOff>83820</xdr:rowOff>
    </xdr:to>
    <xdr:pic>
      <xdr:nvPicPr>
        <xdr:cNvPr id="39714" name="Day_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5524500"/>
          <a:ext cx="115062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45720</xdr:rowOff>
    </xdr:from>
    <xdr:to>
      <xdr:col>3</xdr:col>
      <xdr:colOff>0</xdr:colOff>
      <xdr:row>7</xdr:row>
      <xdr:rowOff>30480</xdr:rowOff>
    </xdr:to>
    <xdr:sp macro="" textlink="">
      <xdr:nvSpPr>
        <xdr:cNvPr id="32769" name="Line 1"/>
        <xdr:cNvSpPr>
          <a:spLocks noChangeShapeType="1"/>
        </xdr:cNvSpPr>
      </xdr:nvSpPr>
      <xdr:spPr bwMode="auto">
        <a:xfrm>
          <a:off x="2065020" y="304800"/>
          <a:ext cx="0" cy="1249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68580</xdr:rowOff>
    </xdr:from>
    <xdr:to>
      <xdr:col>5</xdr:col>
      <xdr:colOff>0</xdr:colOff>
      <xdr:row>3</xdr:row>
      <xdr:rowOff>68580</xdr:rowOff>
    </xdr:to>
    <xdr:sp macro="" textlink="">
      <xdr:nvSpPr>
        <xdr:cNvPr id="32770" name="Line 2"/>
        <xdr:cNvSpPr>
          <a:spLocks noChangeShapeType="1"/>
        </xdr:cNvSpPr>
      </xdr:nvSpPr>
      <xdr:spPr bwMode="auto">
        <a:xfrm>
          <a:off x="2065020" y="73914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2</xdr:row>
      <xdr:rowOff>167640</xdr:rowOff>
    </xdr:from>
    <xdr:ext cx="423321" cy="141001"/>
    <xdr:sp macro="" textlink="">
      <xdr:nvSpPr>
        <xdr:cNvPr id="32771" name="Text Box 3"/>
        <xdr:cNvSpPr txBox="1">
          <a:spLocks noChangeArrowheads="1"/>
        </xdr:cNvSpPr>
      </xdr:nvSpPr>
      <xdr:spPr bwMode="auto">
        <a:xfrm>
          <a:off x="2369820" y="63246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7620</xdr:colOff>
      <xdr:row>7</xdr:row>
      <xdr:rowOff>0</xdr:rowOff>
    </xdr:from>
    <xdr:to>
      <xdr:col>4</xdr:col>
      <xdr:colOff>403860</xdr:colOff>
      <xdr:row>7</xdr:row>
      <xdr:rowOff>0</xdr:rowOff>
    </xdr:to>
    <xdr:sp macro="" textlink="">
      <xdr:nvSpPr>
        <xdr:cNvPr id="32773" name="Line 5"/>
        <xdr:cNvSpPr>
          <a:spLocks noChangeShapeType="1"/>
        </xdr:cNvSpPr>
      </xdr:nvSpPr>
      <xdr:spPr bwMode="auto">
        <a:xfrm>
          <a:off x="731520" y="1524000"/>
          <a:ext cx="22021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6</xdr:row>
      <xdr:rowOff>220980</xdr:rowOff>
    </xdr:from>
    <xdr:ext cx="457200" cy="152400"/>
    <xdr:sp macro="" textlink="">
      <xdr:nvSpPr>
        <xdr:cNvPr id="32776" name="Text Box 8"/>
        <xdr:cNvSpPr txBox="1">
          <a:spLocks noChangeArrowheads="1"/>
        </xdr:cNvSpPr>
      </xdr:nvSpPr>
      <xdr:spPr bwMode="auto">
        <a:xfrm>
          <a:off x="2369820" y="15087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944880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/>
        <xdr:cNvSpPr>
          <a:spLocks noChangeShapeType="1"/>
        </xdr:cNvSpPr>
      </xdr:nvSpPr>
      <xdr:spPr bwMode="auto">
        <a:xfrm>
          <a:off x="2933700" y="1524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495300</xdr:colOff>
      <xdr:row>9</xdr:row>
      <xdr:rowOff>45720</xdr:rowOff>
    </xdr:from>
    <xdr:ext cx="335280" cy="152400"/>
    <xdr:sp macro="" textlink="">
      <xdr:nvSpPr>
        <xdr:cNvPr id="32782" name="Text Box 14"/>
        <xdr:cNvSpPr txBox="1">
          <a:spLocks noChangeArrowheads="1"/>
        </xdr:cNvSpPr>
      </xdr:nvSpPr>
      <xdr:spPr bwMode="auto">
        <a:xfrm>
          <a:off x="1219200" y="1935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11</xdr:row>
      <xdr:rowOff>22860</xdr:rowOff>
    </xdr:from>
    <xdr:to>
      <xdr:col>5</xdr:col>
      <xdr:colOff>15240</xdr:colOff>
      <xdr:row>11</xdr:row>
      <xdr:rowOff>22860</xdr:rowOff>
    </xdr:to>
    <xdr:sp macro="" textlink="">
      <xdr:nvSpPr>
        <xdr:cNvPr id="32785" name="Line 17"/>
        <xdr:cNvSpPr>
          <a:spLocks noChangeShapeType="1"/>
        </xdr:cNvSpPr>
      </xdr:nvSpPr>
      <xdr:spPr bwMode="auto">
        <a:xfrm flipV="1">
          <a:off x="731520" y="2324100"/>
          <a:ext cx="22174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10</xdr:row>
      <xdr:rowOff>22860</xdr:rowOff>
    </xdr:from>
    <xdr:ext cx="457200" cy="152400"/>
    <xdr:sp macro="" textlink="">
      <xdr:nvSpPr>
        <xdr:cNvPr id="32787" name="Text Box 19"/>
        <xdr:cNvSpPr txBox="1">
          <a:spLocks noChangeArrowheads="1"/>
        </xdr:cNvSpPr>
      </xdr:nvSpPr>
      <xdr:spPr bwMode="auto">
        <a:xfrm>
          <a:off x="2369820" y="21412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15240</xdr:colOff>
      <xdr:row>8</xdr:row>
      <xdr:rowOff>7620</xdr:rowOff>
    </xdr:from>
    <xdr:to>
      <xdr:col>3</xdr:col>
      <xdr:colOff>0</xdr:colOff>
      <xdr:row>8</xdr:row>
      <xdr:rowOff>7620</xdr:rowOff>
    </xdr:to>
    <xdr:sp macro="" textlink="">
      <xdr:nvSpPr>
        <xdr:cNvPr id="32789" name="Line 21"/>
        <xdr:cNvSpPr>
          <a:spLocks noChangeShapeType="1"/>
        </xdr:cNvSpPr>
      </xdr:nvSpPr>
      <xdr:spPr bwMode="auto">
        <a:xfrm>
          <a:off x="739140" y="1714500"/>
          <a:ext cx="13258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510540</xdr:colOff>
      <xdr:row>7</xdr:row>
      <xdr:rowOff>68580</xdr:rowOff>
    </xdr:from>
    <xdr:ext cx="335280" cy="152400"/>
    <xdr:sp macro="" textlink="">
      <xdr:nvSpPr>
        <xdr:cNvPr id="32791" name="Text Box 23"/>
        <xdr:cNvSpPr txBox="1">
          <a:spLocks noChangeArrowheads="1"/>
        </xdr:cNvSpPr>
      </xdr:nvSpPr>
      <xdr:spPr bwMode="auto">
        <a:xfrm>
          <a:off x="1234440" y="15925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7620</xdr:rowOff>
    </xdr:from>
    <xdr:to>
      <xdr:col>1</xdr:col>
      <xdr:colOff>0</xdr:colOff>
      <xdr:row>11</xdr:row>
      <xdr:rowOff>38100</xdr:rowOff>
    </xdr:to>
    <xdr:sp macro="" textlink="">
      <xdr:nvSpPr>
        <xdr:cNvPr id="32792" name="Line 24"/>
        <xdr:cNvSpPr>
          <a:spLocks noChangeShapeType="1"/>
        </xdr:cNvSpPr>
      </xdr:nvSpPr>
      <xdr:spPr bwMode="auto">
        <a:xfrm>
          <a:off x="723900" y="2125980"/>
          <a:ext cx="0" cy="2133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19</xdr:row>
      <xdr:rowOff>335280</xdr:rowOff>
    </xdr:from>
    <xdr:to>
      <xdr:col>5</xdr:col>
      <xdr:colOff>15240</xdr:colOff>
      <xdr:row>20</xdr:row>
      <xdr:rowOff>0</xdr:rowOff>
    </xdr:to>
    <xdr:sp macro="" textlink="">
      <xdr:nvSpPr>
        <xdr:cNvPr id="32795" name="Line 27"/>
        <xdr:cNvSpPr>
          <a:spLocks noChangeShapeType="1"/>
        </xdr:cNvSpPr>
      </xdr:nvSpPr>
      <xdr:spPr bwMode="auto">
        <a:xfrm>
          <a:off x="716280" y="4602480"/>
          <a:ext cx="22326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20</xdr:row>
      <xdr:rowOff>0</xdr:rowOff>
    </xdr:from>
    <xdr:ext cx="335280" cy="152400"/>
    <xdr:sp macro="" textlink="">
      <xdr:nvSpPr>
        <xdr:cNvPr id="32796" name="Text Box 28"/>
        <xdr:cNvSpPr txBox="1">
          <a:spLocks noChangeArrowheads="1"/>
        </xdr:cNvSpPr>
      </xdr:nvSpPr>
      <xdr:spPr bwMode="auto">
        <a:xfrm>
          <a:off x="2232660" y="4602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19</xdr:row>
      <xdr:rowOff>7620</xdr:rowOff>
    </xdr:from>
    <xdr:to>
      <xdr:col>3</xdr:col>
      <xdr:colOff>7620</xdr:colOff>
      <xdr:row>19</xdr:row>
      <xdr:rowOff>7620</xdr:rowOff>
    </xdr:to>
    <xdr:sp macro="" textlink="">
      <xdr:nvSpPr>
        <xdr:cNvPr id="32797" name="Line 29"/>
        <xdr:cNvSpPr>
          <a:spLocks noChangeShapeType="1"/>
        </xdr:cNvSpPr>
      </xdr:nvSpPr>
      <xdr:spPr bwMode="auto">
        <a:xfrm>
          <a:off x="731520" y="43967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7620</xdr:rowOff>
    </xdr:from>
    <xdr:to>
      <xdr:col>3</xdr:col>
      <xdr:colOff>7620</xdr:colOff>
      <xdr:row>22</xdr:row>
      <xdr:rowOff>7620</xdr:rowOff>
    </xdr:to>
    <xdr:sp macro="" textlink="">
      <xdr:nvSpPr>
        <xdr:cNvPr id="32799" name="Line 31"/>
        <xdr:cNvSpPr>
          <a:spLocks noChangeShapeType="1"/>
        </xdr:cNvSpPr>
      </xdr:nvSpPr>
      <xdr:spPr bwMode="auto">
        <a:xfrm>
          <a:off x="731520" y="487680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693420</xdr:colOff>
      <xdr:row>23</xdr:row>
      <xdr:rowOff>7620</xdr:rowOff>
    </xdr:from>
    <xdr:to>
      <xdr:col>5</xdr:col>
      <xdr:colOff>0</xdr:colOff>
      <xdr:row>23</xdr:row>
      <xdr:rowOff>7620</xdr:rowOff>
    </xdr:to>
    <xdr:sp macro="" textlink="">
      <xdr:nvSpPr>
        <xdr:cNvPr id="32800" name="Line 32"/>
        <xdr:cNvSpPr>
          <a:spLocks noChangeShapeType="1"/>
        </xdr:cNvSpPr>
      </xdr:nvSpPr>
      <xdr:spPr bwMode="auto">
        <a:xfrm flipV="1">
          <a:off x="693420" y="5006340"/>
          <a:ext cx="2240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22</xdr:row>
      <xdr:rowOff>22860</xdr:rowOff>
    </xdr:from>
    <xdr:ext cx="457200" cy="152400"/>
    <xdr:sp macro="" textlink="">
      <xdr:nvSpPr>
        <xdr:cNvPr id="32804" name="Text Box 36"/>
        <xdr:cNvSpPr txBox="1">
          <a:spLocks noChangeArrowheads="1"/>
        </xdr:cNvSpPr>
      </xdr:nvSpPr>
      <xdr:spPr bwMode="auto">
        <a:xfrm>
          <a:off x="2232660" y="48920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7620</xdr:colOff>
      <xdr:row>25</xdr:row>
      <xdr:rowOff>175260</xdr:rowOff>
    </xdr:from>
    <xdr:to>
      <xdr:col>5</xdr:col>
      <xdr:colOff>7620</xdr:colOff>
      <xdr:row>25</xdr:row>
      <xdr:rowOff>175260</xdr:rowOff>
    </xdr:to>
    <xdr:sp macro="" textlink="">
      <xdr:nvSpPr>
        <xdr:cNvPr id="32805" name="Line 37"/>
        <xdr:cNvSpPr>
          <a:spLocks noChangeShapeType="1"/>
        </xdr:cNvSpPr>
      </xdr:nvSpPr>
      <xdr:spPr bwMode="auto">
        <a:xfrm>
          <a:off x="2072640" y="541782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</xdr:row>
      <xdr:rowOff>45720</xdr:rowOff>
    </xdr:from>
    <xdr:to>
      <xdr:col>4</xdr:col>
      <xdr:colOff>762000</xdr:colOff>
      <xdr:row>4</xdr:row>
      <xdr:rowOff>15240</xdr:rowOff>
    </xdr:to>
    <xdr:sp macro="" textlink="">
      <xdr:nvSpPr>
        <xdr:cNvPr id="32807" name="Line 39"/>
        <xdr:cNvSpPr>
          <a:spLocks noChangeShapeType="1"/>
        </xdr:cNvSpPr>
      </xdr:nvSpPr>
      <xdr:spPr bwMode="auto">
        <a:xfrm flipH="1" flipV="1">
          <a:off x="2933700" y="304800"/>
          <a:ext cx="0" cy="586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/>
        <xdr:cNvSpPr>
          <a:spLocks noChangeShapeType="1"/>
        </xdr:cNvSpPr>
      </xdr:nvSpPr>
      <xdr:spPr bwMode="auto">
        <a:xfrm>
          <a:off x="5615940" y="5516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/>
        <xdr:cNvSpPr>
          <a:spLocks noChangeShapeType="1"/>
        </xdr:cNvSpPr>
      </xdr:nvSpPr>
      <xdr:spPr bwMode="auto">
        <a:xfrm>
          <a:off x="2933700" y="67056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403860</xdr:colOff>
      <xdr:row>7</xdr:row>
      <xdr:rowOff>0</xdr:rowOff>
    </xdr:from>
    <xdr:to>
      <xdr:col>5</xdr:col>
      <xdr:colOff>7620</xdr:colOff>
      <xdr:row>7</xdr:row>
      <xdr:rowOff>0</xdr:rowOff>
    </xdr:to>
    <xdr:sp macro="" textlink="">
      <xdr:nvSpPr>
        <xdr:cNvPr id="32818" name="Line 50"/>
        <xdr:cNvSpPr>
          <a:spLocks noChangeShapeType="1"/>
        </xdr:cNvSpPr>
      </xdr:nvSpPr>
      <xdr:spPr bwMode="auto">
        <a:xfrm>
          <a:off x="2933700" y="1524000"/>
          <a:ext cx="7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251460</xdr:rowOff>
    </xdr:from>
    <xdr:to>
      <xdr:col>3</xdr:col>
      <xdr:colOff>0</xdr:colOff>
      <xdr:row>20</xdr:row>
      <xdr:rowOff>7620</xdr:rowOff>
    </xdr:to>
    <xdr:sp macro="" textlink="">
      <xdr:nvSpPr>
        <xdr:cNvPr id="32819" name="Line 51"/>
        <xdr:cNvSpPr>
          <a:spLocks noChangeShapeType="1"/>
        </xdr:cNvSpPr>
      </xdr:nvSpPr>
      <xdr:spPr bwMode="auto">
        <a:xfrm flipV="1">
          <a:off x="2065020" y="4389120"/>
          <a:ext cx="0" cy="2209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739140</xdr:colOff>
      <xdr:row>18</xdr:row>
      <xdr:rowOff>91440</xdr:rowOff>
    </xdr:from>
    <xdr:to>
      <xdr:col>3</xdr:col>
      <xdr:colOff>0</xdr:colOff>
      <xdr:row>19</xdr:row>
      <xdr:rowOff>0</xdr:rowOff>
    </xdr:to>
    <xdr:sp macro="" textlink="">
      <xdr:nvSpPr>
        <xdr:cNvPr id="32820" name="Line 52"/>
        <xdr:cNvSpPr>
          <a:spLocks noChangeShapeType="1"/>
        </xdr:cNvSpPr>
      </xdr:nvSpPr>
      <xdr:spPr bwMode="auto">
        <a:xfrm flipH="1" flipV="1">
          <a:off x="2065020" y="435102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7620</xdr:rowOff>
    </xdr:from>
    <xdr:to>
      <xdr:col>5</xdr:col>
      <xdr:colOff>0</xdr:colOff>
      <xdr:row>19</xdr:row>
      <xdr:rowOff>15240</xdr:rowOff>
    </xdr:to>
    <xdr:sp macro="" textlink="">
      <xdr:nvSpPr>
        <xdr:cNvPr id="32822" name="Line 54"/>
        <xdr:cNvSpPr>
          <a:spLocks noChangeShapeType="1"/>
        </xdr:cNvSpPr>
      </xdr:nvSpPr>
      <xdr:spPr bwMode="auto">
        <a:xfrm flipV="1">
          <a:off x="2933700" y="4267200"/>
          <a:ext cx="0" cy="137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144780</xdr:rowOff>
    </xdr:to>
    <xdr:sp macro="" textlink="">
      <xdr:nvSpPr>
        <xdr:cNvPr id="32823" name="Line 55"/>
        <xdr:cNvSpPr>
          <a:spLocks noChangeShapeType="1"/>
        </xdr:cNvSpPr>
      </xdr:nvSpPr>
      <xdr:spPr bwMode="auto">
        <a:xfrm flipV="1">
          <a:off x="2065020" y="4259580"/>
          <a:ext cx="0" cy="12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129540</xdr:rowOff>
    </xdr:from>
    <xdr:to>
      <xdr:col>3</xdr:col>
      <xdr:colOff>0</xdr:colOff>
      <xdr:row>18</xdr:row>
      <xdr:rowOff>198120</xdr:rowOff>
    </xdr:to>
    <xdr:sp macro="" textlink="">
      <xdr:nvSpPr>
        <xdr:cNvPr id="32827" name="Line 59"/>
        <xdr:cNvSpPr>
          <a:spLocks noChangeShapeType="1"/>
        </xdr:cNvSpPr>
      </xdr:nvSpPr>
      <xdr:spPr bwMode="auto">
        <a:xfrm>
          <a:off x="2065020" y="43891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297180</xdr:rowOff>
    </xdr:from>
    <xdr:to>
      <xdr:col>5</xdr:col>
      <xdr:colOff>0</xdr:colOff>
      <xdr:row>18</xdr:row>
      <xdr:rowOff>76200</xdr:rowOff>
    </xdr:to>
    <xdr:sp macro="" textlink="">
      <xdr:nvSpPr>
        <xdr:cNvPr id="32836" name="Line 68"/>
        <xdr:cNvSpPr>
          <a:spLocks noChangeShapeType="1"/>
        </xdr:cNvSpPr>
      </xdr:nvSpPr>
      <xdr:spPr bwMode="auto">
        <a:xfrm>
          <a:off x="2933700" y="4259580"/>
          <a:ext cx="0" cy="76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160020</xdr:rowOff>
    </xdr:from>
    <xdr:to>
      <xdr:col>3</xdr:col>
      <xdr:colOff>0</xdr:colOff>
      <xdr:row>26</xdr:row>
      <xdr:rowOff>0</xdr:rowOff>
    </xdr:to>
    <xdr:sp macro="" textlink="">
      <xdr:nvSpPr>
        <xdr:cNvPr id="32848" name="Line 80"/>
        <xdr:cNvSpPr>
          <a:spLocks noChangeShapeType="1"/>
        </xdr:cNvSpPr>
      </xdr:nvSpPr>
      <xdr:spPr bwMode="auto">
        <a:xfrm>
          <a:off x="2065020" y="454914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19</xdr:row>
      <xdr:rowOff>167640</xdr:rowOff>
    </xdr:from>
    <xdr:to>
      <xdr:col>5</xdr:col>
      <xdr:colOff>0</xdr:colOff>
      <xdr:row>26</xdr:row>
      <xdr:rowOff>7620</xdr:rowOff>
    </xdr:to>
    <xdr:sp macro="" textlink="">
      <xdr:nvSpPr>
        <xdr:cNvPr id="32849" name="Line 81"/>
        <xdr:cNvSpPr>
          <a:spLocks noChangeShapeType="1"/>
        </xdr:cNvSpPr>
      </xdr:nvSpPr>
      <xdr:spPr bwMode="auto">
        <a:xfrm>
          <a:off x="2933700" y="455676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7620</xdr:rowOff>
    </xdr:from>
    <xdr:to>
      <xdr:col>5</xdr:col>
      <xdr:colOff>0</xdr:colOff>
      <xdr:row>9</xdr:row>
      <xdr:rowOff>7620</xdr:rowOff>
    </xdr:to>
    <xdr:sp macro="" textlink="">
      <xdr:nvSpPr>
        <xdr:cNvPr id="32851" name="Line 83"/>
        <xdr:cNvSpPr>
          <a:spLocks noChangeShapeType="1"/>
        </xdr:cNvSpPr>
      </xdr:nvSpPr>
      <xdr:spPr bwMode="auto">
        <a:xfrm>
          <a:off x="2933700" y="883920"/>
          <a:ext cx="0" cy="10134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121920</xdr:rowOff>
    </xdr:from>
    <xdr:to>
      <xdr:col>3</xdr:col>
      <xdr:colOff>0</xdr:colOff>
      <xdr:row>12</xdr:row>
      <xdr:rowOff>0</xdr:rowOff>
    </xdr:to>
    <xdr:sp macro="" textlink="">
      <xdr:nvSpPr>
        <xdr:cNvPr id="32864" name="Line 96"/>
        <xdr:cNvSpPr>
          <a:spLocks noChangeShapeType="1"/>
        </xdr:cNvSpPr>
      </xdr:nvSpPr>
      <xdr:spPr bwMode="auto">
        <a:xfrm>
          <a:off x="2065020" y="1828800"/>
          <a:ext cx="0" cy="6553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182880</xdr:rowOff>
    </xdr:from>
    <xdr:to>
      <xdr:col>5</xdr:col>
      <xdr:colOff>0</xdr:colOff>
      <xdr:row>15</xdr:row>
      <xdr:rowOff>22860</xdr:rowOff>
    </xdr:to>
    <xdr:sp macro="" textlink="">
      <xdr:nvSpPr>
        <xdr:cNvPr id="32865" name="Line 97"/>
        <xdr:cNvSpPr>
          <a:spLocks noChangeShapeType="1"/>
        </xdr:cNvSpPr>
      </xdr:nvSpPr>
      <xdr:spPr bwMode="auto">
        <a:xfrm>
          <a:off x="2933700" y="1889760"/>
          <a:ext cx="0" cy="1181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91440</xdr:colOff>
      <xdr:row>34</xdr:row>
      <xdr:rowOff>0</xdr:rowOff>
    </xdr:from>
    <xdr:ext cx="76200" cy="220980"/>
    <xdr:sp macro="" textlink="">
      <xdr:nvSpPr>
        <xdr:cNvPr id="32876" name="Text Box 108"/>
        <xdr:cNvSpPr txBox="1">
          <a:spLocks noChangeArrowheads="1"/>
        </xdr:cNvSpPr>
      </xdr:nvSpPr>
      <xdr:spPr bwMode="auto">
        <a:xfrm>
          <a:off x="2651760" y="6492240"/>
          <a:ext cx="762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365760</xdr:colOff>
      <xdr:row>18</xdr:row>
      <xdr:rowOff>121920</xdr:rowOff>
    </xdr:from>
    <xdr:to>
      <xdr:col>5</xdr:col>
      <xdr:colOff>7620</xdr:colOff>
      <xdr:row>20</xdr:row>
      <xdr:rowOff>0</xdr:rowOff>
    </xdr:to>
    <xdr:sp macro="" textlink="">
      <xdr:nvSpPr>
        <xdr:cNvPr id="32885" name="Line 117"/>
        <xdr:cNvSpPr>
          <a:spLocks noChangeShapeType="1"/>
        </xdr:cNvSpPr>
      </xdr:nvSpPr>
      <xdr:spPr bwMode="auto">
        <a:xfrm rot="313428457" flipH="1" flipV="1">
          <a:off x="2926080" y="4381500"/>
          <a:ext cx="15240" cy="2209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106680</xdr:rowOff>
    </xdr:to>
    <xdr:sp macro="" textlink="">
      <xdr:nvSpPr>
        <xdr:cNvPr id="32886" name="Line 118"/>
        <xdr:cNvSpPr>
          <a:spLocks noChangeShapeType="1"/>
        </xdr:cNvSpPr>
      </xdr:nvSpPr>
      <xdr:spPr bwMode="auto">
        <a:xfrm flipV="1">
          <a:off x="2065020" y="4678680"/>
          <a:ext cx="0" cy="1676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</xdr:colOff>
      <xdr:row>8</xdr:row>
      <xdr:rowOff>0</xdr:rowOff>
    </xdr:to>
    <xdr:sp macro="" textlink="">
      <xdr:nvSpPr>
        <xdr:cNvPr id="32887" name="Line 119"/>
        <xdr:cNvSpPr>
          <a:spLocks noChangeShapeType="1"/>
        </xdr:cNvSpPr>
      </xdr:nvSpPr>
      <xdr:spPr bwMode="auto">
        <a:xfrm rot="21524447" flipH="1" flipV="1">
          <a:off x="2933700" y="1524000"/>
          <a:ext cx="7620" cy="1828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7620</xdr:colOff>
      <xdr:row>7</xdr:row>
      <xdr:rowOff>106680</xdr:rowOff>
    </xdr:to>
    <xdr:sp macro="" textlink="">
      <xdr:nvSpPr>
        <xdr:cNvPr id="32888" name="Line 120"/>
        <xdr:cNvSpPr>
          <a:spLocks noChangeShapeType="1"/>
        </xdr:cNvSpPr>
      </xdr:nvSpPr>
      <xdr:spPr bwMode="auto">
        <a:xfrm flipV="1">
          <a:off x="2065020" y="1524000"/>
          <a:ext cx="7620" cy="106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7620</xdr:rowOff>
    </xdr:to>
    <xdr:sp macro="" textlink="">
      <xdr:nvSpPr>
        <xdr:cNvPr id="32897" name="Line 129"/>
        <xdr:cNvSpPr>
          <a:spLocks noChangeShapeType="1"/>
        </xdr:cNvSpPr>
      </xdr:nvSpPr>
      <xdr:spPr bwMode="auto">
        <a:xfrm>
          <a:off x="723900" y="170688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182880</xdr:rowOff>
    </xdr:from>
    <xdr:to>
      <xdr:col>1</xdr:col>
      <xdr:colOff>30480</xdr:colOff>
      <xdr:row>9</xdr:row>
      <xdr:rowOff>0</xdr:rowOff>
    </xdr:to>
    <xdr:sp macro="" textlink="">
      <xdr:nvSpPr>
        <xdr:cNvPr id="32901" name="Line 133"/>
        <xdr:cNvSpPr>
          <a:spLocks noChangeShapeType="1"/>
        </xdr:cNvSpPr>
      </xdr:nvSpPr>
      <xdr:spPr bwMode="auto">
        <a:xfrm flipV="1">
          <a:off x="38100" y="1889760"/>
          <a:ext cx="716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22860</xdr:rowOff>
    </xdr:from>
    <xdr:to>
      <xdr:col>0</xdr:col>
      <xdr:colOff>716280</xdr:colOff>
      <xdr:row>11</xdr:row>
      <xdr:rowOff>22860</xdr:rowOff>
    </xdr:to>
    <xdr:sp macro="" textlink="">
      <xdr:nvSpPr>
        <xdr:cNvPr id="32902" name="Line 134"/>
        <xdr:cNvSpPr>
          <a:spLocks noChangeShapeType="1"/>
        </xdr:cNvSpPr>
      </xdr:nvSpPr>
      <xdr:spPr bwMode="auto">
        <a:xfrm>
          <a:off x="38100" y="232410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20</xdr:row>
      <xdr:rowOff>0</xdr:rowOff>
    </xdr:from>
    <xdr:to>
      <xdr:col>1</xdr:col>
      <xdr:colOff>15240</xdr:colOff>
      <xdr:row>20</xdr:row>
      <xdr:rowOff>0</xdr:rowOff>
    </xdr:to>
    <xdr:sp macro="" textlink="">
      <xdr:nvSpPr>
        <xdr:cNvPr id="32903" name="Line 135"/>
        <xdr:cNvSpPr>
          <a:spLocks noChangeShapeType="1"/>
        </xdr:cNvSpPr>
      </xdr:nvSpPr>
      <xdr:spPr bwMode="auto">
        <a:xfrm>
          <a:off x="7620" y="4602480"/>
          <a:ext cx="7315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23</xdr:row>
      <xdr:rowOff>7620</xdr:rowOff>
    </xdr:from>
    <xdr:to>
      <xdr:col>0</xdr:col>
      <xdr:colOff>693420</xdr:colOff>
      <xdr:row>23</xdr:row>
      <xdr:rowOff>7620</xdr:rowOff>
    </xdr:to>
    <xdr:sp macro="" textlink="">
      <xdr:nvSpPr>
        <xdr:cNvPr id="32904" name="Line 136"/>
        <xdr:cNvSpPr>
          <a:spLocks noChangeShapeType="1"/>
        </xdr:cNvSpPr>
      </xdr:nvSpPr>
      <xdr:spPr bwMode="auto">
        <a:xfrm>
          <a:off x="15240" y="500634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7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2905" name="Line 137"/>
        <xdr:cNvSpPr>
          <a:spLocks noChangeShapeType="1"/>
        </xdr:cNvSpPr>
      </xdr:nvSpPr>
      <xdr:spPr bwMode="auto">
        <a:xfrm>
          <a:off x="7620" y="152400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160020</xdr:rowOff>
    </xdr:from>
    <xdr:to>
      <xdr:col>3</xdr:col>
      <xdr:colOff>0</xdr:colOff>
      <xdr:row>15</xdr:row>
      <xdr:rowOff>30480</xdr:rowOff>
    </xdr:to>
    <xdr:sp macro="" textlink="">
      <xdr:nvSpPr>
        <xdr:cNvPr id="32913" name="Line 145"/>
        <xdr:cNvSpPr>
          <a:spLocks noChangeShapeType="1"/>
        </xdr:cNvSpPr>
      </xdr:nvSpPr>
      <xdr:spPr bwMode="auto">
        <a:xfrm>
          <a:off x="2065020" y="2461260"/>
          <a:ext cx="0" cy="617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19</xdr:row>
      <xdr:rowOff>15240</xdr:rowOff>
    </xdr:from>
    <xdr:to>
      <xdr:col>1</xdr:col>
      <xdr:colOff>7620</xdr:colOff>
      <xdr:row>19</xdr:row>
      <xdr:rowOff>15240</xdr:rowOff>
    </xdr:to>
    <xdr:sp macro="" textlink="">
      <xdr:nvSpPr>
        <xdr:cNvPr id="32927" name="Line 159"/>
        <xdr:cNvSpPr>
          <a:spLocks noChangeShapeType="1"/>
        </xdr:cNvSpPr>
      </xdr:nvSpPr>
      <xdr:spPr bwMode="auto">
        <a:xfrm>
          <a:off x="731520" y="4404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19</xdr:row>
      <xdr:rowOff>15240</xdr:rowOff>
    </xdr:from>
    <xdr:to>
      <xdr:col>1</xdr:col>
      <xdr:colOff>15240</xdr:colOff>
      <xdr:row>19</xdr:row>
      <xdr:rowOff>205740</xdr:rowOff>
    </xdr:to>
    <xdr:sp macro="" textlink="">
      <xdr:nvSpPr>
        <xdr:cNvPr id="32928" name="Line 160"/>
        <xdr:cNvSpPr>
          <a:spLocks noChangeShapeType="1"/>
        </xdr:cNvSpPr>
      </xdr:nvSpPr>
      <xdr:spPr bwMode="auto">
        <a:xfrm>
          <a:off x="739140" y="440436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15240</xdr:rowOff>
    </xdr:from>
    <xdr:to>
      <xdr:col>1</xdr:col>
      <xdr:colOff>7620</xdr:colOff>
      <xdr:row>23</xdr:row>
      <xdr:rowOff>7620</xdr:rowOff>
    </xdr:to>
    <xdr:sp macro="" textlink="">
      <xdr:nvSpPr>
        <xdr:cNvPr id="32929" name="Line 161"/>
        <xdr:cNvSpPr>
          <a:spLocks noChangeShapeType="1"/>
        </xdr:cNvSpPr>
      </xdr:nvSpPr>
      <xdr:spPr bwMode="auto">
        <a:xfrm>
          <a:off x="731520" y="48844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25</xdr:row>
      <xdr:rowOff>175260</xdr:rowOff>
    </xdr:from>
    <xdr:to>
      <xdr:col>2</xdr:col>
      <xdr:colOff>731520</xdr:colOff>
      <xdr:row>25</xdr:row>
      <xdr:rowOff>175260</xdr:rowOff>
    </xdr:to>
    <xdr:sp macro="" textlink="">
      <xdr:nvSpPr>
        <xdr:cNvPr id="32937" name="Line 169"/>
        <xdr:cNvSpPr>
          <a:spLocks noChangeShapeType="1"/>
        </xdr:cNvSpPr>
      </xdr:nvSpPr>
      <xdr:spPr bwMode="auto">
        <a:xfrm>
          <a:off x="7620" y="5417820"/>
          <a:ext cx="20574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22860</xdr:rowOff>
    </xdr:from>
    <xdr:to>
      <xdr:col>1</xdr:col>
      <xdr:colOff>0</xdr:colOff>
      <xdr:row>26</xdr:row>
      <xdr:rowOff>0</xdr:rowOff>
    </xdr:to>
    <xdr:sp macro="" textlink="">
      <xdr:nvSpPr>
        <xdr:cNvPr id="32939" name="Line 171"/>
        <xdr:cNvSpPr>
          <a:spLocks noChangeShapeType="1"/>
        </xdr:cNvSpPr>
      </xdr:nvSpPr>
      <xdr:spPr bwMode="auto">
        <a:xfrm>
          <a:off x="723900" y="526542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213360</xdr:colOff>
      <xdr:row>25</xdr:row>
      <xdr:rowOff>22860</xdr:rowOff>
    </xdr:from>
    <xdr:ext cx="457200" cy="152400"/>
    <xdr:sp macro="" textlink="">
      <xdr:nvSpPr>
        <xdr:cNvPr id="32945" name="Text Box 177"/>
        <xdr:cNvSpPr txBox="1">
          <a:spLocks noChangeArrowheads="1"/>
        </xdr:cNvSpPr>
      </xdr:nvSpPr>
      <xdr:spPr bwMode="auto">
        <a:xfrm>
          <a:off x="2278380" y="5265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15240</xdr:colOff>
      <xdr:row>5</xdr:row>
      <xdr:rowOff>7620</xdr:rowOff>
    </xdr:from>
    <xdr:to>
      <xdr:col>1</xdr:col>
      <xdr:colOff>15240</xdr:colOff>
      <xdr:row>5</xdr:row>
      <xdr:rowOff>7620</xdr:rowOff>
    </xdr:to>
    <xdr:sp macro="" textlink="">
      <xdr:nvSpPr>
        <xdr:cNvPr id="32946" name="Line 178"/>
        <xdr:cNvSpPr>
          <a:spLocks noChangeShapeType="1"/>
        </xdr:cNvSpPr>
      </xdr:nvSpPr>
      <xdr:spPr bwMode="auto">
        <a:xfrm>
          <a:off x="15240" y="108966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213360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/>
        <xdr:cNvSpPr>
          <a:spLocks noChangeShapeType="1"/>
        </xdr:cNvSpPr>
      </xdr:nvSpPr>
      <xdr:spPr bwMode="auto">
        <a:xfrm>
          <a:off x="723900" y="210312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4</xdr:row>
      <xdr:rowOff>0</xdr:rowOff>
    </xdr:from>
    <xdr:to>
      <xdr:col>2</xdr:col>
      <xdr:colOff>739140</xdr:colOff>
      <xdr:row>4</xdr:row>
      <xdr:rowOff>0</xdr:rowOff>
    </xdr:to>
    <xdr:sp macro="" textlink="">
      <xdr:nvSpPr>
        <xdr:cNvPr id="32949" name="Line 181"/>
        <xdr:cNvSpPr>
          <a:spLocks noChangeShapeType="1"/>
        </xdr:cNvSpPr>
      </xdr:nvSpPr>
      <xdr:spPr bwMode="auto">
        <a:xfrm>
          <a:off x="731520" y="87630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</xdr:rowOff>
    </xdr:from>
    <xdr:to>
      <xdr:col>5</xdr:col>
      <xdr:colOff>7620</xdr:colOff>
      <xdr:row>5</xdr:row>
      <xdr:rowOff>7620</xdr:rowOff>
    </xdr:to>
    <xdr:sp macro="" textlink="">
      <xdr:nvSpPr>
        <xdr:cNvPr id="32950" name="Line 182"/>
        <xdr:cNvSpPr>
          <a:spLocks noChangeShapeType="1"/>
        </xdr:cNvSpPr>
      </xdr:nvSpPr>
      <xdr:spPr bwMode="auto">
        <a:xfrm flipV="1">
          <a:off x="731520" y="1089660"/>
          <a:ext cx="2209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579120</xdr:colOff>
      <xdr:row>4</xdr:row>
      <xdr:rowOff>15240</xdr:rowOff>
    </xdr:from>
    <xdr:ext cx="335280" cy="152400"/>
    <xdr:sp macro="" textlink="">
      <xdr:nvSpPr>
        <xdr:cNvPr id="32952" name="Text Box 184"/>
        <xdr:cNvSpPr txBox="1">
          <a:spLocks noChangeArrowheads="1"/>
        </xdr:cNvSpPr>
      </xdr:nvSpPr>
      <xdr:spPr bwMode="auto">
        <a:xfrm>
          <a:off x="1303020" y="8915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304800</xdr:colOff>
      <xdr:row>4</xdr:row>
      <xdr:rowOff>144780</xdr:rowOff>
    </xdr:from>
    <xdr:ext cx="457200" cy="152400"/>
    <xdr:sp macro="" textlink="">
      <xdr:nvSpPr>
        <xdr:cNvPr id="32953" name="Text Box 185"/>
        <xdr:cNvSpPr txBox="1">
          <a:spLocks noChangeArrowheads="1"/>
        </xdr:cNvSpPr>
      </xdr:nvSpPr>
      <xdr:spPr bwMode="auto">
        <a:xfrm>
          <a:off x="2369820" y="102108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7620</xdr:colOff>
      <xdr:row>29</xdr:row>
      <xdr:rowOff>0</xdr:rowOff>
    </xdr:from>
    <xdr:to>
      <xdr:col>5</xdr:col>
      <xdr:colOff>7620</xdr:colOff>
      <xdr:row>29</xdr:row>
      <xdr:rowOff>0</xdr:rowOff>
    </xdr:to>
    <xdr:sp macro="" textlink="">
      <xdr:nvSpPr>
        <xdr:cNvPr id="32954" name="Line 186"/>
        <xdr:cNvSpPr>
          <a:spLocks noChangeShapeType="1"/>
        </xdr:cNvSpPr>
      </xdr:nvSpPr>
      <xdr:spPr bwMode="auto">
        <a:xfrm>
          <a:off x="7620" y="5806440"/>
          <a:ext cx="2933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15240</xdr:rowOff>
    </xdr:from>
    <xdr:to>
      <xdr:col>2</xdr:col>
      <xdr:colOff>739140</xdr:colOff>
      <xdr:row>28</xdr:row>
      <xdr:rowOff>15240</xdr:rowOff>
    </xdr:to>
    <xdr:sp macro="" textlink="">
      <xdr:nvSpPr>
        <xdr:cNvPr id="32958" name="Line 190"/>
        <xdr:cNvSpPr>
          <a:spLocks noChangeShapeType="1"/>
        </xdr:cNvSpPr>
      </xdr:nvSpPr>
      <xdr:spPr bwMode="auto">
        <a:xfrm>
          <a:off x="723900" y="56921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25</xdr:row>
      <xdr:rowOff>152400</xdr:rowOff>
    </xdr:from>
    <xdr:to>
      <xdr:col>2</xdr:col>
      <xdr:colOff>739140</xdr:colOff>
      <xdr:row>28</xdr:row>
      <xdr:rowOff>167640</xdr:rowOff>
    </xdr:to>
    <xdr:sp macro="" textlink="">
      <xdr:nvSpPr>
        <xdr:cNvPr id="32959" name="Line 191"/>
        <xdr:cNvSpPr>
          <a:spLocks noChangeShapeType="1"/>
        </xdr:cNvSpPr>
      </xdr:nvSpPr>
      <xdr:spPr bwMode="auto">
        <a:xfrm>
          <a:off x="2065020" y="5394960"/>
          <a:ext cx="0" cy="4114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28</xdr:row>
      <xdr:rowOff>7620</xdr:rowOff>
    </xdr:from>
    <xdr:to>
      <xdr:col>1</xdr:col>
      <xdr:colOff>7620</xdr:colOff>
      <xdr:row>29</xdr:row>
      <xdr:rowOff>0</xdr:rowOff>
    </xdr:to>
    <xdr:sp macro="" textlink="">
      <xdr:nvSpPr>
        <xdr:cNvPr id="32960" name="Line 192"/>
        <xdr:cNvSpPr>
          <a:spLocks noChangeShapeType="1"/>
        </xdr:cNvSpPr>
      </xdr:nvSpPr>
      <xdr:spPr bwMode="auto">
        <a:xfrm flipH="1" flipV="1">
          <a:off x="731520" y="56845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160020</xdr:rowOff>
    </xdr:from>
    <xdr:to>
      <xdr:col>5</xdr:col>
      <xdr:colOff>0</xdr:colOff>
      <xdr:row>28</xdr:row>
      <xdr:rowOff>152400</xdr:rowOff>
    </xdr:to>
    <xdr:sp macro="" textlink="">
      <xdr:nvSpPr>
        <xdr:cNvPr id="32961" name="Line 193"/>
        <xdr:cNvSpPr>
          <a:spLocks noChangeShapeType="1"/>
        </xdr:cNvSpPr>
      </xdr:nvSpPr>
      <xdr:spPr bwMode="auto">
        <a:xfrm flipV="1">
          <a:off x="2933700" y="5402580"/>
          <a:ext cx="0" cy="4038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/>
        <xdr:cNvSpPr>
          <a:spLocks noChangeShapeType="1"/>
        </xdr:cNvSpPr>
      </xdr:nvSpPr>
      <xdr:spPr bwMode="auto">
        <a:xfrm>
          <a:off x="716280" y="614934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213360</xdr:rowOff>
    </xdr:from>
    <xdr:to>
      <xdr:col>1</xdr:col>
      <xdr:colOff>0</xdr:colOff>
      <xdr:row>31</xdr:row>
      <xdr:rowOff>152400</xdr:rowOff>
    </xdr:to>
    <xdr:sp macro="" textlink="">
      <xdr:nvSpPr>
        <xdr:cNvPr id="32965" name="Line 197"/>
        <xdr:cNvSpPr>
          <a:spLocks noChangeShapeType="1"/>
        </xdr:cNvSpPr>
      </xdr:nvSpPr>
      <xdr:spPr bwMode="auto">
        <a:xfrm>
          <a:off x="723900" y="6149340"/>
          <a:ext cx="0" cy="129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28</xdr:row>
      <xdr:rowOff>152400</xdr:rowOff>
    </xdr:from>
    <xdr:to>
      <xdr:col>2</xdr:col>
      <xdr:colOff>739140</xdr:colOff>
      <xdr:row>32</xdr:row>
      <xdr:rowOff>0</xdr:rowOff>
    </xdr:to>
    <xdr:sp macro="" textlink="">
      <xdr:nvSpPr>
        <xdr:cNvPr id="32967" name="Line 199"/>
        <xdr:cNvSpPr>
          <a:spLocks noChangeShapeType="1"/>
        </xdr:cNvSpPr>
      </xdr:nvSpPr>
      <xdr:spPr bwMode="auto">
        <a:xfrm>
          <a:off x="206502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129540</xdr:rowOff>
    </xdr:from>
    <xdr:to>
      <xdr:col>5</xdr:col>
      <xdr:colOff>0</xdr:colOff>
      <xdr:row>32</xdr:row>
      <xdr:rowOff>0</xdr:rowOff>
    </xdr:to>
    <xdr:sp macro="" textlink="">
      <xdr:nvSpPr>
        <xdr:cNvPr id="32968" name="Line 200"/>
        <xdr:cNvSpPr>
          <a:spLocks noChangeShapeType="1"/>
        </xdr:cNvSpPr>
      </xdr:nvSpPr>
      <xdr:spPr bwMode="auto">
        <a:xfrm>
          <a:off x="293370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35</xdr:row>
      <xdr:rowOff>0</xdr:rowOff>
    </xdr:from>
    <xdr:to>
      <xdr:col>5</xdr:col>
      <xdr:colOff>7620</xdr:colOff>
      <xdr:row>35</xdr:row>
      <xdr:rowOff>0</xdr:rowOff>
    </xdr:to>
    <xdr:sp macro="" textlink="">
      <xdr:nvSpPr>
        <xdr:cNvPr id="32969" name="Line 201"/>
        <xdr:cNvSpPr>
          <a:spLocks noChangeShapeType="1"/>
        </xdr:cNvSpPr>
      </xdr:nvSpPr>
      <xdr:spPr bwMode="auto">
        <a:xfrm>
          <a:off x="15240" y="6621780"/>
          <a:ext cx="29260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15240</xdr:rowOff>
    </xdr:from>
    <xdr:to>
      <xdr:col>3</xdr:col>
      <xdr:colOff>0</xdr:colOff>
      <xdr:row>34</xdr:row>
      <xdr:rowOff>15240</xdr:rowOff>
    </xdr:to>
    <xdr:sp macro="" textlink="">
      <xdr:nvSpPr>
        <xdr:cNvPr id="32970" name="Line 202"/>
        <xdr:cNvSpPr>
          <a:spLocks noChangeShapeType="1"/>
        </xdr:cNvSpPr>
      </xdr:nvSpPr>
      <xdr:spPr bwMode="auto">
        <a:xfrm>
          <a:off x="716280" y="650748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7620</xdr:rowOff>
    </xdr:from>
    <xdr:to>
      <xdr:col>0</xdr:col>
      <xdr:colOff>716280</xdr:colOff>
      <xdr:row>34</xdr:row>
      <xdr:rowOff>160020</xdr:rowOff>
    </xdr:to>
    <xdr:sp macro="" textlink="">
      <xdr:nvSpPr>
        <xdr:cNvPr id="32971" name="Line 203"/>
        <xdr:cNvSpPr>
          <a:spLocks noChangeShapeType="1"/>
        </xdr:cNvSpPr>
      </xdr:nvSpPr>
      <xdr:spPr bwMode="auto">
        <a:xfrm>
          <a:off x="716280" y="649986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31</xdr:row>
      <xdr:rowOff>167640</xdr:rowOff>
    </xdr:from>
    <xdr:to>
      <xdr:col>2</xdr:col>
      <xdr:colOff>739140</xdr:colOff>
      <xdr:row>34</xdr:row>
      <xdr:rowOff>167640</xdr:rowOff>
    </xdr:to>
    <xdr:sp macro="" textlink="">
      <xdr:nvSpPr>
        <xdr:cNvPr id="32972" name="Line 204"/>
        <xdr:cNvSpPr>
          <a:spLocks noChangeShapeType="1"/>
        </xdr:cNvSpPr>
      </xdr:nvSpPr>
      <xdr:spPr bwMode="auto">
        <a:xfrm>
          <a:off x="206502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144780</xdr:rowOff>
    </xdr:from>
    <xdr:to>
      <xdr:col>5</xdr:col>
      <xdr:colOff>0</xdr:colOff>
      <xdr:row>34</xdr:row>
      <xdr:rowOff>167640</xdr:rowOff>
    </xdr:to>
    <xdr:sp macro="" textlink="">
      <xdr:nvSpPr>
        <xdr:cNvPr id="32973" name="Line 205"/>
        <xdr:cNvSpPr>
          <a:spLocks noChangeShapeType="1"/>
        </xdr:cNvSpPr>
      </xdr:nvSpPr>
      <xdr:spPr bwMode="auto">
        <a:xfrm>
          <a:off x="293370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31</xdr:row>
      <xdr:rowOff>83820</xdr:rowOff>
    </xdr:from>
    <xdr:to>
      <xdr:col>6</xdr:col>
      <xdr:colOff>0</xdr:colOff>
      <xdr:row>31</xdr:row>
      <xdr:rowOff>83820</xdr:rowOff>
    </xdr:to>
    <xdr:sp macro="" textlink="">
      <xdr:nvSpPr>
        <xdr:cNvPr id="32974" name="Line 206"/>
        <xdr:cNvSpPr>
          <a:spLocks noChangeShapeType="1"/>
        </xdr:cNvSpPr>
      </xdr:nvSpPr>
      <xdr:spPr bwMode="auto">
        <a:xfrm>
          <a:off x="2941320" y="6233160"/>
          <a:ext cx="4267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34</xdr:row>
      <xdr:rowOff>76200</xdr:rowOff>
    </xdr:from>
    <xdr:to>
      <xdr:col>5</xdr:col>
      <xdr:colOff>731520</xdr:colOff>
      <xdr:row>34</xdr:row>
      <xdr:rowOff>76200</xdr:rowOff>
    </xdr:to>
    <xdr:sp macro="" textlink="">
      <xdr:nvSpPr>
        <xdr:cNvPr id="32975" name="Line 207"/>
        <xdr:cNvSpPr>
          <a:spLocks noChangeShapeType="1"/>
        </xdr:cNvSpPr>
      </xdr:nvSpPr>
      <xdr:spPr bwMode="auto">
        <a:xfrm>
          <a:off x="2933700" y="6568440"/>
          <a:ext cx="4343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32</xdr:row>
      <xdr:rowOff>0</xdr:rowOff>
    </xdr:from>
    <xdr:to>
      <xdr:col>4</xdr:col>
      <xdr:colOff>358140</xdr:colOff>
      <xdr:row>32</xdr:row>
      <xdr:rowOff>0</xdr:rowOff>
    </xdr:to>
    <xdr:sp macro="" textlink="">
      <xdr:nvSpPr>
        <xdr:cNvPr id="32979" name="Line 211"/>
        <xdr:cNvSpPr>
          <a:spLocks noChangeShapeType="1"/>
        </xdr:cNvSpPr>
      </xdr:nvSpPr>
      <xdr:spPr bwMode="auto">
        <a:xfrm>
          <a:off x="15240" y="6278880"/>
          <a:ext cx="29032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15240</xdr:colOff>
      <xdr:row>19</xdr:row>
      <xdr:rowOff>0</xdr:rowOff>
    </xdr:from>
    <xdr:ext cx="457200" cy="152400"/>
    <xdr:sp macro="" textlink="">
      <xdr:nvSpPr>
        <xdr:cNvPr id="32984" name="Text Box 216"/>
        <xdr:cNvSpPr txBox="1">
          <a:spLocks noChangeArrowheads="1"/>
        </xdr:cNvSpPr>
      </xdr:nvSpPr>
      <xdr:spPr bwMode="auto">
        <a:xfrm>
          <a:off x="1417320" y="43891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22860</xdr:rowOff>
    </xdr:from>
    <xdr:ext cx="335280" cy="152400"/>
    <xdr:sp macro="" textlink="">
      <xdr:nvSpPr>
        <xdr:cNvPr id="32985" name="Text Box 217"/>
        <xdr:cNvSpPr txBox="1">
          <a:spLocks noChangeArrowheads="1"/>
        </xdr:cNvSpPr>
      </xdr:nvSpPr>
      <xdr:spPr bwMode="auto">
        <a:xfrm>
          <a:off x="1402080" y="476250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23</xdr:row>
      <xdr:rowOff>76200</xdr:rowOff>
    </xdr:from>
    <xdr:ext cx="335280" cy="152400"/>
    <xdr:sp macro="" textlink="">
      <xdr:nvSpPr>
        <xdr:cNvPr id="32986" name="Text Box 218"/>
        <xdr:cNvSpPr txBox="1">
          <a:spLocks noChangeArrowheads="1"/>
        </xdr:cNvSpPr>
      </xdr:nvSpPr>
      <xdr:spPr bwMode="auto">
        <a:xfrm>
          <a:off x="1417320" y="50749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27</xdr:row>
      <xdr:rowOff>15240</xdr:rowOff>
    </xdr:from>
    <xdr:ext cx="335280" cy="152400"/>
    <xdr:sp macro="" textlink="">
      <xdr:nvSpPr>
        <xdr:cNvPr id="32987" name="Text Box 219"/>
        <xdr:cNvSpPr txBox="1">
          <a:spLocks noChangeArrowheads="1"/>
        </xdr:cNvSpPr>
      </xdr:nvSpPr>
      <xdr:spPr bwMode="auto">
        <a:xfrm>
          <a:off x="1417320" y="55321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15240</xdr:rowOff>
    </xdr:from>
    <xdr:ext cx="457200" cy="152400"/>
    <xdr:sp macro="" textlink="">
      <xdr:nvSpPr>
        <xdr:cNvPr id="32988" name="Text Box 220"/>
        <xdr:cNvSpPr txBox="1">
          <a:spLocks noChangeArrowheads="1"/>
        </xdr:cNvSpPr>
      </xdr:nvSpPr>
      <xdr:spPr bwMode="auto">
        <a:xfrm>
          <a:off x="2255520" y="56921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15240</xdr:colOff>
      <xdr:row>30</xdr:row>
      <xdr:rowOff>30480</xdr:rowOff>
    </xdr:from>
    <xdr:ext cx="335280" cy="152400"/>
    <xdr:sp macro="" textlink="">
      <xdr:nvSpPr>
        <xdr:cNvPr id="32989" name="Text Box 221"/>
        <xdr:cNvSpPr txBox="1">
          <a:spLocks noChangeArrowheads="1"/>
        </xdr:cNvSpPr>
      </xdr:nvSpPr>
      <xdr:spPr bwMode="auto">
        <a:xfrm>
          <a:off x="1417320" y="596646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213360</xdr:colOff>
      <xdr:row>31</xdr:row>
      <xdr:rowOff>0</xdr:rowOff>
    </xdr:from>
    <xdr:ext cx="457200" cy="152400"/>
    <xdr:sp macro="" textlink="">
      <xdr:nvSpPr>
        <xdr:cNvPr id="32990" name="Text Box 222"/>
        <xdr:cNvSpPr txBox="1">
          <a:spLocks noChangeArrowheads="1"/>
        </xdr:cNvSpPr>
      </xdr:nvSpPr>
      <xdr:spPr bwMode="auto">
        <a:xfrm>
          <a:off x="2278380" y="61493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609600</xdr:colOff>
      <xdr:row>33</xdr:row>
      <xdr:rowOff>45720</xdr:rowOff>
    </xdr:from>
    <xdr:ext cx="457200" cy="152400"/>
    <xdr:sp macro="" textlink="">
      <xdr:nvSpPr>
        <xdr:cNvPr id="32991" name="Text Box 223"/>
        <xdr:cNvSpPr txBox="1">
          <a:spLocks noChangeArrowheads="1"/>
        </xdr:cNvSpPr>
      </xdr:nvSpPr>
      <xdr:spPr bwMode="auto">
        <a:xfrm>
          <a:off x="1333500" y="6408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205740</xdr:colOff>
      <xdr:row>34</xdr:row>
      <xdr:rowOff>0</xdr:rowOff>
    </xdr:from>
    <xdr:ext cx="335280" cy="152400"/>
    <xdr:sp macro="" textlink="">
      <xdr:nvSpPr>
        <xdr:cNvPr id="32992" name="Text Box 224"/>
        <xdr:cNvSpPr txBox="1">
          <a:spLocks noChangeArrowheads="1"/>
        </xdr:cNvSpPr>
      </xdr:nvSpPr>
      <xdr:spPr bwMode="auto">
        <a:xfrm>
          <a:off x="2270760" y="64922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205740</xdr:colOff>
      <xdr:row>17</xdr:row>
      <xdr:rowOff>0</xdr:rowOff>
    </xdr:from>
    <xdr:to>
      <xdr:col>4</xdr:col>
      <xdr:colOff>160020</xdr:colOff>
      <xdr:row>17</xdr:row>
      <xdr:rowOff>167640</xdr:rowOff>
    </xdr:to>
    <xdr:sp macro="" textlink="">
      <xdr:nvSpPr>
        <xdr:cNvPr id="32997" name="Text Box 229"/>
        <xdr:cNvSpPr txBox="1">
          <a:spLocks noChangeArrowheads="1"/>
        </xdr:cNvSpPr>
      </xdr:nvSpPr>
      <xdr:spPr bwMode="auto">
        <a:xfrm>
          <a:off x="2270760" y="4069080"/>
          <a:ext cx="44958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7620</xdr:colOff>
      <xdr:row>17</xdr:row>
      <xdr:rowOff>182880</xdr:rowOff>
    </xdr:from>
    <xdr:to>
      <xdr:col>5</xdr:col>
      <xdr:colOff>0</xdr:colOff>
      <xdr:row>18</xdr:row>
      <xdr:rowOff>0</xdr:rowOff>
    </xdr:to>
    <xdr:sp macro="" textlink="">
      <xdr:nvSpPr>
        <xdr:cNvPr id="32998" name="Line 230"/>
        <xdr:cNvSpPr>
          <a:spLocks noChangeShapeType="1"/>
        </xdr:cNvSpPr>
      </xdr:nvSpPr>
      <xdr:spPr bwMode="auto">
        <a:xfrm flipV="1">
          <a:off x="2072640" y="4251960"/>
          <a:ext cx="861060" cy="76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609600</xdr:colOff>
      <xdr:row>6</xdr:row>
      <xdr:rowOff>15240</xdr:rowOff>
    </xdr:from>
    <xdr:ext cx="335280" cy="152400"/>
    <xdr:sp macro="" textlink="">
      <xdr:nvSpPr>
        <xdr:cNvPr id="33009" name="Text Box 241"/>
        <xdr:cNvSpPr txBox="1">
          <a:spLocks noChangeArrowheads="1"/>
        </xdr:cNvSpPr>
      </xdr:nvSpPr>
      <xdr:spPr bwMode="auto">
        <a:xfrm>
          <a:off x="1333500" y="13030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7620</xdr:rowOff>
    </xdr:from>
    <xdr:to>
      <xdr:col>3</xdr:col>
      <xdr:colOff>30480</xdr:colOff>
      <xdr:row>10</xdr:row>
      <xdr:rowOff>7620</xdr:rowOff>
    </xdr:to>
    <xdr:sp macro="" textlink="">
      <xdr:nvSpPr>
        <xdr:cNvPr id="33010" name="Line 242"/>
        <xdr:cNvSpPr>
          <a:spLocks noChangeShapeType="1"/>
        </xdr:cNvSpPr>
      </xdr:nvSpPr>
      <xdr:spPr bwMode="auto">
        <a:xfrm>
          <a:off x="762000" y="21259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182880</xdr:rowOff>
    </xdr:from>
    <xdr:to>
      <xdr:col>4</xdr:col>
      <xdr:colOff>365760</xdr:colOff>
      <xdr:row>14</xdr:row>
      <xdr:rowOff>182880</xdr:rowOff>
    </xdr:to>
    <xdr:sp macro="" textlink="">
      <xdr:nvSpPr>
        <xdr:cNvPr id="33012" name="Line 244"/>
        <xdr:cNvSpPr>
          <a:spLocks noChangeShapeType="1"/>
        </xdr:cNvSpPr>
      </xdr:nvSpPr>
      <xdr:spPr bwMode="auto">
        <a:xfrm>
          <a:off x="2065020" y="303276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259080</xdr:colOff>
      <xdr:row>14</xdr:row>
      <xdr:rowOff>0</xdr:rowOff>
    </xdr:from>
    <xdr:ext cx="335280" cy="152400"/>
    <xdr:sp macro="" textlink="">
      <xdr:nvSpPr>
        <xdr:cNvPr id="33013" name="Text Box 245"/>
        <xdr:cNvSpPr txBox="1">
          <a:spLocks noChangeArrowheads="1"/>
        </xdr:cNvSpPr>
      </xdr:nvSpPr>
      <xdr:spPr bwMode="auto">
        <a:xfrm>
          <a:off x="2324100" y="28498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91440</xdr:rowOff>
    </xdr:from>
    <xdr:to>
      <xdr:col>3</xdr:col>
      <xdr:colOff>0</xdr:colOff>
      <xdr:row>37</xdr:row>
      <xdr:rowOff>15240</xdr:rowOff>
    </xdr:to>
    <xdr:sp macro="" textlink="">
      <xdr:nvSpPr>
        <xdr:cNvPr id="33015" name="Line 247"/>
        <xdr:cNvSpPr>
          <a:spLocks noChangeShapeType="1"/>
        </xdr:cNvSpPr>
      </xdr:nvSpPr>
      <xdr:spPr bwMode="auto">
        <a:xfrm flipV="1">
          <a:off x="2065020" y="6583680"/>
          <a:ext cx="0" cy="3124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144780</xdr:rowOff>
    </xdr:from>
    <xdr:to>
      <xdr:col>5</xdr:col>
      <xdr:colOff>0</xdr:colOff>
      <xdr:row>37</xdr:row>
      <xdr:rowOff>0</xdr:rowOff>
    </xdr:to>
    <xdr:sp macro="" textlink="">
      <xdr:nvSpPr>
        <xdr:cNvPr id="33016" name="Line 248"/>
        <xdr:cNvSpPr>
          <a:spLocks noChangeShapeType="1"/>
        </xdr:cNvSpPr>
      </xdr:nvSpPr>
      <xdr:spPr bwMode="auto">
        <a:xfrm flipH="1" flipV="1">
          <a:off x="2933700" y="6621780"/>
          <a:ext cx="0" cy="2590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36</xdr:row>
      <xdr:rowOff>0</xdr:rowOff>
    </xdr:from>
    <xdr:to>
      <xdr:col>4</xdr:col>
      <xdr:colOff>358140</xdr:colOff>
      <xdr:row>36</xdr:row>
      <xdr:rowOff>0</xdr:rowOff>
    </xdr:to>
    <xdr:sp macro="" textlink="">
      <xdr:nvSpPr>
        <xdr:cNvPr id="33017" name="Line 249"/>
        <xdr:cNvSpPr>
          <a:spLocks noChangeShapeType="1"/>
        </xdr:cNvSpPr>
      </xdr:nvSpPr>
      <xdr:spPr bwMode="auto">
        <a:xfrm>
          <a:off x="2057400" y="675132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205740</xdr:colOff>
      <xdr:row>35</xdr:row>
      <xdr:rowOff>106680</xdr:rowOff>
    </xdr:from>
    <xdr:ext cx="457200" cy="152400"/>
    <xdr:sp macro="" textlink="">
      <xdr:nvSpPr>
        <xdr:cNvPr id="33018" name="Text Box 250"/>
        <xdr:cNvSpPr txBox="1">
          <a:spLocks noChangeArrowheads="1"/>
        </xdr:cNvSpPr>
      </xdr:nvSpPr>
      <xdr:spPr bwMode="auto">
        <a:xfrm>
          <a:off x="2270760" y="67284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7620</xdr:colOff>
      <xdr:row>6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3025" name="Line 257"/>
        <xdr:cNvSpPr>
          <a:spLocks noChangeShapeType="1"/>
        </xdr:cNvSpPr>
      </xdr:nvSpPr>
      <xdr:spPr bwMode="auto">
        <a:xfrm flipV="1">
          <a:off x="731520" y="128778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</xdr:row>
      <xdr:rowOff>7620</xdr:rowOff>
    </xdr:from>
    <xdr:to>
      <xdr:col>2</xdr:col>
      <xdr:colOff>297180</xdr:colOff>
      <xdr:row>3</xdr:row>
      <xdr:rowOff>7620</xdr:rowOff>
    </xdr:to>
    <xdr:sp macro="" textlink="">
      <xdr:nvSpPr>
        <xdr:cNvPr id="33026" name="Line 258"/>
        <xdr:cNvSpPr>
          <a:spLocks noChangeShapeType="1"/>
        </xdr:cNvSpPr>
      </xdr:nvSpPr>
      <xdr:spPr bwMode="auto">
        <a:xfrm>
          <a:off x="15240" y="678180"/>
          <a:ext cx="16840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655320</xdr:colOff>
      <xdr:row>3</xdr:row>
      <xdr:rowOff>7620</xdr:rowOff>
    </xdr:to>
    <xdr:sp macro="" textlink="">
      <xdr:nvSpPr>
        <xdr:cNvPr id="33028" name="Line 260"/>
        <xdr:cNvSpPr>
          <a:spLocks noChangeShapeType="1"/>
        </xdr:cNvSpPr>
      </xdr:nvSpPr>
      <xdr:spPr bwMode="auto">
        <a:xfrm flipV="1">
          <a:off x="1684020" y="167640"/>
          <a:ext cx="373380" cy="510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15</xdr:row>
      <xdr:rowOff>0</xdr:rowOff>
    </xdr:from>
    <xdr:to>
      <xdr:col>6</xdr:col>
      <xdr:colOff>220980</xdr:colOff>
      <xdr:row>18</xdr:row>
      <xdr:rowOff>15240</xdr:rowOff>
    </xdr:to>
    <xdr:sp macro="" textlink="">
      <xdr:nvSpPr>
        <xdr:cNvPr id="33097" name="Line 329"/>
        <xdr:cNvSpPr>
          <a:spLocks noChangeShapeType="1"/>
        </xdr:cNvSpPr>
      </xdr:nvSpPr>
      <xdr:spPr bwMode="auto">
        <a:xfrm flipH="1" flipV="1">
          <a:off x="35890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15</xdr:row>
      <xdr:rowOff>0</xdr:rowOff>
    </xdr:from>
    <xdr:to>
      <xdr:col>2</xdr:col>
      <xdr:colOff>15240</xdr:colOff>
      <xdr:row>18</xdr:row>
      <xdr:rowOff>15240</xdr:rowOff>
    </xdr:to>
    <xdr:sp macro="" textlink="">
      <xdr:nvSpPr>
        <xdr:cNvPr id="33099" name="Line 331"/>
        <xdr:cNvSpPr>
          <a:spLocks noChangeShapeType="1"/>
        </xdr:cNvSpPr>
      </xdr:nvSpPr>
      <xdr:spPr bwMode="auto">
        <a:xfrm flipV="1">
          <a:off x="14173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14</xdr:row>
      <xdr:rowOff>182880</xdr:rowOff>
    </xdr:from>
    <xdr:to>
      <xdr:col>2</xdr:col>
      <xdr:colOff>647700</xdr:colOff>
      <xdr:row>14</xdr:row>
      <xdr:rowOff>182880</xdr:rowOff>
    </xdr:to>
    <xdr:sp macro="" textlink="">
      <xdr:nvSpPr>
        <xdr:cNvPr id="33100" name="Line 332"/>
        <xdr:cNvSpPr>
          <a:spLocks noChangeShapeType="1"/>
        </xdr:cNvSpPr>
      </xdr:nvSpPr>
      <xdr:spPr bwMode="auto">
        <a:xfrm>
          <a:off x="1417320" y="3032760"/>
          <a:ext cx="6324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14</xdr:row>
      <xdr:rowOff>182880</xdr:rowOff>
    </xdr:from>
    <xdr:to>
      <xdr:col>6</xdr:col>
      <xdr:colOff>236220</xdr:colOff>
      <xdr:row>14</xdr:row>
      <xdr:rowOff>182880</xdr:rowOff>
    </xdr:to>
    <xdr:sp macro="" textlink="">
      <xdr:nvSpPr>
        <xdr:cNvPr id="33102" name="Line 334"/>
        <xdr:cNvSpPr>
          <a:spLocks noChangeShapeType="1"/>
        </xdr:cNvSpPr>
      </xdr:nvSpPr>
      <xdr:spPr bwMode="auto">
        <a:xfrm>
          <a:off x="2941320" y="3032760"/>
          <a:ext cx="6629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18</xdr:row>
      <xdr:rowOff>0</xdr:rowOff>
    </xdr:from>
    <xdr:to>
      <xdr:col>6</xdr:col>
      <xdr:colOff>236220</xdr:colOff>
      <xdr:row>18</xdr:row>
      <xdr:rowOff>0</xdr:rowOff>
    </xdr:to>
    <xdr:sp macro="" textlink="">
      <xdr:nvSpPr>
        <xdr:cNvPr id="33103" name="Line 335"/>
        <xdr:cNvSpPr>
          <a:spLocks noChangeShapeType="1"/>
        </xdr:cNvSpPr>
      </xdr:nvSpPr>
      <xdr:spPr bwMode="auto">
        <a:xfrm flipV="1">
          <a:off x="294894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7620</xdr:colOff>
      <xdr:row>18</xdr:row>
      <xdr:rowOff>0</xdr:rowOff>
    </xdr:to>
    <xdr:sp macro="" textlink="">
      <xdr:nvSpPr>
        <xdr:cNvPr id="33104" name="Line 336"/>
        <xdr:cNvSpPr>
          <a:spLocks noChangeShapeType="1"/>
        </xdr:cNvSpPr>
      </xdr:nvSpPr>
      <xdr:spPr bwMode="auto">
        <a:xfrm>
          <a:off x="141732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236220</xdr:colOff>
      <xdr:row>16</xdr:row>
      <xdr:rowOff>0</xdr:rowOff>
    </xdr:from>
    <xdr:ext cx="457200" cy="152400"/>
    <xdr:sp macro="" textlink="">
      <xdr:nvSpPr>
        <xdr:cNvPr id="33107" name="Text Box 339"/>
        <xdr:cNvSpPr txBox="1">
          <a:spLocks noChangeArrowheads="1"/>
        </xdr:cNvSpPr>
      </xdr:nvSpPr>
      <xdr:spPr bwMode="auto">
        <a:xfrm>
          <a:off x="3604260" y="35890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129540</xdr:colOff>
      <xdr:row>16</xdr:row>
      <xdr:rowOff>7620</xdr:rowOff>
    </xdr:from>
    <xdr:to>
      <xdr:col>2</xdr:col>
      <xdr:colOff>0</xdr:colOff>
      <xdr:row>16</xdr:row>
      <xdr:rowOff>167640</xdr:rowOff>
    </xdr:to>
    <xdr:sp macro="" textlink="">
      <xdr:nvSpPr>
        <xdr:cNvPr id="33108" name="Text Box 340"/>
        <xdr:cNvSpPr txBox="1">
          <a:spLocks noChangeArrowheads="1"/>
        </xdr:cNvSpPr>
      </xdr:nvSpPr>
      <xdr:spPr bwMode="auto">
        <a:xfrm>
          <a:off x="853440" y="3596640"/>
          <a:ext cx="5486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365760</xdr:colOff>
      <xdr:row>17</xdr:row>
      <xdr:rowOff>152400</xdr:rowOff>
    </xdr:from>
    <xdr:to>
      <xdr:col>5</xdr:col>
      <xdr:colOff>7620</xdr:colOff>
      <xdr:row>19</xdr:row>
      <xdr:rowOff>182880</xdr:rowOff>
    </xdr:to>
    <xdr:sp macro="" textlink="">
      <xdr:nvSpPr>
        <xdr:cNvPr id="33110" name="Line 342"/>
        <xdr:cNvSpPr>
          <a:spLocks noChangeShapeType="1"/>
        </xdr:cNvSpPr>
      </xdr:nvSpPr>
      <xdr:spPr bwMode="auto">
        <a:xfrm rot="334948828" flipH="1" flipV="1">
          <a:off x="2926080" y="4221480"/>
          <a:ext cx="15240" cy="3505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502920</xdr:colOff>
      <xdr:row>17</xdr:row>
      <xdr:rowOff>160020</xdr:rowOff>
    </xdr:from>
    <xdr:to>
      <xdr:col>3</xdr:col>
      <xdr:colOff>167640</xdr:colOff>
      <xdr:row>17</xdr:row>
      <xdr:rowOff>167640</xdr:rowOff>
    </xdr:to>
    <xdr:sp macro="" textlink="">
      <xdr:nvSpPr>
        <xdr:cNvPr id="33111" name="Line 343"/>
        <xdr:cNvSpPr>
          <a:spLocks noChangeShapeType="1"/>
        </xdr:cNvSpPr>
      </xdr:nvSpPr>
      <xdr:spPr bwMode="auto">
        <a:xfrm rot="16019238" flipV="1">
          <a:off x="2065020" y="4069080"/>
          <a:ext cx="7620" cy="3276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624840</xdr:colOff>
      <xdr:row>17</xdr:row>
      <xdr:rowOff>160020</xdr:rowOff>
    </xdr:from>
    <xdr:to>
      <xdr:col>3</xdr:col>
      <xdr:colOff>38100</xdr:colOff>
      <xdr:row>18</xdr:row>
      <xdr:rowOff>45720</xdr:rowOff>
    </xdr:to>
    <xdr:sp macro="[0]!LINE2ARROWROTATATEHOTSPOT" textlink="">
      <xdr:nvSpPr>
        <xdr:cNvPr id="33112" name="Oval 344"/>
        <xdr:cNvSpPr>
          <a:spLocks noChangeArrowheads="1"/>
        </xdr:cNvSpPr>
      </xdr:nvSpPr>
      <xdr:spPr bwMode="auto">
        <a:xfrm>
          <a:off x="202692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17</xdr:row>
      <xdr:rowOff>144780</xdr:rowOff>
    </xdr:from>
    <xdr:to>
      <xdr:col>5</xdr:col>
      <xdr:colOff>45720</xdr:colOff>
      <xdr:row>18</xdr:row>
      <xdr:rowOff>22860</xdr:rowOff>
    </xdr:to>
    <xdr:sp macro="[0]!LINE1VALVEROTATEHOTSPOT" textlink="">
      <xdr:nvSpPr>
        <xdr:cNvPr id="33113" name="Oval 345"/>
        <xdr:cNvSpPr>
          <a:spLocks noChangeArrowheads="1"/>
        </xdr:cNvSpPr>
      </xdr:nvSpPr>
      <xdr:spPr bwMode="auto">
        <a:xfrm>
          <a:off x="2903220" y="42138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335280</xdr:colOff>
      <xdr:row>20</xdr:row>
      <xdr:rowOff>106680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/>
        <xdr:cNvSpPr>
          <a:spLocks noChangeArrowheads="1"/>
        </xdr:cNvSpPr>
      </xdr:nvSpPr>
      <xdr:spPr bwMode="auto">
        <a:xfrm>
          <a:off x="2895600" y="47091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624840</xdr:colOff>
      <xdr:row>20</xdr:row>
      <xdr:rowOff>114300</xdr:rowOff>
    </xdr:from>
    <xdr:to>
      <xdr:col>3</xdr:col>
      <xdr:colOff>38100</xdr:colOff>
      <xdr:row>21</xdr:row>
      <xdr:rowOff>45720</xdr:rowOff>
    </xdr:to>
    <xdr:sp macro="[0]!LINE2SOUTHVALVEROTATEHOTSPOT" textlink="">
      <xdr:nvSpPr>
        <xdr:cNvPr id="33115" name="Oval 347"/>
        <xdr:cNvSpPr>
          <a:spLocks noChangeArrowheads="1"/>
        </xdr:cNvSpPr>
      </xdr:nvSpPr>
      <xdr:spPr bwMode="auto">
        <a:xfrm>
          <a:off x="2026920" y="471678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/>
        <xdr:cNvSpPr>
          <a:spLocks noChangeShapeType="1"/>
        </xdr:cNvSpPr>
      </xdr:nvSpPr>
      <xdr:spPr bwMode="auto">
        <a:xfrm>
          <a:off x="723900" y="524256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/>
        <xdr:cNvSpPr>
          <a:spLocks noChangeShapeType="1"/>
        </xdr:cNvSpPr>
      </xdr:nvSpPr>
      <xdr:spPr bwMode="auto">
        <a:xfrm>
          <a:off x="731520" y="12877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121920</xdr:rowOff>
    </xdr:from>
    <xdr:to>
      <xdr:col>3</xdr:col>
      <xdr:colOff>0</xdr:colOff>
      <xdr:row>8</xdr:row>
      <xdr:rowOff>129540</xdr:rowOff>
    </xdr:to>
    <xdr:sp macro="" textlink="">
      <xdr:nvSpPr>
        <xdr:cNvPr id="33148" name="Line 380"/>
        <xdr:cNvSpPr>
          <a:spLocks noChangeShapeType="1"/>
        </xdr:cNvSpPr>
      </xdr:nvSpPr>
      <xdr:spPr bwMode="auto">
        <a:xfrm flipV="1">
          <a:off x="2065020" y="164592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</xdr:row>
      <xdr:rowOff>0</xdr:rowOff>
    </xdr:from>
    <xdr:to>
      <xdr:col>10</xdr:col>
      <xdr:colOff>160020</xdr:colOff>
      <xdr:row>3</xdr:row>
      <xdr:rowOff>30480</xdr:rowOff>
    </xdr:to>
    <xdr:sp macro="" textlink="">
      <xdr:nvSpPr>
        <xdr:cNvPr id="33162" name="Line 394"/>
        <xdr:cNvSpPr>
          <a:spLocks noChangeShapeType="1"/>
        </xdr:cNvSpPr>
      </xdr:nvSpPr>
      <xdr:spPr bwMode="auto">
        <a:xfrm>
          <a:off x="5943600" y="464820"/>
          <a:ext cx="57912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388620</xdr:colOff>
      <xdr:row>4</xdr:row>
      <xdr:rowOff>0</xdr:rowOff>
    </xdr:from>
    <xdr:to>
      <xdr:col>10</xdr:col>
      <xdr:colOff>388620</xdr:colOff>
      <xdr:row>5</xdr:row>
      <xdr:rowOff>0</xdr:rowOff>
    </xdr:to>
    <xdr:sp macro="" textlink="">
      <xdr:nvSpPr>
        <xdr:cNvPr id="33163" name="Line 395"/>
        <xdr:cNvSpPr>
          <a:spLocks noChangeShapeType="1"/>
        </xdr:cNvSpPr>
      </xdr:nvSpPr>
      <xdr:spPr bwMode="auto">
        <a:xfrm>
          <a:off x="6751320" y="876300"/>
          <a:ext cx="0" cy="205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7620</xdr:rowOff>
    </xdr:from>
    <xdr:to>
      <xdr:col>9</xdr:col>
      <xdr:colOff>0</xdr:colOff>
      <xdr:row>14</xdr:row>
      <xdr:rowOff>182880</xdr:rowOff>
    </xdr:to>
    <xdr:sp macro="" textlink="">
      <xdr:nvSpPr>
        <xdr:cNvPr id="33164" name="Line 396"/>
        <xdr:cNvSpPr>
          <a:spLocks noChangeShapeType="1"/>
        </xdr:cNvSpPr>
      </xdr:nvSpPr>
      <xdr:spPr bwMode="auto">
        <a:xfrm>
          <a:off x="5615940" y="1089660"/>
          <a:ext cx="0" cy="1943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480060</xdr:colOff>
      <xdr:row>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65" name="Line 397"/>
        <xdr:cNvSpPr>
          <a:spLocks noChangeShapeType="1"/>
        </xdr:cNvSpPr>
      </xdr:nvSpPr>
      <xdr:spPr bwMode="auto">
        <a:xfrm>
          <a:off x="8831580" y="1082040"/>
          <a:ext cx="0" cy="19659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106680</xdr:rowOff>
    </xdr:from>
    <xdr:to>
      <xdr:col>9</xdr:col>
      <xdr:colOff>0</xdr:colOff>
      <xdr:row>8</xdr:row>
      <xdr:rowOff>106680</xdr:rowOff>
    </xdr:to>
    <xdr:sp macro="" textlink="">
      <xdr:nvSpPr>
        <xdr:cNvPr id="33166" name="Line 398"/>
        <xdr:cNvSpPr>
          <a:spLocks noChangeShapeType="1"/>
        </xdr:cNvSpPr>
      </xdr:nvSpPr>
      <xdr:spPr bwMode="auto">
        <a:xfrm>
          <a:off x="4876800" y="1813560"/>
          <a:ext cx="73914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17</xdr:row>
      <xdr:rowOff>0</xdr:rowOff>
    </xdr:from>
    <xdr:to>
      <xdr:col>10</xdr:col>
      <xdr:colOff>449580</xdr:colOff>
      <xdr:row>18</xdr:row>
      <xdr:rowOff>0</xdr:rowOff>
    </xdr:to>
    <xdr:sp macro="" textlink="">
      <xdr:nvSpPr>
        <xdr:cNvPr id="33167" name="Line 399"/>
        <xdr:cNvSpPr>
          <a:spLocks noChangeShapeType="1"/>
        </xdr:cNvSpPr>
      </xdr:nvSpPr>
      <xdr:spPr bwMode="auto">
        <a:xfrm flipV="1">
          <a:off x="6812280" y="4069080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15</xdr:row>
      <xdr:rowOff>0</xdr:rowOff>
    </xdr:from>
    <xdr:to>
      <xdr:col>10</xdr:col>
      <xdr:colOff>441960</xdr:colOff>
      <xdr:row>16</xdr:row>
      <xdr:rowOff>228600</xdr:rowOff>
    </xdr:to>
    <xdr:sp macro="" textlink="">
      <xdr:nvSpPr>
        <xdr:cNvPr id="33168" name="Line 400"/>
        <xdr:cNvSpPr>
          <a:spLocks noChangeShapeType="1"/>
        </xdr:cNvSpPr>
      </xdr:nvSpPr>
      <xdr:spPr bwMode="auto">
        <a:xfrm flipV="1">
          <a:off x="6804660" y="3048000"/>
          <a:ext cx="0" cy="76962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731520</xdr:colOff>
      <xdr:row>9</xdr:row>
      <xdr:rowOff>83820</xdr:rowOff>
    </xdr:from>
    <xdr:to>
      <xdr:col>8</xdr:col>
      <xdr:colOff>716280</xdr:colOff>
      <xdr:row>10</xdr:row>
      <xdr:rowOff>106680</xdr:rowOff>
    </xdr:to>
    <xdr:sp macro="" textlink="">
      <xdr:nvSpPr>
        <xdr:cNvPr id="33169" name="Line 401"/>
        <xdr:cNvSpPr>
          <a:spLocks noChangeShapeType="1"/>
        </xdr:cNvSpPr>
      </xdr:nvSpPr>
      <xdr:spPr bwMode="auto">
        <a:xfrm flipV="1">
          <a:off x="4853940" y="1973580"/>
          <a:ext cx="731520" cy="2514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739140</xdr:colOff>
      <xdr:row>5</xdr:row>
      <xdr:rowOff>0</xdr:rowOff>
    </xdr:from>
    <xdr:to>
      <xdr:col>12</xdr:col>
      <xdr:colOff>472440</xdr:colOff>
      <xdr:row>5</xdr:row>
      <xdr:rowOff>0</xdr:rowOff>
    </xdr:to>
    <xdr:sp macro="" textlink="">
      <xdr:nvSpPr>
        <xdr:cNvPr id="33170" name="Line 402"/>
        <xdr:cNvSpPr>
          <a:spLocks noChangeShapeType="1"/>
        </xdr:cNvSpPr>
      </xdr:nvSpPr>
      <xdr:spPr bwMode="auto">
        <a:xfrm>
          <a:off x="5608320" y="1082040"/>
          <a:ext cx="322326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71" name="Line 403"/>
        <xdr:cNvSpPr>
          <a:spLocks noChangeShapeType="1"/>
        </xdr:cNvSpPr>
      </xdr:nvSpPr>
      <xdr:spPr bwMode="auto">
        <a:xfrm>
          <a:off x="5623560" y="3048000"/>
          <a:ext cx="320802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15</xdr:row>
      <xdr:rowOff>220980</xdr:rowOff>
    </xdr:from>
    <xdr:to>
      <xdr:col>4</xdr:col>
      <xdr:colOff>365760</xdr:colOff>
      <xdr:row>16</xdr:row>
      <xdr:rowOff>251460</xdr:rowOff>
    </xdr:to>
    <xdr:sp macro="" textlink="">
      <xdr:nvSpPr>
        <xdr:cNvPr id="33181" name="Text Box 413"/>
        <xdr:cNvSpPr txBox="1">
          <a:spLocks noChangeArrowheads="1"/>
        </xdr:cNvSpPr>
      </xdr:nvSpPr>
      <xdr:spPr bwMode="auto">
        <a:xfrm>
          <a:off x="2072640" y="3268980"/>
          <a:ext cx="85344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</xdr:colOff>
      <xdr:row>13</xdr:row>
      <xdr:rowOff>0</xdr:rowOff>
    </xdr:from>
    <xdr:to>
      <xdr:col>5</xdr:col>
      <xdr:colOff>7620</xdr:colOff>
      <xdr:row>13</xdr:row>
      <xdr:rowOff>0</xdr:rowOff>
    </xdr:to>
    <xdr:sp macro="" textlink="">
      <xdr:nvSpPr>
        <xdr:cNvPr id="33185" name="Line 417"/>
        <xdr:cNvSpPr>
          <a:spLocks noChangeShapeType="1"/>
        </xdr:cNvSpPr>
      </xdr:nvSpPr>
      <xdr:spPr bwMode="auto">
        <a:xfrm>
          <a:off x="7620" y="2667000"/>
          <a:ext cx="2933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7620</xdr:rowOff>
    </xdr:from>
    <xdr:to>
      <xdr:col>3</xdr:col>
      <xdr:colOff>0</xdr:colOff>
      <xdr:row>12</xdr:row>
      <xdr:rowOff>7620</xdr:rowOff>
    </xdr:to>
    <xdr:sp macro="" textlink="">
      <xdr:nvSpPr>
        <xdr:cNvPr id="33186" name="Line 418"/>
        <xdr:cNvSpPr>
          <a:spLocks noChangeShapeType="1"/>
        </xdr:cNvSpPr>
      </xdr:nvSpPr>
      <xdr:spPr bwMode="auto">
        <a:xfrm>
          <a:off x="731520" y="2491740"/>
          <a:ext cx="1333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30480</xdr:rowOff>
    </xdr:from>
    <xdr:to>
      <xdr:col>1</xdr:col>
      <xdr:colOff>7620</xdr:colOff>
      <xdr:row>13</xdr:row>
      <xdr:rowOff>0</xdr:rowOff>
    </xdr:to>
    <xdr:sp macro="" textlink="">
      <xdr:nvSpPr>
        <xdr:cNvPr id="33187" name="Line 419"/>
        <xdr:cNvSpPr>
          <a:spLocks noChangeShapeType="1"/>
        </xdr:cNvSpPr>
      </xdr:nvSpPr>
      <xdr:spPr bwMode="auto">
        <a:xfrm>
          <a:off x="731520" y="25146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11</xdr:row>
      <xdr:rowOff>68580</xdr:rowOff>
    </xdr:from>
    <xdr:to>
      <xdr:col>2</xdr:col>
      <xdr:colOff>281940</xdr:colOff>
      <xdr:row>12</xdr:row>
      <xdr:rowOff>7620</xdr:rowOff>
    </xdr:to>
    <xdr:sp macro="" textlink="">
      <xdr:nvSpPr>
        <xdr:cNvPr id="33188" name="Text Box 420"/>
        <xdr:cNvSpPr txBox="1">
          <a:spLocks noChangeArrowheads="1"/>
        </xdr:cNvSpPr>
      </xdr:nvSpPr>
      <xdr:spPr bwMode="auto">
        <a:xfrm>
          <a:off x="1181100" y="2369820"/>
          <a:ext cx="5029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297180</xdr:colOff>
      <xdr:row>12</xdr:row>
      <xdr:rowOff>45720</xdr:rowOff>
    </xdr:from>
    <xdr:to>
      <xdr:col>4</xdr:col>
      <xdr:colOff>205740</xdr:colOff>
      <xdr:row>13</xdr:row>
      <xdr:rowOff>0</xdr:rowOff>
    </xdr:to>
    <xdr:sp macro="" textlink="">
      <xdr:nvSpPr>
        <xdr:cNvPr id="33189" name="Text Box 421"/>
        <xdr:cNvSpPr txBox="1">
          <a:spLocks noChangeArrowheads="1"/>
        </xdr:cNvSpPr>
      </xdr:nvSpPr>
      <xdr:spPr bwMode="auto">
        <a:xfrm>
          <a:off x="2362200" y="2529840"/>
          <a:ext cx="40386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tabSelected="1" zoomScale="75" workbookViewId="0">
      <selection activeCell="L10" sqref="L10"/>
    </sheetView>
  </sheetViews>
  <sheetFormatPr defaultRowHeight="15"/>
  <cols>
    <col min="2" max="2" width="9" customWidth="1"/>
    <col min="5" max="5" width="9" customWidth="1"/>
    <col min="88" max="88" width="17.453125" bestFit="1" customWidth="1"/>
  </cols>
  <sheetData>
    <row r="1" spans="1:88">
      <c r="A1" s="1040"/>
      <c r="B1" s="798"/>
    </row>
    <row r="2" spans="1:88">
      <c r="A2" s="1040" t="s">
        <v>9</v>
      </c>
      <c r="B2" t="s">
        <v>9</v>
      </c>
    </row>
    <row r="3" spans="1:88" ht="15.6" thickBot="1">
      <c r="A3" s="1110" t="s">
        <v>9</v>
      </c>
      <c r="B3" t="s">
        <v>9</v>
      </c>
      <c r="C3" s="6" t="s">
        <v>10</v>
      </c>
      <c r="D3" s="6"/>
      <c r="E3" s="6"/>
      <c r="F3" s="6"/>
      <c r="G3" s="6"/>
      <c r="H3" s="6"/>
      <c r="I3" t="s">
        <v>9</v>
      </c>
      <c r="K3" t="s">
        <v>9</v>
      </c>
    </row>
    <row r="4" spans="1:88" ht="15.6" thickBot="1">
      <c r="A4" s="450"/>
      <c r="B4" s="798" t="s">
        <v>158</v>
      </c>
      <c r="H4" t="s">
        <v>9</v>
      </c>
      <c r="I4" t="s">
        <v>9</v>
      </c>
      <c r="J4" t="s">
        <v>9</v>
      </c>
      <c r="CJ4" s="458" t="s">
        <v>9</v>
      </c>
    </row>
    <row r="5" spans="1:88">
      <c r="A5" t="s">
        <v>9</v>
      </c>
      <c r="B5" s="768" t="s">
        <v>9</v>
      </c>
      <c r="C5" t="s">
        <v>9</v>
      </c>
      <c r="I5" t="s">
        <v>9</v>
      </c>
      <c r="J5" t="s">
        <v>9</v>
      </c>
      <c r="K5" t="s">
        <v>9</v>
      </c>
    </row>
    <row r="6" spans="1:88">
      <c r="A6" t="s">
        <v>9</v>
      </c>
      <c r="C6" t="s">
        <v>158</v>
      </c>
      <c r="H6" t="s">
        <v>9</v>
      </c>
      <c r="J6" t="s">
        <v>158</v>
      </c>
      <c r="K6" t="s">
        <v>389</v>
      </c>
    </row>
    <row r="7" spans="1:88">
      <c r="A7" t="s">
        <v>9</v>
      </c>
      <c r="B7" t="s">
        <v>9</v>
      </c>
      <c r="H7" t="s">
        <v>158</v>
      </c>
      <c r="I7" t="s">
        <v>9</v>
      </c>
      <c r="J7" t="s">
        <v>9</v>
      </c>
      <c r="K7" t="s">
        <v>9</v>
      </c>
    </row>
    <row r="8" spans="1:88">
      <c r="A8" t="s">
        <v>9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s="1039" t="s">
        <v>655</v>
      </c>
      <c r="L8" t="s">
        <v>9</v>
      </c>
      <c r="M8" t="s">
        <v>9</v>
      </c>
    </row>
    <row r="9" spans="1:88">
      <c r="A9" t="s">
        <v>9</v>
      </c>
      <c r="B9" t="s">
        <v>9</v>
      </c>
      <c r="H9" t="s">
        <v>9</v>
      </c>
      <c r="I9" t="s">
        <v>9</v>
      </c>
      <c r="J9" t="s">
        <v>158</v>
      </c>
      <c r="K9" t="s">
        <v>9</v>
      </c>
      <c r="L9" t="s">
        <v>9</v>
      </c>
      <c r="M9" t="s">
        <v>9</v>
      </c>
    </row>
    <row r="10" spans="1:88">
      <c r="A10" t="s">
        <v>9</v>
      </c>
      <c r="C10" t="s">
        <v>9</v>
      </c>
      <c r="D10" t="s">
        <v>158</v>
      </c>
      <c r="I10" t="s">
        <v>9</v>
      </c>
      <c r="J10" t="s">
        <v>158</v>
      </c>
      <c r="K10" t="s">
        <v>9</v>
      </c>
      <c r="L10" t="s">
        <v>593</v>
      </c>
    </row>
    <row r="11" spans="1:88" ht="15.75" customHeight="1">
      <c r="A11" t="s">
        <v>9</v>
      </c>
      <c r="B11" s="798" t="s">
        <v>9</v>
      </c>
      <c r="C11" s="412"/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88">
      <c r="A12" t="s">
        <v>9</v>
      </c>
      <c r="B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88">
      <c r="A13" t="s">
        <v>9</v>
      </c>
      <c r="B13" s="161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593</v>
      </c>
    </row>
    <row r="14" spans="1:88">
      <c r="A14" t="s">
        <v>9</v>
      </c>
      <c r="B14" t="s">
        <v>9</v>
      </c>
      <c r="H14" t="s">
        <v>9</v>
      </c>
      <c r="I14" t="s">
        <v>9</v>
      </c>
      <c r="J14" t="s">
        <v>9</v>
      </c>
      <c r="K14" t="s">
        <v>158</v>
      </c>
      <c r="L14" t="s">
        <v>9</v>
      </c>
    </row>
    <row r="15" spans="1:88">
      <c r="A15" s="454" t="s">
        <v>158</v>
      </c>
      <c r="B15" t="s">
        <v>158</v>
      </c>
      <c r="I15" t="s">
        <v>9</v>
      </c>
      <c r="J15" t="s">
        <v>9</v>
      </c>
      <c r="K15" t="s">
        <v>9</v>
      </c>
      <c r="L15" t="s">
        <v>9</v>
      </c>
    </row>
    <row r="16" spans="1:88">
      <c r="A16" t="s">
        <v>9</v>
      </c>
      <c r="B16" t="s">
        <v>9</v>
      </c>
      <c r="C16" t="s">
        <v>9</v>
      </c>
      <c r="G16" t="s">
        <v>9</v>
      </c>
      <c r="H16" t="s">
        <v>158</v>
      </c>
      <c r="J16" t="s">
        <v>9</v>
      </c>
      <c r="K16" t="s">
        <v>9</v>
      </c>
      <c r="L16" t="s">
        <v>9</v>
      </c>
    </row>
    <row r="17" spans="1:13">
      <c r="A17" t="s">
        <v>9</v>
      </c>
      <c r="B17" t="s">
        <v>9</v>
      </c>
      <c r="E17" t="s">
        <v>9</v>
      </c>
      <c r="H17" t="s">
        <v>9</v>
      </c>
      <c r="I17" t="s">
        <v>9</v>
      </c>
      <c r="J17" t="s">
        <v>9</v>
      </c>
      <c r="K17" t="s">
        <v>726</v>
      </c>
      <c r="L17" t="s">
        <v>9</v>
      </c>
    </row>
    <row r="18" spans="1:13">
      <c r="A18" t="s">
        <v>9</v>
      </c>
      <c r="B18" t="s">
        <v>9</v>
      </c>
      <c r="C18" t="s">
        <v>9</v>
      </c>
      <c r="E18" s="122" t="s">
        <v>9</v>
      </c>
      <c r="F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3">
      <c r="B19" t="s">
        <v>129</v>
      </c>
      <c r="C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591</v>
      </c>
    </row>
    <row r="20" spans="1:13">
      <c r="A20" t="s">
        <v>9</v>
      </c>
      <c r="B20" t="s">
        <v>9</v>
      </c>
      <c r="C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3">
      <c r="B21" t="s">
        <v>9</v>
      </c>
      <c r="D21" t="s">
        <v>9</v>
      </c>
      <c r="F21" t="s">
        <v>9</v>
      </c>
      <c r="H21" t="s">
        <v>9</v>
      </c>
      <c r="I21" t="s">
        <v>9</v>
      </c>
      <c r="J21" t="s">
        <v>591</v>
      </c>
      <c r="K21" t="s">
        <v>9</v>
      </c>
      <c r="L21" t="s">
        <v>9</v>
      </c>
    </row>
    <row r="22" spans="1:13">
      <c r="C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3">
      <c r="A23" t="s">
        <v>9</v>
      </c>
      <c r="B23" t="s">
        <v>9</v>
      </c>
      <c r="C23" t="s">
        <v>9</v>
      </c>
      <c r="D23" s="195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3">
      <c r="A24" t="s">
        <v>9</v>
      </c>
      <c r="B24" t="s">
        <v>9</v>
      </c>
      <c r="C24" t="s">
        <v>9</v>
      </c>
      <c r="E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3">
      <c r="B25" s="768" t="s">
        <v>158</v>
      </c>
      <c r="C25" t="s">
        <v>9</v>
      </c>
      <c r="E25" t="s">
        <v>9</v>
      </c>
      <c r="G25" s="449"/>
      <c r="H25" t="s">
        <v>9</v>
      </c>
      <c r="I25" t="s">
        <v>9</v>
      </c>
      <c r="J25" t="s">
        <v>9</v>
      </c>
      <c r="K25" t="s">
        <v>593</v>
      </c>
    </row>
    <row r="26" spans="1:13">
      <c r="A26" t="s">
        <v>9</v>
      </c>
      <c r="B26" t="s">
        <v>9</v>
      </c>
      <c r="C26" t="s">
        <v>158</v>
      </c>
      <c r="G26" s="449"/>
      <c r="H26" t="s">
        <v>9</v>
      </c>
      <c r="I26" t="s">
        <v>9</v>
      </c>
      <c r="J26" t="s">
        <v>9</v>
      </c>
      <c r="K26" t="s">
        <v>9</v>
      </c>
    </row>
    <row r="27" spans="1:13">
      <c r="A27" t="s">
        <v>9</v>
      </c>
      <c r="B27" t="s">
        <v>9</v>
      </c>
      <c r="C27" t="s">
        <v>593</v>
      </c>
      <c r="D27" t="s">
        <v>9</v>
      </c>
      <c r="G27" s="449"/>
      <c r="H27" t="s">
        <v>9</v>
      </c>
      <c r="I27" t="s">
        <v>9</v>
      </c>
      <c r="J27" s="122" t="s">
        <v>9</v>
      </c>
      <c r="K27" t="s">
        <v>9</v>
      </c>
      <c r="L27" t="s">
        <v>158</v>
      </c>
    </row>
    <row r="28" spans="1:13">
      <c r="G28" s="449"/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G29" s="449"/>
      <c r="H29" t="s">
        <v>9</v>
      </c>
      <c r="I29" t="s">
        <v>9</v>
      </c>
      <c r="J29" t="s">
        <v>9</v>
      </c>
      <c r="K29" t="s">
        <v>9</v>
      </c>
    </row>
    <row r="30" spans="1:13">
      <c r="H30" t="s">
        <v>9</v>
      </c>
      <c r="I30" t="s">
        <v>9</v>
      </c>
      <c r="J30" t="s">
        <v>9</v>
      </c>
      <c r="K30" t="s">
        <v>9</v>
      </c>
    </row>
    <row r="31" spans="1:13">
      <c r="H31" t="s">
        <v>9</v>
      </c>
      <c r="I31" t="s">
        <v>9</v>
      </c>
      <c r="J31" t="s">
        <v>9</v>
      </c>
      <c r="K31" t="s">
        <v>9</v>
      </c>
    </row>
    <row r="32" spans="1:13">
      <c r="A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3:11">
      <c r="C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3:11">
      <c r="H34" t="s">
        <v>9</v>
      </c>
      <c r="I34" t="s">
        <v>9</v>
      </c>
      <c r="J34" t="s">
        <v>9</v>
      </c>
      <c r="K34" t="s">
        <v>9</v>
      </c>
    </row>
    <row r="35" spans="3:11">
      <c r="H35" t="s">
        <v>9</v>
      </c>
      <c r="I35" t="s">
        <v>9</v>
      </c>
      <c r="J35" t="s">
        <v>9</v>
      </c>
      <c r="K35" t="s">
        <v>9</v>
      </c>
    </row>
    <row r="83" spans="1:9">
      <c r="A83" t="s">
        <v>9</v>
      </c>
    </row>
    <row r="86" spans="1:9">
      <c r="I86" t="s">
        <v>9</v>
      </c>
    </row>
    <row r="90" spans="1:9">
      <c r="A90" t="s">
        <v>158</v>
      </c>
    </row>
    <row r="142" spans="2:2">
      <c r="B142" t="s">
        <v>9</v>
      </c>
    </row>
    <row r="293" spans="1:1">
      <c r="A293" t="s">
        <v>9</v>
      </c>
    </row>
    <row r="958" spans="1:1">
      <c r="A958" t="s">
        <v>158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533400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510540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510540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533400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518160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7620</xdr:colOff>
                    <xdr:row>13</xdr:row>
                    <xdr:rowOff>0</xdr:rowOff>
                  </from>
                  <to>
                    <xdr:col>4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533400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30480</xdr:colOff>
                    <xdr:row>13</xdr:row>
                    <xdr:rowOff>0</xdr:rowOff>
                  </from>
                  <to>
                    <xdr:col>6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518160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30480</xdr:rowOff>
                  </from>
                  <to>
                    <xdr:col>6</xdr:col>
                    <xdr:colOff>518160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518160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30480</xdr:rowOff>
                  </from>
                  <to>
                    <xdr:col>4</xdr:col>
                    <xdr:colOff>533400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7620</xdr:colOff>
                    <xdr:row>22</xdr:row>
                    <xdr:rowOff>106680</xdr:rowOff>
                  </from>
                  <to>
                    <xdr:col>4</xdr:col>
                    <xdr:colOff>541020</xdr:colOff>
                    <xdr:row>24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topLeftCell="L1" zoomScale="75" workbookViewId="0">
      <selection activeCell="AE6" sqref="AE6"/>
    </sheetView>
  </sheetViews>
  <sheetFormatPr defaultColWidth="3.90625" defaultRowHeight="13.2"/>
  <cols>
    <col min="1" max="1" width="8" style="15" customWidth="1"/>
    <col min="2" max="2" width="3.81640625" style="15" customWidth="1"/>
    <col min="3" max="3" width="3.54296875" style="15" customWidth="1"/>
    <col min="4" max="4" width="8.6328125" style="15" customWidth="1"/>
    <col min="5" max="5" width="6.1796875" style="15" customWidth="1"/>
    <col min="6" max="6" width="8.36328125" style="15" customWidth="1"/>
    <col min="7" max="7" width="6.81640625" style="15" customWidth="1"/>
    <col min="8" max="8" width="5.36328125" style="15" customWidth="1"/>
    <col min="9" max="9" width="56.54296875" style="15" customWidth="1"/>
    <col min="10" max="10" width="58.08984375" style="15" customWidth="1"/>
    <col min="11" max="11" width="3.6328125" style="15" hidden="1" customWidth="1"/>
    <col min="12" max="12" width="9" style="15" customWidth="1"/>
    <col min="13" max="33" width="3.90625" style="15" customWidth="1"/>
    <col min="34" max="34" width="7.08984375" style="15" customWidth="1"/>
    <col min="35" max="16384" width="3.90625" style="15"/>
  </cols>
  <sheetData>
    <row r="1" spans="1:34">
      <c r="A1" s="84" t="s">
        <v>11</v>
      </c>
      <c r="AH1" s="15" t="s">
        <v>12</v>
      </c>
    </row>
    <row r="2" spans="1:34">
      <c r="E2" s="85" t="s">
        <v>13</v>
      </c>
      <c r="F2" s="85" t="s">
        <v>13</v>
      </c>
      <c r="G2" s="85" t="s">
        <v>13</v>
      </c>
      <c r="H2" s="85"/>
      <c r="L2" s="85"/>
      <c r="AH2" s="15" t="s">
        <v>14</v>
      </c>
    </row>
    <row r="3" spans="1:34">
      <c r="B3" s="85"/>
      <c r="C3" s="85"/>
      <c r="D3" s="85" t="s">
        <v>15</v>
      </c>
      <c r="E3" s="85" t="s">
        <v>15</v>
      </c>
      <c r="F3" s="85" t="s">
        <v>16</v>
      </c>
      <c r="G3" s="85" t="s">
        <v>17</v>
      </c>
      <c r="H3" s="85" t="s">
        <v>18</v>
      </c>
      <c r="L3" s="85" t="s">
        <v>19</v>
      </c>
      <c r="AH3" s="15" t="s">
        <v>20</v>
      </c>
    </row>
    <row r="4" spans="1:34">
      <c r="A4" s="16"/>
      <c r="B4" s="85" t="s">
        <v>21</v>
      </c>
      <c r="C4" s="85" t="s">
        <v>22</v>
      </c>
      <c r="D4" s="85" t="s">
        <v>23</v>
      </c>
      <c r="E4" s="85" t="s">
        <v>24</v>
      </c>
      <c r="F4" s="85" t="s">
        <v>25</v>
      </c>
      <c r="G4" s="85" t="s">
        <v>18</v>
      </c>
      <c r="H4" s="85" t="s">
        <v>26</v>
      </c>
      <c r="I4" s="147" t="s">
        <v>27</v>
      </c>
      <c r="J4" s="85" t="s">
        <v>28</v>
      </c>
      <c r="K4" s="85" t="s">
        <v>29</v>
      </c>
      <c r="L4" s="85" t="s">
        <v>30</v>
      </c>
      <c r="AH4" s="15" t="s">
        <v>31</v>
      </c>
    </row>
    <row r="5" spans="1:34" ht="16.5" customHeight="1">
      <c r="A5" s="86">
        <v>37095</v>
      </c>
      <c r="B5" s="11">
        <v>91</v>
      </c>
      <c r="C5" s="49">
        <v>70</v>
      </c>
      <c r="D5" s="49">
        <v>5.7</v>
      </c>
      <c r="E5" s="11">
        <v>78.5</v>
      </c>
      <c r="F5" s="11">
        <v>5</v>
      </c>
      <c r="G5" s="11">
        <v>6704</v>
      </c>
      <c r="H5" s="11">
        <v>5</v>
      </c>
      <c r="I5" s="894" t="s">
        <v>809</v>
      </c>
      <c r="J5" s="894" t="s">
        <v>9</v>
      </c>
      <c r="K5" s="11">
        <v>3</v>
      </c>
      <c r="L5" s="11">
        <v>1</v>
      </c>
      <c r="N5" s="15" t="str">
        <f>I5&amp;" "&amp;I5</f>
        <v xml:space="preserve">PARTLY CLOUDY.  PARTLY CLOUDY. </v>
      </c>
      <c r="AE5" s="15">
        <v>1</v>
      </c>
      <c r="AH5" s="15" t="s">
        <v>32</v>
      </c>
    </row>
    <row r="6" spans="1:34" ht="16.5" customHeight="1">
      <c r="A6" s="86">
        <f>A5+1</f>
        <v>37096</v>
      </c>
      <c r="B6" s="11">
        <v>89</v>
      </c>
      <c r="C6" s="49">
        <v>66</v>
      </c>
      <c r="D6" s="49">
        <v>9</v>
      </c>
      <c r="E6" s="11" t="s">
        <v>9</v>
      </c>
      <c r="F6" s="11" t="s">
        <v>9</v>
      </c>
      <c r="G6" s="11"/>
      <c r="H6" s="11" t="s">
        <v>9</v>
      </c>
      <c r="I6" s="894" t="s">
        <v>810</v>
      </c>
      <c r="J6" s="894" t="s">
        <v>811</v>
      </c>
      <c r="K6" s="11">
        <v>1</v>
      </c>
      <c r="L6" s="11" t="s">
        <v>590</v>
      </c>
      <c r="N6" s="15" t="str">
        <f>I6&amp;" "&amp;J6</f>
        <v>SUNNY LESS HUMID. HIGH NEAR 90 INLAND, LOW 80S NEAR THE LAKE. TONIGHT INCREASING CLOUDS WITH A 40% CHANCE OF SHOWERS. LOW IN THE 60S.</v>
      </c>
      <c r="AE6" s="15">
        <v>1</v>
      </c>
      <c r="AH6" s="15" t="s">
        <v>33</v>
      </c>
    </row>
    <row r="7" spans="1:34" ht="16.5" customHeight="1">
      <c r="A7" s="86">
        <f>A6+1</f>
        <v>37097</v>
      </c>
      <c r="B7" s="11">
        <v>73</v>
      </c>
      <c r="C7" s="49">
        <v>60</v>
      </c>
      <c r="D7" s="49">
        <v>10</v>
      </c>
      <c r="E7" s="11" t="s">
        <v>9</v>
      </c>
      <c r="F7" s="11" t="s">
        <v>9</v>
      </c>
      <c r="G7" s="11"/>
      <c r="H7" s="11" t="s">
        <v>9</v>
      </c>
      <c r="I7" s="894" t="s">
        <v>812</v>
      </c>
      <c r="J7" s="894" t="s">
        <v>813</v>
      </c>
      <c r="K7" s="11">
        <v>6</v>
      </c>
      <c r="L7" s="11" t="s">
        <v>20</v>
      </c>
      <c r="N7" s="15" t="str">
        <f>I7&amp;" "&amp;J7</f>
        <v>COOLER.. WITH SHOWERS AND T-STORMS POSSIBLE. HIGH AROUND 70. BUT  COOLER NEAR THE LAKE. CHANCE OF RAIN 70%.</v>
      </c>
    </row>
    <row r="8" spans="1:34" ht="16.5" customHeight="1">
      <c r="A8" s="86">
        <f>A7+1</f>
        <v>37098</v>
      </c>
      <c r="B8" s="11">
        <v>72</v>
      </c>
      <c r="C8" s="49">
        <v>58</v>
      </c>
      <c r="D8" s="49">
        <v>8</v>
      </c>
      <c r="E8" s="11" t="s">
        <v>9</v>
      </c>
      <c r="F8" s="11" t="s">
        <v>9</v>
      </c>
      <c r="G8" s="11"/>
      <c r="H8" s="11" t="s">
        <v>9</v>
      </c>
      <c r="I8" s="894" t="s">
        <v>814</v>
      </c>
      <c r="J8" s="894" t="s">
        <v>9</v>
      </c>
      <c r="K8" s="11">
        <v>1</v>
      </c>
      <c r="L8" s="11"/>
      <c r="N8" s="15" t="str">
        <f>I8&amp;" "&amp;J8</f>
        <v xml:space="preserve">FAIR.,,,, HIGH IN THE MIDDLE 70S,  </v>
      </c>
    </row>
    <row r="9" spans="1:34" ht="16.5" customHeight="1">
      <c r="A9" s="86">
        <f>A8+1</f>
        <v>37099</v>
      </c>
      <c r="B9" s="11">
        <v>79</v>
      </c>
      <c r="C9" s="49">
        <v>60</v>
      </c>
      <c r="D9" s="49">
        <v>8</v>
      </c>
      <c r="E9" s="11" t="s">
        <v>9</v>
      </c>
      <c r="F9" s="11" t="s">
        <v>9</v>
      </c>
      <c r="G9" s="11"/>
      <c r="H9" s="11" t="s">
        <v>9</v>
      </c>
      <c r="I9" s="894" t="s">
        <v>815</v>
      </c>
      <c r="J9" s="894" t="s">
        <v>9</v>
      </c>
      <c r="K9" s="11">
        <v>1</v>
      </c>
      <c r="L9" s="11">
        <v>0</v>
      </c>
      <c r="M9" s="87"/>
      <c r="N9" s="15" t="str">
        <f>I9&amp;" "&amp;J9</f>
        <v xml:space="preserve">FAIR…..LOW AROUND 60. HIGH IN THE 80S.  </v>
      </c>
    </row>
    <row r="10" spans="1:34" ht="16.5" customHeight="1">
      <c r="A10" s="86">
        <f>A9+1</f>
        <v>37100</v>
      </c>
      <c r="B10" s="11">
        <v>82</v>
      </c>
      <c r="C10" s="49">
        <v>65</v>
      </c>
      <c r="D10" s="49">
        <v>8</v>
      </c>
      <c r="E10" s="11" t="s">
        <v>9</v>
      </c>
      <c r="F10" s="11" t="s">
        <v>9</v>
      </c>
      <c r="G10" s="11"/>
      <c r="H10" s="11" t="s">
        <v>9</v>
      </c>
      <c r="I10" s="894" t="s">
        <v>816</v>
      </c>
      <c r="J10" s="894" t="s">
        <v>817</v>
      </c>
      <c r="K10" s="11">
        <v>6</v>
      </c>
      <c r="L10" s="11" t="s">
        <v>392</v>
      </c>
      <c r="N10" s="15" t="str">
        <f>I10&amp;" "&amp;J10</f>
        <v>PARTLY CLOUDY.CHANCE OF T-STORMS LATE. LOW IN THE MIDDLE 60S. HIGH IN  THE MIDDLE 80S.</v>
      </c>
    </row>
    <row r="11" spans="1:34" ht="16.5" customHeight="1">
      <c r="G11"/>
    </row>
    <row r="12" spans="1:34" ht="15.6">
      <c r="E12" s="83"/>
      <c r="F12" s="83"/>
      <c r="G12" s="459"/>
      <c r="H12" s="83"/>
      <c r="I12" s="83"/>
      <c r="J12" s="83"/>
    </row>
    <row r="13" spans="1:34" ht="15">
      <c r="E13" s="83"/>
      <c r="F13" s="83"/>
      <c r="G13" s="477" t="s">
        <v>9</v>
      </c>
      <c r="H13" s="83"/>
      <c r="I13" s="83"/>
      <c r="J13" s="83"/>
    </row>
    <row r="14" spans="1:34" ht="15">
      <c r="E14" s="83"/>
      <c r="F14" s="83"/>
      <c r="G14" s="460"/>
      <c r="H14" s="83"/>
      <c r="I14" s="83"/>
      <c r="J14" s="83"/>
    </row>
    <row r="15" spans="1:34">
      <c r="E15" s="83"/>
      <c r="F15" s="83"/>
      <c r="G15" s="476" t="s">
        <v>9</v>
      </c>
      <c r="H15" s="83"/>
      <c r="I15" s="83"/>
      <c r="J15" s="83"/>
    </row>
    <row r="16" spans="1:34">
      <c r="E16" s="83"/>
      <c r="F16" s="83"/>
      <c r="G16" s="11"/>
      <c r="H16" s="83"/>
      <c r="I16" s="83"/>
      <c r="J16" s="83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7620</xdr:rowOff>
                  </from>
                  <to>
                    <xdr:col>12</xdr:col>
                    <xdr:colOff>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7620</xdr:rowOff>
                  </from>
                  <to>
                    <xdr:col>12</xdr:col>
                    <xdr:colOff>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7620</xdr:rowOff>
                  </from>
                  <to>
                    <xdr:col>12</xdr:col>
                    <xdr:colOff>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7620</xdr:rowOff>
                  </from>
                  <to>
                    <xdr:col>12</xdr:col>
                    <xdr:colOff>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7620</xdr:rowOff>
                  </from>
                  <to>
                    <xdr:col>12</xdr:col>
                    <xdr:colOff>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7620</xdr:rowOff>
                  </from>
                  <to>
                    <xdr:col>12</xdr:col>
                    <xdr:colOff>0</xdr:colOff>
                    <xdr:row>9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N30"/>
  <sheetViews>
    <sheetView topLeftCell="AF1" zoomScale="75" workbookViewId="0">
      <selection activeCell="AM6" sqref="AM6"/>
    </sheetView>
  </sheetViews>
  <sheetFormatPr defaultRowHeight="15"/>
  <cols>
    <col min="2" max="2" width="4.36328125" customWidth="1"/>
    <col min="3" max="3" width="8" customWidth="1"/>
    <col min="4" max="4" width="6.81640625" customWidth="1"/>
    <col min="5" max="18" width="7.90625" customWidth="1"/>
    <col min="19" max="20" width="9.54296875" customWidth="1"/>
    <col min="21" max="34" width="7.90625" customWidth="1"/>
    <col min="40" max="40" width="4.81640625" customWidth="1"/>
    <col min="41" max="50" width="7.90625" customWidth="1"/>
    <col min="51" max="51" width="4.81640625" customWidth="1"/>
    <col min="56" max="56" width="4.81640625" customWidth="1"/>
    <col min="59" max="59" width="4.81640625" customWidth="1"/>
  </cols>
  <sheetData>
    <row r="1" spans="1:92">
      <c r="A1" s="229" t="s">
        <v>9</v>
      </c>
      <c r="B1" s="1"/>
      <c r="C1" s="1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Z1" s="881" t="s">
        <v>683</v>
      </c>
      <c r="BE1" t="s">
        <v>684</v>
      </c>
    </row>
    <row r="2" spans="1:92">
      <c r="A2" s="1"/>
      <c r="B2" s="1"/>
      <c r="C2" s="1"/>
      <c r="D2" s="106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7" t="s">
        <v>35</v>
      </c>
      <c r="AC2" s="108" t="s">
        <v>9</v>
      </c>
      <c r="AD2" s="108" t="s">
        <v>9</v>
      </c>
      <c r="AE2" s="154" t="s">
        <v>36</v>
      </c>
      <c r="AF2" s="154"/>
      <c r="AG2" s="154" t="s">
        <v>36</v>
      </c>
      <c r="AH2" s="107" t="s">
        <v>9</v>
      </c>
      <c r="AO2" s="428"/>
      <c r="AP2" s="428"/>
      <c r="AQ2" s="428"/>
      <c r="AR2" s="428"/>
      <c r="AS2" s="428"/>
      <c r="AT2" s="428"/>
      <c r="AU2" s="428" t="s">
        <v>9</v>
      </c>
      <c r="AV2" s="428"/>
      <c r="AW2" s="428"/>
      <c r="AX2" s="428"/>
      <c r="AZ2" s="195" t="s">
        <v>36</v>
      </c>
      <c r="BA2" t="s">
        <v>680</v>
      </c>
      <c r="BC2" t="s">
        <v>681</v>
      </c>
      <c r="BE2" s="1029">
        <v>1</v>
      </c>
      <c r="BF2" s="195" t="s">
        <v>681</v>
      </c>
      <c r="BH2" t="s">
        <v>795</v>
      </c>
    </row>
    <row r="3" spans="1:92">
      <c r="A3" s="1"/>
      <c r="B3" s="3" t="s">
        <v>37</v>
      </c>
      <c r="C3" s="1" t="s">
        <v>9</v>
      </c>
      <c r="D3" s="56" t="s">
        <v>39</v>
      </c>
      <c r="E3" s="3" t="s">
        <v>40</v>
      </c>
      <c r="F3" s="3" t="s">
        <v>40</v>
      </c>
      <c r="G3" s="153" t="s">
        <v>40</v>
      </c>
      <c r="H3" s="3" t="s">
        <v>41</v>
      </c>
      <c r="I3" s="3" t="s">
        <v>41</v>
      </c>
      <c r="J3" s="3" t="s">
        <v>41</v>
      </c>
      <c r="K3" s="3" t="s">
        <v>381</v>
      </c>
      <c r="L3" s="3" t="s">
        <v>42</v>
      </c>
      <c r="M3" s="3" t="s">
        <v>42</v>
      </c>
      <c r="N3" s="153" t="s">
        <v>43</v>
      </c>
      <c r="O3" s="3" t="s">
        <v>44</v>
      </c>
      <c r="P3" s="3" t="s">
        <v>45</v>
      </c>
      <c r="R3" s="3"/>
      <c r="S3" s="3"/>
      <c r="T3" s="3" t="s">
        <v>381</v>
      </c>
      <c r="U3" s="3" t="s">
        <v>13</v>
      </c>
      <c r="V3" s="3"/>
      <c r="W3" s="109"/>
      <c r="X3" s="1"/>
      <c r="Y3" s="1" t="s">
        <v>499</v>
      </c>
      <c r="Z3" s="1"/>
      <c r="AA3" s="1"/>
      <c r="AB3" s="3" t="s">
        <v>46</v>
      </c>
      <c r="AC3" s="153" t="s">
        <v>35</v>
      </c>
      <c r="AD3" s="3" t="s">
        <v>35</v>
      </c>
      <c r="AE3" s="3" t="s">
        <v>47</v>
      </c>
      <c r="AF3" s="153" t="s">
        <v>47</v>
      </c>
      <c r="AG3" s="3" t="s">
        <v>48</v>
      </c>
      <c r="AH3" s="3" t="s">
        <v>48</v>
      </c>
      <c r="AI3" s="153" t="s">
        <v>49</v>
      </c>
      <c r="AJ3" s="153" t="s">
        <v>50</v>
      </c>
      <c r="AK3" s="153" t="s">
        <v>51</v>
      </c>
      <c r="AL3" s="153" t="s">
        <v>52</v>
      </c>
      <c r="AM3" s="152" t="s">
        <v>53</v>
      </c>
      <c r="AO3" s="782" t="s">
        <v>664</v>
      </c>
      <c r="AP3" s="1010"/>
      <c r="AQ3" s="782" t="s">
        <v>665</v>
      </c>
      <c r="AR3" s="1010"/>
      <c r="AS3" s="782" t="s">
        <v>666</v>
      </c>
      <c r="AT3" s="1010"/>
      <c r="AU3" s="428" t="s">
        <v>170</v>
      </c>
      <c r="AV3" s="428" t="s">
        <v>170</v>
      </c>
      <c r="AW3" s="428"/>
      <c r="AX3" s="428" t="s">
        <v>170</v>
      </c>
      <c r="AZ3" s="119" t="s">
        <v>678</v>
      </c>
      <c r="BA3" s="119"/>
      <c r="BB3" s="159"/>
      <c r="BC3" s="119" t="s">
        <v>41</v>
      </c>
      <c r="BE3" s="1029" t="s">
        <v>500</v>
      </c>
      <c r="BH3" t="s">
        <v>794</v>
      </c>
    </row>
    <row r="4" spans="1:92">
      <c r="A4" s="1" t="s">
        <v>9</v>
      </c>
      <c r="B4" s="3" t="s">
        <v>24</v>
      </c>
      <c r="C4" s="3" t="s">
        <v>54</v>
      </c>
      <c r="D4" s="56" t="s">
        <v>55</v>
      </c>
      <c r="E4" s="3">
        <v>2</v>
      </c>
      <c r="F4" s="3">
        <v>3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382</v>
      </c>
      <c r="L4" s="3">
        <v>1</v>
      </c>
      <c r="M4" s="3">
        <v>2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378</v>
      </c>
      <c r="U4" s="3" t="s">
        <v>54</v>
      </c>
      <c r="V4" s="3" t="s">
        <v>695</v>
      </c>
      <c r="W4" s="3" t="s">
        <v>66</v>
      </c>
      <c r="X4" s="3" t="s">
        <v>67</v>
      </c>
      <c r="Y4" s="3" t="s">
        <v>538</v>
      </c>
      <c r="Z4" s="3" t="s">
        <v>539</v>
      </c>
      <c r="AA4" s="3" t="s">
        <v>724</v>
      </c>
      <c r="AB4" s="3" t="s">
        <v>58</v>
      </c>
      <c r="AC4" s="3" t="s">
        <v>68</v>
      </c>
      <c r="AD4" s="3" t="s">
        <v>69</v>
      </c>
      <c r="AE4" s="3" t="s">
        <v>70</v>
      </c>
      <c r="AF4" s="3" t="s">
        <v>69</v>
      </c>
      <c r="AG4" s="3" t="s">
        <v>70</v>
      </c>
      <c r="AH4" s="3" t="s">
        <v>69</v>
      </c>
      <c r="AI4" s="153" t="s">
        <v>71</v>
      </c>
      <c r="AJ4" s="153" t="s">
        <v>72</v>
      </c>
      <c r="AK4" s="153" t="s">
        <v>72</v>
      </c>
      <c r="AL4" s="153" t="s">
        <v>73</v>
      </c>
      <c r="AM4" s="153" t="s">
        <v>74</v>
      </c>
      <c r="AN4" s="1"/>
      <c r="AO4" s="1009" t="s">
        <v>662</v>
      </c>
      <c r="AP4" s="3" t="s">
        <v>663</v>
      </c>
      <c r="AQ4" s="3" t="s">
        <v>662</v>
      </c>
      <c r="AR4" s="3" t="s">
        <v>663</v>
      </c>
      <c r="AS4" s="3" t="s">
        <v>662</v>
      </c>
      <c r="AT4" s="3" t="s">
        <v>663</v>
      </c>
      <c r="AU4" s="428" t="s">
        <v>189</v>
      </c>
      <c r="AV4" s="428" t="s">
        <v>693</v>
      </c>
      <c r="AW4" s="428" t="s">
        <v>198</v>
      </c>
      <c r="AX4" s="428" t="s">
        <v>661</v>
      </c>
      <c r="AY4" s="1"/>
      <c r="AZ4" s="1030" t="s">
        <v>40</v>
      </c>
      <c r="BA4" s="1031" t="s">
        <v>41</v>
      </c>
      <c r="BB4" s="1032" t="s">
        <v>677</v>
      </c>
      <c r="BC4" s="1032" t="s">
        <v>682</v>
      </c>
      <c r="BE4" s="195" t="s">
        <v>378</v>
      </c>
      <c r="BF4" s="195" t="s">
        <v>679</v>
      </c>
      <c r="BG4" s="1"/>
      <c r="BH4" s="1" t="s">
        <v>796</v>
      </c>
      <c r="BI4" s="1" t="s">
        <v>797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86">
        <f>SUM(First_date)</f>
        <v>37095</v>
      </c>
      <c r="B5" s="1">
        <f>(Weather_Input!B5+Weather_Input!C5)/2</f>
        <v>80.5</v>
      </c>
      <c r="C5" s="895">
        <v>190000</v>
      </c>
      <c r="D5" s="896">
        <v>0</v>
      </c>
      <c r="E5" s="896">
        <v>0</v>
      </c>
      <c r="F5" s="896">
        <v>8332</v>
      </c>
      <c r="G5" s="896">
        <v>0</v>
      </c>
      <c r="H5" s="896">
        <v>16</v>
      </c>
      <c r="I5" s="896">
        <v>173523</v>
      </c>
      <c r="J5" s="896">
        <v>0</v>
      </c>
      <c r="K5" s="896">
        <v>0</v>
      </c>
      <c r="L5" s="896">
        <v>0</v>
      </c>
      <c r="M5" s="896">
        <v>1458</v>
      </c>
      <c r="N5" s="896">
        <v>4062</v>
      </c>
      <c r="O5" s="896">
        <v>1</v>
      </c>
      <c r="P5" s="896">
        <v>739</v>
      </c>
      <c r="Q5" s="896">
        <v>84</v>
      </c>
      <c r="R5" s="896">
        <v>1225</v>
      </c>
      <c r="S5" s="901">
        <v>4088</v>
      </c>
      <c r="T5" s="1085">
        <v>0</v>
      </c>
      <c r="U5" s="895">
        <f>SUM(D5:S5)-T5</f>
        <v>193528</v>
      </c>
      <c r="V5" s="895">
        <v>108522</v>
      </c>
      <c r="W5" s="11">
        <v>0</v>
      </c>
      <c r="X5" s="11">
        <v>0</v>
      </c>
      <c r="Y5" s="11">
        <v>0</v>
      </c>
      <c r="Z5" s="11">
        <v>42342</v>
      </c>
      <c r="AA5" s="11">
        <v>228984</v>
      </c>
      <c r="AB5" s="11">
        <v>0</v>
      </c>
      <c r="AC5" s="11">
        <v>0</v>
      </c>
      <c r="AD5" s="11">
        <v>0</v>
      </c>
      <c r="AE5" s="11">
        <v>12116</v>
      </c>
      <c r="AF5" s="11">
        <v>0</v>
      </c>
      <c r="AG5" s="11">
        <v>0</v>
      </c>
      <c r="AH5" s="11">
        <v>0</v>
      </c>
      <c r="AI5" s="11">
        <v>0</v>
      </c>
      <c r="AJ5" s="11">
        <v>19332</v>
      </c>
      <c r="AK5" s="11">
        <v>8574</v>
      </c>
      <c r="AL5" s="11">
        <v>0</v>
      </c>
      <c r="AM5" s="1">
        <v>1039</v>
      </c>
      <c r="AN5" s="1"/>
      <c r="AO5" s="1">
        <v>0</v>
      </c>
      <c r="AP5" s="1">
        <v>41360</v>
      </c>
      <c r="AQ5" s="1">
        <v>0</v>
      </c>
      <c r="AR5" s="1">
        <v>12505</v>
      </c>
      <c r="AS5" s="1">
        <v>0</v>
      </c>
      <c r="AT5" s="1">
        <v>2508</v>
      </c>
      <c r="AU5" s="1">
        <v>49080</v>
      </c>
      <c r="AV5" s="1">
        <v>210</v>
      </c>
      <c r="AW5" s="622">
        <f>AU5*0.015</f>
        <v>736.19999999999993</v>
      </c>
      <c r="AX5" s="1">
        <v>0</v>
      </c>
      <c r="AY5" s="1"/>
      <c r="AZ5" s="1">
        <v>0</v>
      </c>
      <c r="BA5" s="1">
        <v>13</v>
      </c>
      <c r="BB5" s="1">
        <v>0</v>
      </c>
      <c r="BC5" s="1">
        <v>0</v>
      </c>
      <c r="BD5" s="1"/>
      <c r="BE5" s="1">
        <v>137229</v>
      </c>
      <c r="BF5" s="1">
        <v>103696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86">
        <f>A5+1</f>
        <v>37096</v>
      </c>
      <c r="B6" s="913">
        <f>(Weather_Input!B6+Weather_Input!C6)/2</f>
        <v>77.5</v>
      </c>
      <c r="C6" s="895">
        <v>195000</v>
      </c>
      <c r="D6" s="897" t="s">
        <v>9</v>
      </c>
      <c r="E6" s="898"/>
      <c r="F6" s="898"/>
      <c r="G6" s="898"/>
      <c r="H6" s="898"/>
      <c r="I6" s="898" t="s">
        <v>9</v>
      </c>
      <c r="J6" s="898"/>
      <c r="K6" s="898"/>
      <c r="L6" s="898" t="s">
        <v>9</v>
      </c>
      <c r="M6" s="898"/>
      <c r="N6" s="898"/>
      <c r="O6" s="898"/>
      <c r="P6" s="898"/>
      <c r="Q6" s="898"/>
      <c r="R6" s="898"/>
      <c r="S6" s="898"/>
      <c r="T6" s="898"/>
      <c r="U6" s="898"/>
      <c r="V6" s="89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660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86">
        <f>A6+1</f>
        <v>37097</v>
      </c>
      <c r="B7" s="913">
        <f>(Weather_Input!B7+Weather_Input!C7)/2</f>
        <v>66.5</v>
      </c>
      <c r="C7" s="895">
        <v>195000</v>
      </c>
      <c r="D7" s="897" t="s">
        <v>9</v>
      </c>
      <c r="E7" s="898"/>
      <c r="F7" s="898"/>
      <c r="G7" s="898"/>
      <c r="H7" s="899" t="s">
        <v>75</v>
      </c>
      <c r="I7" s="898"/>
      <c r="J7" s="898"/>
      <c r="K7" s="898"/>
      <c r="L7" s="898"/>
      <c r="M7" s="898"/>
      <c r="N7" s="898"/>
      <c r="O7" s="898"/>
      <c r="P7" s="898"/>
      <c r="Q7" s="898"/>
      <c r="R7" s="898" t="s">
        <v>511</v>
      </c>
      <c r="S7" s="902">
        <v>0</v>
      </c>
      <c r="T7" s="902"/>
      <c r="U7" s="898"/>
      <c r="V7" s="89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86">
        <f>A7+1</f>
        <v>37098</v>
      </c>
      <c r="B8" s="913">
        <f>(Weather_Input!B8+Weather_Input!C8)/2</f>
        <v>65</v>
      </c>
      <c r="C8" s="895">
        <v>195000</v>
      </c>
      <c r="D8" s="897" t="s">
        <v>9</v>
      </c>
      <c r="E8" s="898" t="s">
        <v>9</v>
      </c>
      <c r="F8" s="898"/>
      <c r="G8" s="898"/>
      <c r="H8" s="900" t="s">
        <v>76</v>
      </c>
      <c r="I8" s="898"/>
      <c r="J8" s="898"/>
      <c r="K8" s="898"/>
      <c r="L8" s="898"/>
      <c r="M8" s="898"/>
      <c r="N8" s="898"/>
      <c r="O8" s="898"/>
      <c r="P8" s="898"/>
      <c r="Q8" s="898"/>
      <c r="R8" s="898" t="s">
        <v>512</v>
      </c>
      <c r="S8" s="902">
        <v>0</v>
      </c>
      <c r="T8" s="902"/>
      <c r="U8" s="898"/>
      <c r="V8" s="89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86">
        <f>A8+1</f>
        <v>37099</v>
      </c>
      <c r="B9" s="913">
        <f>(Weather_Input!B9+Weather_Input!C9)/2</f>
        <v>69.5</v>
      </c>
      <c r="C9" s="895">
        <v>185000</v>
      </c>
      <c r="D9" s="897" t="s">
        <v>9</v>
      </c>
      <c r="E9" s="898"/>
      <c r="F9" s="898"/>
      <c r="G9" s="898"/>
      <c r="H9" s="898" t="s">
        <v>77</v>
      </c>
      <c r="I9" s="898"/>
      <c r="J9" s="898"/>
      <c r="K9" s="898"/>
      <c r="L9" s="898"/>
      <c r="M9" s="898"/>
      <c r="N9" s="898"/>
      <c r="O9" s="898"/>
      <c r="P9" s="898"/>
      <c r="Q9" s="898"/>
      <c r="R9" s="898" t="s">
        <v>513</v>
      </c>
      <c r="S9" s="902">
        <v>0</v>
      </c>
      <c r="T9" s="902"/>
      <c r="U9" s="898"/>
      <c r="V9" s="89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86">
        <f>A9+1</f>
        <v>37100</v>
      </c>
      <c r="B10" s="913">
        <f>(Weather_Input!B10+Weather_Input!C10)/2</f>
        <v>73.5</v>
      </c>
      <c r="C10" s="895">
        <v>175000</v>
      </c>
      <c r="D10" s="897" t="s">
        <v>9</v>
      </c>
      <c r="E10" s="898" t="s">
        <v>9</v>
      </c>
      <c r="F10" s="898"/>
      <c r="G10" s="898"/>
      <c r="H10" s="898" t="s">
        <v>78</v>
      </c>
      <c r="I10" s="898"/>
      <c r="J10" s="898"/>
      <c r="K10" s="898"/>
      <c r="L10" s="898"/>
      <c r="M10" s="898"/>
      <c r="N10" s="898"/>
      <c r="O10" s="898"/>
      <c r="P10" s="898"/>
      <c r="Q10" s="898"/>
      <c r="R10" s="898" t="s">
        <v>516</v>
      </c>
      <c r="S10" s="902">
        <v>0</v>
      </c>
      <c r="T10" s="902"/>
      <c r="U10" s="898"/>
      <c r="V10" s="89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t="s">
        <v>158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514</v>
      </c>
      <c r="S11" s="75">
        <v>0</v>
      </c>
      <c r="T11" s="7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B12" s="412"/>
      <c r="C12" s="412"/>
      <c r="D12" s="412"/>
      <c r="E12" s="412"/>
      <c r="F12" s="412"/>
      <c r="G12" s="412"/>
      <c r="H12" s="412"/>
      <c r="I12" s="412"/>
      <c r="J12" s="412"/>
      <c r="K12" s="412"/>
      <c r="L12" s="412"/>
      <c r="M12" s="412"/>
      <c r="N12" s="1"/>
      <c r="O12" s="1"/>
      <c r="P12" s="1"/>
      <c r="Q12" s="1"/>
      <c r="R12" s="1" t="s">
        <v>515</v>
      </c>
      <c r="S12" s="75">
        <v>0</v>
      </c>
      <c r="T12" s="7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N13" s="1"/>
      <c r="O13" s="1"/>
      <c r="P13" s="1"/>
      <c r="Q13" s="1"/>
      <c r="R13" s="1" t="s">
        <v>517</v>
      </c>
      <c r="S13" s="75">
        <v>0</v>
      </c>
      <c r="T13" s="7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N14" s="1"/>
      <c r="O14" s="1"/>
      <c r="P14" s="1"/>
      <c r="Q14" s="1"/>
      <c r="R14" s="1" t="s">
        <v>518</v>
      </c>
      <c r="S14" s="75">
        <v>0</v>
      </c>
      <c r="T14" s="7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N15" s="1"/>
      <c r="O15" s="1"/>
      <c r="P15" s="1"/>
      <c r="Q15" s="1"/>
      <c r="R15" s="1" t="s">
        <v>519</v>
      </c>
      <c r="S15" s="75">
        <v>0</v>
      </c>
      <c r="T15" s="7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N16" s="1"/>
      <c r="O16" s="1"/>
      <c r="P16" s="1"/>
      <c r="Q16" s="1"/>
      <c r="R16" s="1"/>
      <c r="S16" s="818" t="s">
        <v>9</v>
      </c>
      <c r="T16" s="81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15.75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3:92">
      <c r="C18" t="s">
        <v>158</v>
      </c>
      <c r="F18" s="48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3:92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9" spans="3:92">
      <c r="S29" s="784"/>
      <c r="T29" s="784"/>
    </row>
    <row r="30" spans="3:92">
      <c r="S30" s="784"/>
      <c r="T30" s="784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topLeftCell="F1" zoomScale="75" workbookViewId="0">
      <selection activeCell="M6" sqref="M6"/>
    </sheetView>
  </sheetViews>
  <sheetFormatPr defaultColWidth="8.90625" defaultRowHeight="13.2"/>
  <cols>
    <col min="1" max="2" width="8.90625" style="1"/>
    <col min="3" max="3" width="11.90625" style="1" bestFit="1" customWidth="1"/>
    <col min="4" max="4" width="9.453125" style="1" customWidth="1"/>
    <col min="5" max="6" width="9.08984375" style="1" customWidth="1"/>
    <col min="7" max="7" width="8.90625" style="1"/>
    <col min="8" max="8" width="12.54296875" style="1" customWidth="1"/>
    <col min="9" max="16384" width="8.90625" style="1"/>
  </cols>
  <sheetData>
    <row r="1" spans="1:14">
      <c r="A1" s="10" t="s">
        <v>9</v>
      </c>
      <c r="B1" s="10"/>
      <c r="C1" s="10"/>
      <c r="M1" s="1" t="s">
        <v>66</v>
      </c>
      <c r="N1" s="1" t="s">
        <v>66</v>
      </c>
    </row>
    <row r="2" spans="1:14" ht="15">
      <c r="K2" t="s">
        <v>658</v>
      </c>
      <c r="L2" t="s">
        <v>658</v>
      </c>
      <c r="M2" t="s">
        <v>658</v>
      </c>
      <c r="N2" t="s">
        <v>658</v>
      </c>
    </row>
    <row r="3" spans="1:14" ht="15">
      <c r="B3" s="11" t="s">
        <v>37</v>
      </c>
      <c r="C3" s="1" t="s">
        <v>54</v>
      </c>
      <c r="D3" s="3" t="s">
        <v>79</v>
      </c>
      <c r="F3" s="3" t="s">
        <v>598</v>
      </c>
      <c r="G3" s="153" t="s">
        <v>80</v>
      </c>
      <c r="H3" s="3" t="s">
        <v>13</v>
      </c>
      <c r="I3" s="153" t="s">
        <v>81</v>
      </c>
      <c r="K3" t="s">
        <v>659</v>
      </c>
      <c r="L3" t="s">
        <v>659</v>
      </c>
      <c r="M3" t="s">
        <v>659</v>
      </c>
      <c r="N3" t="s">
        <v>659</v>
      </c>
    </row>
    <row r="4" spans="1:14">
      <c r="B4" s="11" t="s">
        <v>82</v>
      </c>
      <c r="D4" s="3" t="s">
        <v>83</v>
      </c>
      <c r="E4" s="3" t="s">
        <v>84</v>
      </c>
      <c r="F4" s="3" t="s">
        <v>83</v>
      </c>
      <c r="G4" s="153" t="s">
        <v>83</v>
      </c>
      <c r="H4" s="3" t="s">
        <v>54</v>
      </c>
      <c r="I4" s="153" t="s">
        <v>85</v>
      </c>
      <c r="K4" s="1" t="s">
        <v>656</v>
      </c>
      <c r="L4" s="1" t="s">
        <v>657</v>
      </c>
      <c r="M4" s="1" t="s">
        <v>656</v>
      </c>
      <c r="N4" s="1" t="s">
        <v>657</v>
      </c>
    </row>
    <row r="5" spans="1:14">
      <c r="A5" s="12">
        <f>Weather_Input!A5</f>
        <v>37095</v>
      </c>
      <c r="B5" s="1">
        <f>(Weather_Input!B5+Weather_Input!C5)/2</f>
        <v>80.5</v>
      </c>
      <c r="C5" s="895">
        <v>33000</v>
      </c>
      <c r="D5" s="895">
        <v>0</v>
      </c>
      <c r="E5" s="895">
        <v>32358</v>
      </c>
      <c r="F5" s="895">
        <v>374</v>
      </c>
      <c r="G5" s="895">
        <v>0</v>
      </c>
      <c r="H5" s="903">
        <f>SUM(D5:G5)</f>
        <v>32732</v>
      </c>
      <c r="I5" s="1">
        <v>1000</v>
      </c>
      <c r="J5" s="1" t="s">
        <v>9</v>
      </c>
      <c r="K5" s="1">
        <v>0</v>
      </c>
      <c r="L5" s="1">
        <v>7123</v>
      </c>
      <c r="M5" s="1">
        <v>11626</v>
      </c>
      <c r="N5" s="1">
        <v>0</v>
      </c>
    </row>
    <row r="6" spans="1:14">
      <c r="A6" s="12">
        <f>A5+1</f>
        <v>37096</v>
      </c>
      <c r="B6" s="913">
        <f>(Weather_Input!B6+Weather_Input!C6)/2</f>
        <v>77.5</v>
      </c>
      <c r="C6" s="895">
        <v>34000</v>
      </c>
      <c r="D6" s="898" t="s">
        <v>9</v>
      </c>
      <c r="E6" s="898"/>
      <c r="F6" s="898"/>
      <c r="G6" s="898"/>
      <c r="H6" s="15"/>
      <c r="I6" s="1" t="s">
        <v>9</v>
      </c>
    </row>
    <row r="7" spans="1:14">
      <c r="A7" s="12">
        <f>A6+1</f>
        <v>37097</v>
      </c>
      <c r="B7" s="913">
        <f>(Weather_Input!B7+Weather_Input!C7)/2</f>
        <v>66.5</v>
      </c>
      <c r="C7" s="895">
        <v>34000</v>
      </c>
      <c r="D7" s="898" t="s">
        <v>9</v>
      </c>
      <c r="E7" s="898" t="s">
        <v>9</v>
      </c>
      <c r="F7" s="898"/>
      <c r="G7" s="898"/>
      <c r="H7" s="15"/>
    </row>
    <row r="8" spans="1:14">
      <c r="A8" s="12">
        <f>A7+1</f>
        <v>37098</v>
      </c>
      <c r="B8" s="913">
        <f>(Weather_Input!B8+Weather_Input!C8)/2</f>
        <v>65</v>
      </c>
      <c r="C8" s="895">
        <v>34000</v>
      </c>
      <c r="D8" s="898" t="s">
        <v>9</v>
      </c>
      <c r="E8" s="898"/>
      <c r="F8" s="898"/>
      <c r="G8" s="898"/>
      <c r="H8" s="15"/>
    </row>
    <row r="9" spans="1:14">
      <c r="A9" s="12">
        <f>A8+1</f>
        <v>37099</v>
      </c>
      <c r="B9" s="913">
        <f>(Weather_Input!B9+Weather_Input!C9)/2</f>
        <v>69.5</v>
      </c>
      <c r="C9" s="895">
        <v>32000</v>
      </c>
      <c r="D9" s="898" t="s">
        <v>9</v>
      </c>
      <c r="E9" s="898"/>
      <c r="F9" s="898"/>
      <c r="G9" s="898"/>
      <c r="H9" s="15"/>
    </row>
    <row r="10" spans="1:14">
      <c r="A10" s="12">
        <f>A9+1</f>
        <v>37100</v>
      </c>
      <c r="B10" s="913">
        <f>(Weather_Input!B10+Weather_Input!C10)/2</f>
        <v>73.5</v>
      </c>
      <c r="C10" s="895">
        <v>29000</v>
      </c>
      <c r="D10" s="898" t="s">
        <v>9</v>
      </c>
      <c r="E10" s="898"/>
      <c r="F10" s="898"/>
      <c r="G10" s="898"/>
      <c r="H10" s="15"/>
    </row>
    <row r="11" spans="1:14">
      <c r="A11" s="1" t="s">
        <v>158</v>
      </c>
      <c r="C11" s="1108" t="s">
        <v>9</v>
      </c>
    </row>
    <row r="12" spans="1:14">
      <c r="C12" s="1" t="s">
        <v>9</v>
      </c>
    </row>
    <row r="17" spans="11:11">
      <c r="K17" s="1" t="s">
        <v>9</v>
      </c>
    </row>
    <row r="104" spans="4:4">
      <c r="D104" s="1" t="s">
        <v>9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J17"/>
  <sheetViews>
    <sheetView topLeftCell="H1" zoomScale="75" workbookViewId="0">
      <selection activeCell="S7" sqref="S7"/>
    </sheetView>
  </sheetViews>
  <sheetFormatPr defaultRowHeight="15"/>
  <cols>
    <col min="1" max="7" width="8.6328125" customWidth="1"/>
    <col min="8" max="8" width="9" bestFit="1" customWidth="1"/>
    <col min="9" max="9" width="10.36328125" customWidth="1"/>
    <col min="10" max="20" width="9" bestFit="1" customWidth="1"/>
    <col min="21" max="21" width="9" customWidth="1"/>
    <col min="22" max="34" width="9" bestFit="1" customWidth="1"/>
    <col min="35" max="35" width="10.08984375" bestFit="1" customWidth="1"/>
  </cols>
  <sheetData>
    <row r="1" spans="1:88" ht="15.6">
      <c r="A1" s="10"/>
      <c r="B1" s="5"/>
      <c r="C1" s="5"/>
      <c r="D1" s="5"/>
      <c r="E1" s="5"/>
      <c r="F1" s="5"/>
      <c r="G1" s="5"/>
    </row>
    <row r="2" spans="1:88" s="1" customFormat="1" ht="13.2">
      <c r="A2" s="10"/>
      <c r="B2" s="10"/>
      <c r="C2" s="10"/>
      <c r="D2" s="10"/>
      <c r="E2" s="10"/>
      <c r="F2" s="10"/>
      <c r="G2" s="10"/>
    </row>
    <row r="3" spans="1:88" s="50" customFormat="1" ht="13.2">
      <c r="B3" s="70"/>
      <c r="C3" s="53"/>
      <c r="D3" s="53"/>
      <c r="E3" s="61"/>
      <c r="F3" s="70"/>
      <c r="H3" s="52" t="s">
        <v>9</v>
      </c>
      <c r="I3" s="52"/>
      <c r="J3" s="52"/>
      <c r="K3" s="52"/>
      <c r="L3" s="52"/>
      <c r="M3" s="61"/>
      <c r="N3" s="61"/>
      <c r="O3" s="52" t="s">
        <v>70</v>
      </c>
      <c r="P3" s="52"/>
      <c r="Q3" s="52"/>
      <c r="R3" s="52" t="s">
        <v>9</v>
      </c>
      <c r="S3" s="52"/>
      <c r="T3" s="52"/>
      <c r="U3" s="52"/>
      <c r="V3" s="62" t="s">
        <v>9</v>
      </c>
      <c r="W3" s="52"/>
      <c r="X3" s="52"/>
      <c r="Y3" s="52"/>
    </row>
    <row r="4" spans="1:88" s="1" customFormat="1" ht="13.2">
      <c r="B4" s="63"/>
      <c r="E4" s="63"/>
      <c r="F4" s="63"/>
      <c r="G4" s="1107">
        <v>1</v>
      </c>
      <c r="H4" s="3" t="s">
        <v>1</v>
      </c>
      <c r="I4" s="3" t="s">
        <v>703</v>
      </c>
      <c r="J4" s="3" t="s">
        <v>679</v>
      </c>
      <c r="L4" s="3" t="s">
        <v>785</v>
      </c>
      <c r="M4" s="3" t="s">
        <v>804</v>
      </c>
      <c r="N4" s="58"/>
      <c r="O4" s="65"/>
      <c r="P4" s="65"/>
      <c r="T4" s="1236" t="s">
        <v>798</v>
      </c>
      <c r="U4" s="1053"/>
      <c r="V4" s="1201" t="s">
        <v>762</v>
      </c>
      <c r="W4" s="1202"/>
      <c r="X4" s="1203"/>
      <c r="Y4" s="53"/>
      <c r="Z4" s="53"/>
      <c r="AA4" s="53"/>
      <c r="AB4" s="55" t="s">
        <v>89</v>
      </c>
      <c r="AC4" s="53"/>
      <c r="AD4" s="53"/>
      <c r="AE4" s="72"/>
      <c r="AF4" s="3" t="s">
        <v>394</v>
      </c>
    </row>
    <row r="5" spans="1:88" s="1" customFormat="1" ht="13.2">
      <c r="B5" s="66" t="s">
        <v>90</v>
      </c>
      <c r="E5" s="247"/>
      <c r="F5" s="66" t="s">
        <v>9</v>
      </c>
      <c r="G5" s="792" t="s">
        <v>783</v>
      </c>
      <c r="H5" s="107" t="s">
        <v>675</v>
      </c>
      <c r="I5" s="54" t="s">
        <v>695</v>
      </c>
      <c r="J5" s="3" t="s">
        <v>732</v>
      </c>
      <c r="L5" s="3" t="s">
        <v>786</v>
      </c>
      <c r="M5" s="56" t="s">
        <v>805</v>
      </c>
      <c r="N5" s="115" t="s">
        <v>36</v>
      </c>
      <c r="O5" s="3" t="s">
        <v>53</v>
      </c>
      <c r="P5" s="3" t="s">
        <v>58</v>
      </c>
      <c r="Q5" s="3" t="s">
        <v>58</v>
      </c>
      <c r="R5" s="3" t="s">
        <v>36</v>
      </c>
      <c r="S5" s="3" t="s">
        <v>170</v>
      </c>
      <c r="T5" s="3" t="s">
        <v>87</v>
      </c>
      <c r="U5" s="3" t="s">
        <v>87</v>
      </c>
      <c r="V5" s="56" t="s">
        <v>763</v>
      </c>
      <c r="W5" s="56" t="s">
        <v>766</v>
      </c>
      <c r="X5" s="3" t="s">
        <v>767</v>
      </c>
      <c r="Y5" s="3" t="s">
        <v>93</v>
      </c>
      <c r="Z5" s="3" t="s">
        <v>93</v>
      </c>
      <c r="AA5" s="3" t="s">
        <v>93</v>
      </c>
      <c r="AB5" s="56" t="s">
        <v>93</v>
      </c>
      <c r="AC5" s="3" t="s">
        <v>93</v>
      </c>
      <c r="AD5" s="3" t="s">
        <v>93</v>
      </c>
      <c r="AE5" s="56" t="s">
        <v>93</v>
      </c>
      <c r="AF5" s="3" t="s">
        <v>93</v>
      </c>
      <c r="AG5" s="3" t="s">
        <v>93</v>
      </c>
      <c r="AH5" s="3" t="s">
        <v>93</v>
      </c>
    </row>
    <row r="6" spans="1:88" s="1" customFormat="1" ht="13.2">
      <c r="A6" s="67"/>
      <c r="B6" s="68" t="s">
        <v>94</v>
      </c>
      <c r="C6" s="54" t="s">
        <v>89</v>
      </c>
      <c r="D6" s="54" t="s">
        <v>394</v>
      </c>
      <c r="E6" s="248" t="s">
        <v>92</v>
      </c>
      <c r="F6" s="54" t="s">
        <v>95</v>
      </c>
      <c r="G6" s="793" t="s">
        <v>784</v>
      </c>
      <c r="H6" s="1011" t="s">
        <v>676</v>
      </c>
      <c r="I6" s="54" t="s">
        <v>702</v>
      </c>
      <c r="J6" s="54" t="s">
        <v>731</v>
      </c>
      <c r="K6" s="54" t="s">
        <v>778</v>
      </c>
      <c r="L6" s="54" t="s">
        <v>67</v>
      </c>
      <c r="M6" s="54" t="s">
        <v>803</v>
      </c>
      <c r="N6" s="81" t="s">
        <v>87</v>
      </c>
      <c r="O6" s="54" t="s">
        <v>58</v>
      </c>
      <c r="P6" s="54" t="s">
        <v>97</v>
      </c>
      <c r="Q6" s="54" t="s">
        <v>690</v>
      </c>
      <c r="R6" s="54" t="s">
        <v>99</v>
      </c>
      <c r="S6" s="54" t="s">
        <v>672</v>
      </c>
      <c r="T6" s="54" t="s">
        <v>780</v>
      </c>
      <c r="U6" s="68" t="s">
        <v>799</v>
      </c>
      <c r="V6" s="1204" t="s">
        <v>764</v>
      </c>
      <c r="W6" s="1204" t="s">
        <v>765</v>
      </c>
      <c r="X6" s="54">
        <v>9</v>
      </c>
      <c r="Y6" s="54" t="s">
        <v>66</v>
      </c>
      <c r="Z6" s="54" t="s">
        <v>89</v>
      </c>
      <c r="AA6" s="54" t="s">
        <v>394</v>
      </c>
      <c r="AB6" s="54" t="s">
        <v>66</v>
      </c>
      <c r="AC6" s="54" t="s">
        <v>36</v>
      </c>
      <c r="AD6" s="54" t="s">
        <v>89</v>
      </c>
      <c r="AE6" s="54" t="s">
        <v>66</v>
      </c>
      <c r="AF6" s="54" t="s">
        <v>36</v>
      </c>
      <c r="AG6" s="54" t="s">
        <v>89</v>
      </c>
      <c r="AH6" s="54" t="s">
        <v>394</v>
      </c>
    </row>
    <row r="7" spans="1:88" s="1" customFormat="1" ht="13.2">
      <c r="A7" s="819">
        <f>Weather_Input!A5</f>
        <v>37095</v>
      </c>
      <c r="B7" s="904">
        <v>0</v>
      </c>
      <c r="C7" s="620">
        <v>0</v>
      </c>
      <c r="D7" s="620">
        <v>0</v>
      </c>
      <c r="E7" s="904">
        <v>4499</v>
      </c>
      <c r="F7" s="904">
        <v>0</v>
      </c>
      <c r="G7" s="906">
        <v>125288</v>
      </c>
      <c r="H7" s="619">
        <v>0</v>
      </c>
      <c r="I7" s="619">
        <v>0</v>
      </c>
      <c r="J7" s="620">
        <v>103696</v>
      </c>
      <c r="K7" s="619">
        <v>0</v>
      </c>
      <c r="L7" s="620">
        <v>0</v>
      </c>
      <c r="M7" s="620">
        <v>0</v>
      </c>
      <c r="N7" s="621">
        <v>0</v>
      </c>
      <c r="O7" s="620">
        <v>49080</v>
      </c>
      <c r="P7" s="622">
        <f t="shared" ref="P7:P12" si="0">O7*0.015</f>
        <v>736.19999999999993</v>
      </c>
      <c r="Q7" s="620">
        <v>210</v>
      </c>
      <c r="R7" s="620">
        <v>0</v>
      </c>
      <c r="S7" s="620">
        <v>0</v>
      </c>
      <c r="T7" s="619">
        <v>200</v>
      </c>
      <c r="U7" s="619">
        <v>0</v>
      </c>
      <c r="V7" s="620">
        <v>0</v>
      </c>
      <c r="W7" s="620">
        <v>0</v>
      </c>
      <c r="X7" s="620">
        <v>0</v>
      </c>
      <c r="Y7" s="620">
        <v>0</v>
      </c>
      <c r="Z7" s="619">
        <v>0</v>
      </c>
      <c r="AA7" s="619">
        <v>0</v>
      </c>
      <c r="AB7" s="619">
        <v>0</v>
      </c>
      <c r="AC7" s="619">
        <v>0</v>
      </c>
      <c r="AD7" s="619">
        <v>0</v>
      </c>
      <c r="AE7" s="619">
        <v>0</v>
      </c>
      <c r="AF7" s="619">
        <v>0</v>
      </c>
      <c r="AG7" s="619">
        <v>0</v>
      </c>
      <c r="AH7" s="619">
        <v>0</v>
      </c>
      <c r="AI7" s="819">
        <f t="shared" ref="AI7:AI12" si="1">AI6+1</f>
        <v>1</v>
      </c>
    </row>
    <row r="8" spans="1:88" s="1" customFormat="1" ht="13.2">
      <c r="A8" s="819">
        <f>A7+1</f>
        <v>37096</v>
      </c>
      <c r="B8" s="904">
        <v>0</v>
      </c>
      <c r="C8" s="620">
        <v>0</v>
      </c>
      <c r="D8" s="620">
        <v>0</v>
      </c>
      <c r="E8" s="904">
        <v>4499</v>
      </c>
      <c r="F8" s="904">
        <v>0</v>
      </c>
      <c r="G8" s="906">
        <v>156456</v>
      </c>
      <c r="H8" s="619">
        <v>0</v>
      </c>
      <c r="I8" s="619">
        <v>0</v>
      </c>
      <c r="J8" s="620">
        <v>50000</v>
      </c>
      <c r="K8" s="619">
        <v>0</v>
      </c>
      <c r="L8" s="620">
        <v>0</v>
      </c>
      <c r="M8" s="620">
        <v>0</v>
      </c>
      <c r="N8" s="621">
        <v>0</v>
      </c>
      <c r="O8" s="620">
        <v>90000</v>
      </c>
      <c r="P8" s="622">
        <f t="shared" si="0"/>
        <v>1350</v>
      </c>
      <c r="Q8" s="620">
        <v>620</v>
      </c>
      <c r="R8" s="620">
        <v>0</v>
      </c>
      <c r="S8" s="620">
        <v>0</v>
      </c>
      <c r="T8" s="619">
        <v>200</v>
      </c>
      <c r="U8" s="619">
        <v>0</v>
      </c>
      <c r="V8" s="620">
        <v>0</v>
      </c>
      <c r="W8" s="620">
        <v>0</v>
      </c>
      <c r="X8" s="620">
        <v>0</v>
      </c>
      <c r="Y8" s="620">
        <v>0</v>
      </c>
      <c r="Z8" s="619">
        <v>0</v>
      </c>
      <c r="AA8" s="619">
        <v>0</v>
      </c>
      <c r="AB8" s="619">
        <v>0</v>
      </c>
      <c r="AC8" s="619">
        <v>0</v>
      </c>
      <c r="AD8" s="619">
        <v>0</v>
      </c>
      <c r="AE8" s="619">
        <v>0</v>
      </c>
      <c r="AF8" s="619">
        <v>0</v>
      </c>
      <c r="AG8" s="619">
        <v>0</v>
      </c>
      <c r="AH8" s="619">
        <v>0</v>
      </c>
      <c r="AI8" s="819">
        <f t="shared" si="1"/>
        <v>2</v>
      </c>
      <c r="AJ8" s="619"/>
      <c r="AK8" s="619"/>
      <c r="AL8" s="619"/>
      <c r="AN8" s="619"/>
      <c r="AO8" s="619"/>
      <c r="AP8" s="619"/>
      <c r="AQ8" s="619"/>
      <c r="AR8" s="619"/>
      <c r="AS8" s="619"/>
      <c r="AT8" s="619"/>
      <c r="AU8" s="619"/>
      <c r="AV8" s="619"/>
      <c r="AW8" s="619"/>
      <c r="AX8" s="619"/>
      <c r="AY8" s="619"/>
      <c r="AZ8" s="619"/>
      <c r="BA8" s="619"/>
      <c r="BB8" s="619"/>
    </row>
    <row r="9" spans="1:88" s="1" customFormat="1" ht="13.2">
      <c r="A9" s="819">
        <f>A8+1</f>
        <v>37097</v>
      </c>
      <c r="B9" s="904">
        <v>0</v>
      </c>
      <c r="C9" s="620">
        <v>0</v>
      </c>
      <c r="D9" s="620">
        <v>0</v>
      </c>
      <c r="E9" s="904">
        <v>4499</v>
      </c>
      <c r="F9" s="904">
        <v>0</v>
      </c>
      <c r="G9" s="906">
        <v>68370</v>
      </c>
      <c r="H9" s="619">
        <v>0</v>
      </c>
      <c r="I9" s="619">
        <v>0</v>
      </c>
      <c r="J9" s="620">
        <v>0</v>
      </c>
      <c r="K9" s="619">
        <v>0</v>
      </c>
      <c r="L9" s="620">
        <v>0</v>
      </c>
      <c r="M9" s="620">
        <v>0</v>
      </c>
      <c r="N9" s="621">
        <v>0</v>
      </c>
      <c r="O9" s="620">
        <v>100000</v>
      </c>
      <c r="P9" s="622">
        <f t="shared" si="0"/>
        <v>1500</v>
      </c>
      <c r="Q9" s="620">
        <v>620</v>
      </c>
      <c r="R9" s="620">
        <v>0</v>
      </c>
      <c r="S9" s="620">
        <v>0</v>
      </c>
      <c r="T9" s="619">
        <v>200</v>
      </c>
      <c r="U9" s="619">
        <v>0</v>
      </c>
      <c r="V9" s="620">
        <v>0</v>
      </c>
      <c r="W9" s="620">
        <v>0</v>
      </c>
      <c r="X9" s="620">
        <v>0</v>
      </c>
      <c r="Y9" s="620">
        <v>0</v>
      </c>
      <c r="Z9" s="619">
        <v>0</v>
      </c>
      <c r="AA9" s="619">
        <v>0</v>
      </c>
      <c r="AB9" s="619">
        <v>0</v>
      </c>
      <c r="AC9" s="619">
        <v>0</v>
      </c>
      <c r="AD9" s="619">
        <v>0</v>
      </c>
      <c r="AE9" s="619">
        <v>0</v>
      </c>
      <c r="AF9" s="619">
        <v>0</v>
      </c>
      <c r="AG9" s="619">
        <v>0</v>
      </c>
      <c r="AH9" s="619">
        <v>0</v>
      </c>
      <c r="AI9" s="819">
        <f t="shared" si="1"/>
        <v>3</v>
      </c>
      <c r="AM9" s="619"/>
    </row>
    <row r="10" spans="1:88" s="1" customFormat="1" ht="13.2">
      <c r="A10" s="819">
        <f>A9+1</f>
        <v>37098</v>
      </c>
      <c r="B10" s="904">
        <v>0</v>
      </c>
      <c r="C10" s="620">
        <v>0</v>
      </c>
      <c r="D10" s="620">
        <v>0</v>
      </c>
      <c r="E10" s="904">
        <v>4499</v>
      </c>
      <c r="F10" s="904">
        <v>0</v>
      </c>
      <c r="G10" s="906">
        <v>0</v>
      </c>
      <c r="H10" s="619">
        <v>0</v>
      </c>
      <c r="I10" s="619">
        <v>0</v>
      </c>
      <c r="J10" s="620">
        <v>0</v>
      </c>
      <c r="K10" s="619">
        <v>0</v>
      </c>
      <c r="L10" s="620">
        <v>0</v>
      </c>
      <c r="M10" s="620">
        <v>0</v>
      </c>
      <c r="N10" s="621">
        <v>0</v>
      </c>
      <c r="O10" s="620">
        <v>100000</v>
      </c>
      <c r="P10" s="622">
        <f t="shared" si="0"/>
        <v>1500</v>
      </c>
      <c r="Q10" s="620">
        <v>620</v>
      </c>
      <c r="R10" s="620">
        <v>0</v>
      </c>
      <c r="S10" s="620">
        <v>0</v>
      </c>
      <c r="T10" s="619">
        <v>200</v>
      </c>
      <c r="U10" s="619">
        <v>0</v>
      </c>
      <c r="V10" s="620">
        <v>0</v>
      </c>
      <c r="W10" s="620">
        <v>0</v>
      </c>
      <c r="X10" s="620">
        <v>0</v>
      </c>
      <c r="Y10" s="620">
        <v>0</v>
      </c>
      <c r="Z10" s="619">
        <v>0</v>
      </c>
      <c r="AA10" s="619">
        <v>0</v>
      </c>
      <c r="AB10" s="619">
        <v>0</v>
      </c>
      <c r="AC10" s="619">
        <v>0</v>
      </c>
      <c r="AD10" s="619">
        <v>0</v>
      </c>
      <c r="AE10" s="619">
        <v>0</v>
      </c>
      <c r="AF10" s="619">
        <v>0</v>
      </c>
      <c r="AG10" s="619">
        <v>0</v>
      </c>
      <c r="AH10" s="619">
        <v>0</v>
      </c>
      <c r="AI10" s="819">
        <f t="shared" si="1"/>
        <v>4</v>
      </c>
    </row>
    <row r="11" spans="1:88" s="1" customFormat="1" ht="13.2">
      <c r="A11" s="819">
        <f>A10+1</f>
        <v>37099</v>
      </c>
      <c r="B11" s="904">
        <v>0</v>
      </c>
      <c r="C11" s="620">
        <v>0</v>
      </c>
      <c r="D11" s="620">
        <v>0</v>
      </c>
      <c r="E11" s="904">
        <v>4499</v>
      </c>
      <c r="F11" s="904">
        <v>0</v>
      </c>
      <c r="G11" s="906">
        <v>0</v>
      </c>
      <c r="H11" s="619">
        <v>0</v>
      </c>
      <c r="I11" s="619">
        <v>0</v>
      </c>
      <c r="J11" s="620">
        <v>0</v>
      </c>
      <c r="K11" s="619">
        <v>0</v>
      </c>
      <c r="L11" s="620">
        <v>0</v>
      </c>
      <c r="M11" s="620">
        <v>0</v>
      </c>
      <c r="N11" s="621">
        <v>0</v>
      </c>
      <c r="O11" s="620">
        <v>100000</v>
      </c>
      <c r="P11" s="622">
        <f t="shared" si="0"/>
        <v>1500</v>
      </c>
      <c r="Q11" s="620">
        <v>620</v>
      </c>
      <c r="R11" s="620">
        <v>0</v>
      </c>
      <c r="S11" s="620">
        <v>0</v>
      </c>
      <c r="T11" s="619">
        <v>200</v>
      </c>
      <c r="U11" s="619">
        <v>0</v>
      </c>
      <c r="V11" s="620">
        <v>0</v>
      </c>
      <c r="W11" s="620">
        <v>0</v>
      </c>
      <c r="X11" s="620">
        <v>0</v>
      </c>
      <c r="Y11" s="620">
        <v>0</v>
      </c>
      <c r="Z11" s="619">
        <v>0</v>
      </c>
      <c r="AA11" s="619">
        <v>0</v>
      </c>
      <c r="AB11" s="619">
        <v>0</v>
      </c>
      <c r="AC11" s="619">
        <v>0</v>
      </c>
      <c r="AD11" s="619">
        <v>0</v>
      </c>
      <c r="AE11" s="619">
        <v>0</v>
      </c>
      <c r="AF11" s="619">
        <v>0</v>
      </c>
      <c r="AG11" s="619">
        <v>0</v>
      </c>
      <c r="AH11" s="619">
        <v>0</v>
      </c>
      <c r="AI11" s="819">
        <f t="shared" si="1"/>
        <v>5</v>
      </c>
    </row>
    <row r="12" spans="1:88" s="1" customFormat="1" ht="13.2">
      <c r="A12" s="819">
        <f>A11+1</f>
        <v>37100</v>
      </c>
      <c r="B12" s="904">
        <v>0</v>
      </c>
      <c r="C12" s="620">
        <v>0</v>
      </c>
      <c r="D12" s="620">
        <v>0</v>
      </c>
      <c r="E12" s="904">
        <v>4499</v>
      </c>
      <c r="F12" s="904">
        <v>0</v>
      </c>
      <c r="G12" s="906">
        <v>0</v>
      </c>
      <c r="H12" s="619">
        <v>0</v>
      </c>
      <c r="I12" s="619">
        <v>0</v>
      </c>
      <c r="J12" s="620">
        <v>0</v>
      </c>
      <c r="K12" s="619">
        <v>0</v>
      </c>
      <c r="L12" s="620">
        <v>0</v>
      </c>
      <c r="M12" s="620">
        <v>0</v>
      </c>
      <c r="N12" s="621">
        <v>0</v>
      </c>
      <c r="O12" s="620">
        <v>100000</v>
      </c>
      <c r="P12" s="622">
        <f t="shared" si="0"/>
        <v>1500</v>
      </c>
      <c r="Q12" s="620">
        <v>620</v>
      </c>
      <c r="R12" s="620">
        <v>0</v>
      </c>
      <c r="S12" s="620">
        <v>0</v>
      </c>
      <c r="T12" s="619">
        <v>200</v>
      </c>
      <c r="U12" s="619">
        <v>0</v>
      </c>
      <c r="V12" s="620">
        <v>0</v>
      </c>
      <c r="W12" s="620">
        <v>0</v>
      </c>
      <c r="X12" s="620">
        <v>0</v>
      </c>
      <c r="Y12" s="620">
        <v>0</v>
      </c>
      <c r="Z12" s="619">
        <v>0</v>
      </c>
      <c r="AA12" s="619">
        <v>0</v>
      </c>
      <c r="AB12" s="619">
        <v>0</v>
      </c>
      <c r="AC12" s="619">
        <v>0</v>
      </c>
      <c r="AD12" s="619">
        <v>0</v>
      </c>
      <c r="AE12" s="619">
        <v>0</v>
      </c>
      <c r="AF12" s="619">
        <v>0</v>
      </c>
      <c r="AG12" s="619">
        <v>0</v>
      </c>
      <c r="AH12" s="619">
        <v>0</v>
      </c>
      <c r="AI12" s="819">
        <f t="shared" si="1"/>
        <v>6</v>
      </c>
    </row>
    <row r="13" spans="1:88">
      <c r="A13" s="1"/>
      <c r="B13" s="1"/>
      <c r="C13" s="1" t="s">
        <v>9</v>
      </c>
      <c r="D13" s="1"/>
      <c r="E13" s="1"/>
      <c r="F13" s="1"/>
      <c r="G13" s="1"/>
      <c r="H13" s="1"/>
      <c r="I13" s="11"/>
      <c r="J13" s="11"/>
      <c r="K13" s="619"/>
      <c r="L13" s="1"/>
      <c r="M13" s="620" t="s">
        <v>9</v>
      </c>
      <c r="N13" s="1"/>
      <c r="O13" s="1"/>
      <c r="P13" s="1"/>
      <c r="Q13" s="1"/>
      <c r="R13" s="1"/>
      <c r="S13" s="1"/>
      <c r="T13" s="619" t="s">
        <v>9</v>
      </c>
      <c r="U13" s="619"/>
      <c r="V13" s="1"/>
      <c r="W13" s="1"/>
      <c r="X13" s="1"/>
      <c r="Y13" s="1" t="s">
        <v>9</v>
      </c>
      <c r="Z13" s="1"/>
      <c r="AA13" s="619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>
      <c r="A14" s="1"/>
      <c r="B14" s="1"/>
      <c r="C14" s="1" t="s">
        <v>651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2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>
      <c r="A15" s="1"/>
      <c r="B15" s="1"/>
      <c r="C15" s="1"/>
      <c r="D15" s="1"/>
      <c r="E15" s="1"/>
      <c r="F15" s="1"/>
      <c r="G15" s="1"/>
      <c r="H15" s="1"/>
      <c r="I15" s="11" t="s">
        <v>9</v>
      </c>
      <c r="J15" s="11"/>
      <c r="K15" s="1"/>
      <c r="L15" s="1"/>
      <c r="M15" s="1"/>
      <c r="N15" s="1"/>
      <c r="O15" s="1"/>
      <c r="P15" s="1"/>
      <c r="Q15" s="1"/>
      <c r="R15" s="1"/>
      <c r="S15" s="620"/>
      <c r="T15" s="69"/>
      <c r="U15" s="69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>
      <c r="A16" s="1"/>
      <c r="B16" s="1"/>
      <c r="C16" s="1"/>
      <c r="D16" s="1"/>
      <c r="E16" s="1"/>
      <c r="F16" s="1"/>
      <c r="G16" s="1"/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62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9:19">
      <c r="S17" s="62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5"/>
  <sheetViews>
    <sheetView topLeftCell="F1" zoomScale="75" workbookViewId="0">
      <selection activeCell="Q7" sqref="Q7"/>
    </sheetView>
  </sheetViews>
  <sheetFormatPr defaultColWidth="8.81640625" defaultRowHeight="13.2"/>
  <cols>
    <col min="1" max="15" width="8.81640625" style="1" customWidth="1"/>
    <col min="16" max="16" width="9.54296875" style="1" customWidth="1"/>
    <col min="17" max="18" width="8.81640625" style="1" customWidth="1"/>
    <col min="19" max="19" width="8.81640625" style="3" customWidth="1"/>
    <col min="20" max="22" width="8.81640625" style="1" customWidth="1"/>
    <col min="23" max="23" width="10.54296875" style="1" customWidth="1"/>
    <col min="24" max="16384" width="8.81640625" style="1"/>
  </cols>
  <sheetData>
    <row r="1" spans="1:36">
      <c r="A1" s="413"/>
      <c r="B1" s="10"/>
      <c r="C1" s="10"/>
      <c r="D1" s="10"/>
      <c r="E1" s="10"/>
      <c r="F1" s="10"/>
      <c r="G1" s="10"/>
      <c r="H1" s="10"/>
      <c r="I1" s="10"/>
      <c r="W1" s="1" t="s">
        <v>9</v>
      </c>
    </row>
    <row r="2" spans="1:36">
      <c r="T2" s="60"/>
    </row>
    <row r="3" spans="1:36">
      <c r="C3" s="71"/>
      <c r="D3" s="71"/>
      <c r="E3" s="71"/>
      <c r="F3" s="73"/>
      <c r="G3" s="52" t="s">
        <v>101</v>
      </c>
      <c r="H3" s="53"/>
      <c r="I3" s="58"/>
      <c r="J3" s="58"/>
      <c r="K3" s="55"/>
      <c r="L3" s="52" t="s">
        <v>103</v>
      </c>
      <c r="M3" s="53"/>
      <c r="N3" s="53"/>
      <c r="O3" s="53"/>
      <c r="P3" s="53"/>
      <c r="Q3" s="53"/>
      <c r="R3" s="58"/>
      <c r="S3" s="59"/>
      <c r="T3" s="776"/>
      <c r="U3" s="446"/>
      <c r="V3" s="446"/>
      <c r="W3" s="53"/>
      <c r="X3" s="58"/>
      <c r="Y3" s="76" t="s">
        <v>104</v>
      </c>
      <c r="Z3" s="53"/>
      <c r="AA3" s="53"/>
      <c r="AB3" s="53"/>
      <c r="AC3" s="53"/>
      <c r="AD3" s="64"/>
    </row>
    <row r="4" spans="1:36">
      <c r="F4" s="63"/>
      <c r="J4" s="63"/>
      <c r="K4" s="58"/>
      <c r="L4" s="55"/>
      <c r="M4" s="3" t="s">
        <v>804</v>
      </c>
      <c r="Q4" s="1236" t="s">
        <v>782</v>
      </c>
      <c r="R4" s="1053"/>
      <c r="S4" s="792" t="s">
        <v>597</v>
      </c>
      <c r="U4" s="3" t="s">
        <v>714</v>
      </c>
      <c r="X4" s="63"/>
      <c r="Y4" s="60"/>
      <c r="AD4" s="63"/>
    </row>
    <row r="5" spans="1:36">
      <c r="B5" s="3" t="s">
        <v>38</v>
      </c>
      <c r="C5" s="3"/>
      <c r="D5" s="3"/>
      <c r="E5" s="3"/>
      <c r="F5" s="66"/>
      <c r="G5" s="3"/>
      <c r="H5" s="3"/>
      <c r="I5" s="3"/>
      <c r="J5" s="66" t="s">
        <v>52</v>
      </c>
      <c r="K5" s="59" t="s">
        <v>36</v>
      </c>
      <c r="L5" s="56" t="s">
        <v>53</v>
      </c>
      <c r="M5" s="56" t="s">
        <v>802</v>
      </c>
      <c r="N5" s="3" t="s">
        <v>9</v>
      </c>
      <c r="O5" s="3" t="s">
        <v>9</v>
      </c>
      <c r="P5" s="3" t="s">
        <v>6</v>
      </c>
      <c r="Q5" s="107" t="s">
        <v>780</v>
      </c>
      <c r="R5" s="1237" t="s">
        <v>781</v>
      </c>
      <c r="S5" s="792" t="s">
        <v>378</v>
      </c>
      <c r="T5" s="107" t="s">
        <v>675</v>
      </c>
      <c r="U5" s="3" t="s">
        <v>712</v>
      </c>
      <c r="V5" s="3"/>
      <c r="W5" s="59" t="s">
        <v>695</v>
      </c>
      <c r="X5" s="63"/>
      <c r="Y5" s="3"/>
      <c r="Z5" s="3"/>
      <c r="AA5" s="3"/>
      <c r="AD5" s="66" t="s">
        <v>470</v>
      </c>
    </row>
    <row r="6" spans="1:36">
      <c r="B6" s="54" t="s">
        <v>105</v>
      </c>
      <c r="C6" s="54" t="s">
        <v>89</v>
      </c>
      <c r="D6" s="54" t="s">
        <v>394</v>
      </c>
      <c r="E6" s="54" t="s">
        <v>378</v>
      </c>
      <c r="F6" s="68" t="s">
        <v>92</v>
      </c>
      <c r="G6" s="54" t="s">
        <v>90</v>
      </c>
      <c r="H6" s="54" t="s">
        <v>72</v>
      </c>
      <c r="I6" s="54" t="s">
        <v>59</v>
      </c>
      <c r="J6" s="68" t="s">
        <v>73</v>
      </c>
      <c r="K6" s="54" t="s">
        <v>652</v>
      </c>
      <c r="L6" s="57" t="s">
        <v>58</v>
      </c>
      <c r="M6" s="54" t="s">
        <v>803</v>
      </c>
      <c r="N6" s="54" t="s">
        <v>9</v>
      </c>
      <c r="O6" s="54" t="s">
        <v>9</v>
      </c>
      <c r="P6" s="1063" t="s">
        <v>5</v>
      </c>
      <c r="Q6" s="1012" t="s">
        <v>87</v>
      </c>
      <c r="R6" s="1012" t="s">
        <v>87</v>
      </c>
      <c r="S6" s="793" t="s">
        <v>733</v>
      </c>
      <c r="T6" s="1012" t="s">
        <v>676</v>
      </c>
      <c r="U6" s="54" t="s">
        <v>713</v>
      </c>
      <c r="V6" s="54" t="s">
        <v>9</v>
      </c>
      <c r="W6" s="1052" t="s">
        <v>699</v>
      </c>
      <c r="X6" s="68" t="s">
        <v>695</v>
      </c>
      <c r="Y6" s="54" t="s">
        <v>66</v>
      </c>
      <c r="Z6" s="54" t="s">
        <v>89</v>
      </c>
      <c r="AA6" s="54" t="s">
        <v>394</v>
      </c>
      <c r="AB6" s="54" t="s">
        <v>36</v>
      </c>
      <c r="AC6" s="54" t="s">
        <v>92</v>
      </c>
      <c r="AD6" s="68" t="s">
        <v>469</v>
      </c>
      <c r="AE6" s="819"/>
    </row>
    <row r="7" spans="1:36">
      <c r="A7" s="819">
        <f>Weather_Input!A5</f>
        <v>37095</v>
      </c>
      <c r="B7" s="622">
        <v>41360</v>
      </c>
      <c r="C7" s="622">
        <v>0</v>
      </c>
      <c r="D7" s="622">
        <v>64800</v>
      </c>
      <c r="E7" s="622">
        <v>0</v>
      </c>
      <c r="F7" s="904">
        <v>0</v>
      </c>
      <c r="G7" s="620">
        <v>2508</v>
      </c>
      <c r="H7" s="620">
        <v>27906</v>
      </c>
      <c r="I7" s="620">
        <v>0</v>
      </c>
      <c r="J7" s="907">
        <v>0</v>
      </c>
      <c r="K7" s="621">
        <v>12505</v>
      </c>
      <c r="L7" s="908">
        <v>0</v>
      </c>
      <c r="M7" s="620">
        <v>0</v>
      </c>
      <c r="N7" s="620">
        <v>0</v>
      </c>
      <c r="O7" s="620">
        <v>0</v>
      </c>
      <c r="P7" s="620">
        <v>0</v>
      </c>
      <c r="Q7" s="620">
        <v>0</v>
      </c>
      <c r="R7" s="907">
        <v>0</v>
      </c>
      <c r="S7" s="1239">
        <v>20000</v>
      </c>
      <c r="T7" s="620">
        <v>0</v>
      </c>
      <c r="U7" s="621">
        <v>114940</v>
      </c>
      <c r="V7" s="621">
        <v>0</v>
      </c>
      <c r="W7" s="619">
        <v>0</v>
      </c>
      <c r="X7" s="907">
        <v>108172</v>
      </c>
      <c r="Y7" s="621">
        <v>200</v>
      </c>
      <c r="Z7" s="1">
        <v>0</v>
      </c>
      <c r="AA7" s="619">
        <v>192880</v>
      </c>
      <c r="AB7" s="619">
        <v>20352</v>
      </c>
      <c r="AC7" s="619">
        <v>4499</v>
      </c>
      <c r="AD7" s="907">
        <v>0</v>
      </c>
      <c r="AE7" s="819">
        <f t="shared" ref="AE7:AE12" si="0">AE6+1</f>
        <v>1</v>
      </c>
      <c r="AH7" s="619"/>
      <c r="AI7" s="619"/>
      <c r="AJ7" s="619"/>
    </row>
    <row r="8" spans="1:36">
      <c r="A8" s="819">
        <f>A7+1</f>
        <v>37096</v>
      </c>
      <c r="B8" s="622">
        <v>0</v>
      </c>
      <c r="C8" s="622">
        <v>0</v>
      </c>
      <c r="D8" s="622">
        <v>0</v>
      </c>
      <c r="E8" s="622">
        <v>0</v>
      </c>
      <c r="F8" s="904">
        <v>0</v>
      </c>
      <c r="G8" s="620">
        <v>1000</v>
      </c>
      <c r="H8" s="620">
        <v>15000</v>
      </c>
      <c r="I8" s="620">
        <v>0</v>
      </c>
      <c r="J8" s="907">
        <v>0</v>
      </c>
      <c r="K8" s="621">
        <v>53770</v>
      </c>
      <c r="L8" s="908">
        <v>0</v>
      </c>
      <c r="M8" s="620">
        <v>0</v>
      </c>
      <c r="N8" s="620">
        <v>0</v>
      </c>
      <c r="O8" s="620">
        <v>0</v>
      </c>
      <c r="P8" s="620">
        <v>0</v>
      </c>
      <c r="Q8" s="620">
        <v>0</v>
      </c>
      <c r="R8" s="907">
        <v>0</v>
      </c>
      <c r="S8" s="1239">
        <v>70000</v>
      </c>
      <c r="T8" s="620">
        <v>0</v>
      </c>
      <c r="U8" s="621">
        <v>127611</v>
      </c>
      <c r="V8" s="621">
        <v>0</v>
      </c>
      <c r="W8" s="619">
        <v>0</v>
      </c>
      <c r="X8" s="907">
        <v>101190</v>
      </c>
      <c r="Y8" s="621">
        <v>200</v>
      </c>
      <c r="Z8" s="1">
        <v>0</v>
      </c>
      <c r="AA8" s="619">
        <v>168505</v>
      </c>
      <c r="AB8" s="619">
        <v>40731</v>
      </c>
      <c r="AC8" s="619">
        <v>4499</v>
      </c>
      <c r="AD8" s="907">
        <v>0</v>
      </c>
      <c r="AE8" s="819">
        <f t="shared" si="0"/>
        <v>2</v>
      </c>
      <c r="AH8" s="619"/>
      <c r="AI8" s="619"/>
      <c r="AJ8" s="619"/>
    </row>
    <row r="9" spans="1:36" s="619" customFormat="1">
      <c r="A9" s="819">
        <f>A8+1</f>
        <v>37097</v>
      </c>
      <c r="B9" s="622">
        <v>0</v>
      </c>
      <c r="C9" s="622">
        <v>0</v>
      </c>
      <c r="D9" s="622">
        <v>0</v>
      </c>
      <c r="E9" s="622">
        <v>0</v>
      </c>
      <c r="F9" s="904">
        <v>0</v>
      </c>
      <c r="G9" s="620">
        <v>1000</v>
      </c>
      <c r="H9" s="620">
        <v>15000</v>
      </c>
      <c r="I9" s="620">
        <v>0</v>
      </c>
      <c r="J9" s="907">
        <v>0</v>
      </c>
      <c r="K9" s="621">
        <v>0</v>
      </c>
      <c r="L9" s="908">
        <v>0</v>
      </c>
      <c r="M9" s="620">
        <v>0</v>
      </c>
      <c r="N9" s="620">
        <v>0</v>
      </c>
      <c r="O9" s="620">
        <v>0</v>
      </c>
      <c r="P9" s="620">
        <v>0</v>
      </c>
      <c r="Q9" s="620">
        <v>0</v>
      </c>
      <c r="R9" s="907">
        <v>0</v>
      </c>
      <c r="S9" s="1239">
        <v>60000</v>
      </c>
      <c r="T9" s="620">
        <v>0</v>
      </c>
      <c r="U9" s="621">
        <v>127611</v>
      </c>
      <c r="V9" s="621">
        <v>0</v>
      </c>
      <c r="W9" s="619">
        <v>0</v>
      </c>
      <c r="X9" s="907">
        <v>101190</v>
      </c>
      <c r="Y9" s="621">
        <v>200</v>
      </c>
      <c r="Z9" s="1">
        <v>0</v>
      </c>
      <c r="AA9" s="619">
        <v>168505</v>
      </c>
      <c r="AB9" s="619">
        <v>40731</v>
      </c>
      <c r="AC9" s="619">
        <v>4499</v>
      </c>
      <c r="AD9" s="907">
        <v>0</v>
      </c>
      <c r="AE9" s="819">
        <f t="shared" si="0"/>
        <v>3</v>
      </c>
    </row>
    <row r="10" spans="1:36">
      <c r="A10" s="819">
        <f>A9+1</f>
        <v>37098</v>
      </c>
      <c r="B10" s="622">
        <v>0</v>
      </c>
      <c r="C10" s="622">
        <v>0</v>
      </c>
      <c r="D10" s="622">
        <v>0</v>
      </c>
      <c r="E10" s="622">
        <v>0</v>
      </c>
      <c r="F10" s="904">
        <v>0</v>
      </c>
      <c r="G10" s="620">
        <v>1000</v>
      </c>
      <c r="H10" s="620">
        <v>15000</v>
      </c>
      <c r="I10" s="620">
        <v>0</v>
      </c>
      <c r="J10" s="907">
        <v>0</v>
      </c>
      <c r="K10" s="621">
        <v>0</v>
      </c>
      <c r="L10" s="908">
        <v>0</v>
      </c>
      <c r="M10" s="620">
        <v>0</v>
      </c>
      <c r="N10" s="620">
        <v>0</v>
      </c>
      <c r="O10" s="620">
        <v>0</v>
      </c>
      <c r="P10" s="620">
        <v>0</v>
      </c>
      <c r="Q10" s="620">
        <v>0</v>
      </c>
      <c r="R10" s="907">
        <v>0</v>
      </c>
      <c r="S10" s="1239">
        <v>0</v>
      </c>
      <c r="T10" s="620">
        <v>0</v>
      </c>
      <c r="U10" s="621">
        <v>127611</v>
      </c>
      <c r="V10" s="621">
        <v>0</v>
      </c>
      <c r="W10" s="619">
        <v>0</v>
      </c>
      <c r="X10" s="907">
        <v>101190</v>
      </c>
      <c r="Y10" s="621">
        <v>200</v>
      </c>
      <c r="Z10" s="1">
        <v>0</v>
      </c>
      <c r="AA10" s="619">
        <v>168505</v>
      </c>
      <c r="AB10" s="619">
        <v>40731</v>
      </c>
      <c r="AC10" s="619">
        <v>4499</v>
      </c>
      <c r="AD10" s="907">
        <v>0</v>
      </c>
      <c r="AE10" s="819">
        <f t="shared" si="0"/>
        <v>4</v>
      </c>
      <c r="AH10" s="619"/>
      <c r="AI10" s="619"/>
      <c r="AJ10" s="619"/>
    </row>
    <row r="11" spans="1:36">
      <c r="A11" s="819">
        <f>A10+1</f>
        <v>37099</v>
      </c>
      <c r="B11" s="622">
        <v>0</v>
      </c>
      <c r="C11" s="622">
        <v>0</v>
      </c>
      <c r="D11" s="622">
        <v>0</v>
      </c>
      <c r="E11" s="622">
        <v>0</v>
      </c>
      <c r="F11" s="904">
        <v>0</v>
      </c>
      <c r="G11" s="620">
        <v>1000</v>
      </c>
      <c r="H11" s="620">
        <v>15000</v>
      </c>
      <c r="I11" s="620">
        <v>0</v>
      </c>
      <c r="J11" s="907">
        <v>0</v>
      </c>
      <c r="K11" s="621">
        <v>0</v>
      </c>
      <c r="L11" s="908">
        <v>0</v>
      </c>
      <c r="M11" s="620">
        <v>0</v>
      </c>
      <c r="N11" s="620">
        <v>0</v>
      </c>
      <c r="O11" s="620">
        <v>0</v>
      </c>
      <c r="P11" s="620">
        <v>0</v>
      </c>
      <c r="Q11" s="620">
        <v>0</v>
      </c>
      <c r="R11" s="907">
        <v>0</v>
      </c>
      <c r="S11" s="1239">
        <v>0</v>
      </c>
      <c r="T11" s="620">
        <v>0</v>
      </c>
      <c r="U11" s="621">
        <v>127611</v>
      </c>
      <c r="V11" s="621">
        <v>0</v>
      </c>
      <c r="W11" s="619">
        <v>0</v>
      </c>
      <c r="X11" s="907">
        <v>101190</v>
      </c>
      <c r="Y11" s="621">
        <v>200</v>
      </c>
      <c r="Z11" s="1">
        <v>0</v>
      </c>
      <c r="AA11" s="619">
        <v>168505</v>
      </c>
      <c r="AB11" s="619">
        <v>40731</v>
      </c>
      <c r="AC11" s="619">
        <v>4499</v>
      </c>
      <c r="AD11" s="907">
        <v>0</v>
      </c>
      <c r="AE11" s="819">
        <f t="shared" si="0"/>
        <v>5</v>
      </c>
    </row>
    <row r="12" spans="1:36">
      <c r="A12" s="819">
        <f>A11+1</f>
        <v>37100</v>
      </c>
      <c r="B12" s="622">
        <v>0</v>
      </c>
      <c r="C12" s="622">
        <v>0</v>
      </c>
      <c r="D12" s="622">
        <v>0</v>
      </c>
      <c r="E12" s="622">
        <v>0</v>
      </c>
      <c r="F12" s="904">
        <v>0</v>
      </c>
      <c r="G12" s="620">
        <v>1000</v>
      </c>
      <c r="H12" s="620">
        <v>15000</v>
      </c>
      <c r="I12" s="620">
        <v>0</v>
      </c>
      <c r="J12" s="907">
        <v>0</v>
      </c>
      <c r="K12" s="621">
        <v>0</v>
      </c>
      <c r="L12" s="908">
        <v>0</v>
      </c>
      <c r="M12" s="620">
        <v>0</v>
      </c>
      <c r="N12" s="620">
        <v>0</v>
      </c>
      <c r="O12" s="620">
        <v>0</v>
      </c>
      <c r="P12" s="620">
        <v>0</v>
      </c>
      <c r="Q12" s="620">
        <v>0</v>
      </c>
      <c r="R12" s="907">
        <v>0</v>
      </c>
      <c r="S12" s="1239">
        <v>0</v>
      </c>
      <c r="T12" s="620">
        <v>0</v>
      </c>
      <c r="U12" s="621">
        <v>127611</v>
      </c>
      <c r="V12" s="621">
        <v>0</v>
      </c>
      <c r="W12" s="619">
        <v>0</v>
      </c>
      <c r="X12" s="907">
        <v>101190</v>
      </c>
      <c r="Y12" s="621">
        <v>200</v>
      </c>
      <c r="Z12" s="1">
        <v>0</v>
      </c>
      <c r="AA12" s="619">
        <v>168505</v>
      </c>
      <c r="AB12" s="619">
        <v>40731</v>
      </c>
      <c r="AC12" s="619">
        <v>4499</v>
      </c>
      <c r="AD12" s="907">
        <v>0</v>
      </c>
      <c r="AE12" s="819">
        <f t="shared" si="0"/>
        <v>6</v>
      </c>
    </row>
    <row r="13" spans="1:36">
      <c r="F13" s="1" t="s">
        <v>9</v>
      </c>
      <c r="H13" s="11"/>
      <c r="O13" s="1" t="s">
        <v>9</v>
      </c>
      <c r="S13" s="1238"/>
      <c r="T13" s="1" t="s">
        <v>9</v>
      </c>
      <c r="U13" s="11" t="s">
        <v>9</v>
      </c>
      <c r="V13" s="621" t="s">
        <v>9</v>
      </c>
      <c r="W13" s="619"/>
      <c r="Y13" s="60"/>
      <c r="AA13" s="619"/>
      <c r="AC13" s="619"/>
    </row>
    <row r="14" spans="1:36">
      <c r="A14" s="1" t="s">
        <v>9</v>
      </c>
      <c r="H14" s="11"/>
      <c r="W14" s="11"/>
      <c r="Y14" s="1" t="s">
        <v>9</v>
      </c>
      <c r="AA14" s="619"/>
    </row>
    <row r="15" spans="1:36">
      <c r="H15" s="11"/>
      <c r="W15" s="11"/>
    </row>
    <row r="17" spans="15:32">
      <c r="O17" s="1" t="s">
        <v>9</v>
      </c>
    </row>
    <row r="18" spans="15:32">
      <c r="AB18" s="1" t="s">
        <v>9</v>
      </c>
    </row>
    <row r="19" spans="15:32">
      <c r="Z19" s="1" t="s">
        <v>9</v>
      </c>
      <c r="AF19" s="619"/>
    </row>
    <row r="20" spans="15:32">
      <c r="Y20" s="69" t="s">
        <v>9</v>
      </c>
      <c r="AF20" s="619"/>
    </row>
    <row r="21" spans="15:32">
      <c r="AF21" s="619"/>
    </row>
    <row r="22" spans="15:32">
      <c r="AF22" s="619"/>
    </row>
    <row r="23" spans="15:32">
      <c r="AF23" s="619"/>
    </row>
    <row r="25" spans="15:32">
      <c r="AA25" s="619" t="s">
        <v>9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>
      <selection activeCell="J8" sqref="J8"/>
    </sheetView>
  </sheetViews>
  <sheetFormatPr defaultRowHeight="15"/>
  <cols>
    <col min="1" max="11" width="8.6328125" customWidth="1"/>
    <col min="37" max="37" width="7.6328125" customWidth="1"/>
  </cols>
  <sheetData>
    <row r="1" spans="1:128" ht="15.6">
      <c r="A1" s="50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3.2">
      <c r="A2" s="50"/>
      <c r="B2" s="10"/>
      <c r="C2" s="10"/>
      <c r="D2" s="74"/>
      <c r="E2" s="74"/>
      <c r="F2" s="74"/>
      <c r="G2" s="10"/>
      <c r="H2" s="10"/>
      <c r="I2" s="10"/>
      <c r="J2" s="10"/>
      <c r="K2" s="10"/>
    </row>
    <row r="3" spans="1:128" s="50" customFormat="1" ht="13.2">
      <c r="B3" s="80" t="s">
        <v>110</v>
      </c>
      <c r="C3" s="52" t="s">
        <v>111</v>
      </c>
      <c r="D3" s="53"/>
      <c r="E3" s="53"/>
      <c r="F3" s="53"/>
      <c r="G3" s="62" t="s">
        <v>112</v>
      </c>
      <c r="H3" s="53"/>
      <c r="I3" s="53"/>
      <c r="J3" s="53"/>
      <c r="K3" s="55"/>
      <c r="L3" s="76" t="s">
        <v>70</v>
      </c>
      <c r="M3" s="76"/>
      <c r="N3" s="76"/>
      <c r="O3" s="53"/>
      <c r="P3" s="53"/>
      <c r="Q3" s="53"/>
      <c r="R3" s="53"/>
      <c r="S3" s="62" t="s">
        <v>113</v>
      </c>
      <c r="T3" s="53"/>
      <c r="U3" s="53"/>
      <c r="V3" s="53"/>
      <c r="W3" s="53"/>
      <c r="X3" s="53"/>
      <c r="Y3" s="75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3.2">
      <c r="B4" s="80" t="s">
        <v>114</v>
      </c>
      <c r="G4" s="55" t="s">
        <v>115</v>
      </c>
      <c r="H4" s="53"/>
      <c r="I4" s="3" t="s">
        <v>88</v>
      </c>
      <c r="J4" s="3"/>
      <c r="K4" s="115" t="s">
        <v>116</v>
      </c>
      <c r="L4" s="115" t="s">
        <v>116</v>
      </c>
      <c r="M4" s="230" t="s">
        <v>116</v>
      </c>
      <c r="N4" s="59" t="s">
        <v>81</v>
      </c>
      <c r="R4" s="3"/>
      <c r="S4" s="77"/>
      <c r="Z4" s="53"/>
    </row>
    <row r="5" spans="1:128" s="1" customFormat="1" ht="13.2">
      <c r="B5" s="63"/>
      <c r="G5" s="56" t="s">
        <v>106</v>
      </c>
      <c r="H5" s="153" t="s">
        <v>36</v>
      </c>
      <c r="I5" s="78">
        <v>0.05</v>
      </c>
      <c r="J5" s="78" t="s">
        <v>66</v>
      </c>
      <c r="K5" s="59" t="s">
        <v>58</v>
      </c>
      <c r="L5" s="59" t="s">
        <v>58</v>
      </c>
      <c r="M5" s="59" t="s">
        <v>58</v>
      </c>
      <c r="N5" s="59" t="s">
        <v>58</v>
      </c>
      <c r="O5" s="3" t="s">
        <v>66</v>
      </c>
      <c r="P5" s="3" t="s">
        <v>36</v>
      </c>
      <c r="Q5" s="3" t="s">
        <v>36</v>
      </c>
      <c r="R5" s="78" t="s">
        <v>36</v>
      </c>
      <c r="S5" s="55" t="s">
        <v>66</v>
      </c>
      <c r="T5" s="53"/>
      <c r="U5" s="53"/>
      <c r="V5" s="53" t="s">
        <v>9</v>
      </c>
      <c r="W5" s="53" t="s">
        <v>89</v>
      </c>
      <c r="X5" s="53" t="s">
        <v>9</v>
      </c>
      <c r="Z5" s="3" t="s">
        <v>36</v>
      </c>
      <c r="AA5" s="53"/>
      <c r="AB5" s="53" t="s">
        <v>9</v>
      </c>
      <c r="AC5" s="109" t="s">
        <v>496</v>
      </c>
      <c r="AE5" s="53" t="s">
        <v>9</v>
      </c>
    </row>
    <row r="6" spans="1:128" s="1" customFormat="1" ht="13.2">
      <c r="A6" s="67"/>
      <c r="B6" s="68" t="s">
        <v>378</v>
      </c>
      <c r="C6" s="54" t="s">
        <v>36</v>
      </c>
      <c r="D6" s="54" t="s">
        <v>66</v>
      </c>
      <c r="E6" s="54" t="s">
        <v>89</v>
      </c>
      <c r="F6" s="54" t="s">
        <v>394</v>
      </c>
      <c r="G6" s="57" t="s">
        <v>117</v>
      </c>
      <c r="H6" s="54" t="s">
        <v>652</v>
      </c>
      <c r="I6" s="54" t="s">
        <v>96</v>
      </c>
      <c r="J6" s="54" t="s">
        <v>87</v>
      </c>
      <c r="K6" s="54" t="s">
        <v>528</v>
      </c>
      <c r="L6" s="54" t="s">
        <v>118</v>
      </c>
      <c r="M6" s="54" t="s">
        <v>119</v>
      </c>
      <c r="N6" s="54" t="s">
        <v>120</v>
      </c>
      <c r="O6" s="54">
        <v>50</v>
      </c>
      <c r="P6" s="54" t="s">
        <v>98</v>
      </c>
      <c r="Q6" s="54" t="s">
        <v>99</v>
      </c>
      <c r="R6" s="54" t="s">
        <v>100</v>
      </c>
      <c r="S6" s="57" t="s">
        <v>121</v>
      </c>
      <c r="T6" s="54" t="s">
        <v>122</v>
      </c>
      <c r="U6" s="54" t="s">
        <v>123</v>
      </c>
      <c r="V6" s="57" t="s">
        <v>121</v>
      </c>
      <c r="W6" s="54" t="s">
        <v>122</v>
      </c>
      <c r="X6" s="54" t="s">
        <v>123</v>
      </c>
      <c r="Y6" s="57" t="s">
        <v>121</v>
      </c>
      <c r="Z6" s="54" t="s">
        <v>122</v>
      </c>
      <c r="AA6" s="54" t="s">
        <v>123</v>
      </c>
      <c r="AB6" s="57" t="s">
        <v>121</v>
      </c>
      <c r="AC6" s="54" t="s">
        <v>122</v>
      </c>
      <c r="AD6" s="54" t="s">
        <v>123</v>
      </c>
      <c r="AE6" s="81" t="s">
        <v>495</v>
      </c>
    </row>
    <row r="7" spans="1:128" s="1" customFormat="1" ht="13.2">
      <c r="A7" s="820">
        <f>Weather_Input!A5</f>
        <v>37095</v>
      </c>
      <c r="B7" s="904">
        <v>0</v>
      </c>
      <c r="C7" s="620">
        <v>0</v>
      </c>
      <c r="D7" s="620">
        <v>0</v>
      </c>
      <c r="E7" s="620">
        <v>0</v>
      </c>
      <c r="F7" s="620">
        <v>0</v>
      </c>
      <c r="G7" s="908">
        <v>0</v>
      </c>
      <c r="H7" s="620">
        <v>0</v>
      </c>
      <c r="I7" s="905">
        <v>7197</v>
      </c>
      <c r="J7" s="905">
        <v>11626</v>
      </c>
      <c r="K7" s="623">
        <v>0</v>
      </c>
      <c r="L7" s="909">
        <v>0</v>
      </c>
      <c r="M7" s="909">
        <v>0</v>
      </c>
      <c r="N7" s="909">
        <v>0</v>
      </c>
      <c r="O7" s="909">
        <v>0</v>
      </c>
      <c r="P7" s="620">
        <v>0</v>
      </c>
      <c r="Q7" s="909">
        <v>0</v>
      </c>
      <c r="R7" s="620">
        <v>0</v>
      </c>
      <c r="S7" s="821">
        <v>0</v>
      </c>
      <c r="T7" s="620">
        <v>0</v>
      </c>
      <c r="U7" s="620">
        <v>0</v>
      </c>
      <c r="V7" s="821">
        <v>0</v>
      </c>
      <c r="W7" s="620">
        <v>0</v>
      </c>
      <c r="X7" s="620">
        <v>0</v>
      </c>
      <c r="Y7" s="821">
        <v>0</v>
      </c>
      <c r="Z7" s="620">
        <v>0</v>
      </c>
      <c r="AA7" s="620">
        <v>0</v>
      </c>
      <c r="AB7" s="908">
        <v>0</v>
      </c>
      <c r="AC7" s="620">
        <v>0</v>
      </c>
      <c r="AD7" s="620">
        <v>0</v>
      </c>
      <c r="AE7" s="620">
        <v>0</v>
      </c>
      <c r="AF7" s="819">
        <f>Weather_Input!A5</f>
        <v>37095</v>
      </c>
      <c r="AG7" s="619"/>
      <c r="AH7" s="619"/>
      <c r="AI7" s="619"/>
      <c r="AJ7" s="619"/>
      <c r="AK7" s="619"/>
    </row>
    <row r="8" spans="1:128" s="1" customFormat="1" ht="13.2">
      <c r="A8" s="820">
        <f>Weather_Input!A6</f>
        <v>37096</v>
      </c>
      <c r="B8" s="904">
        <v>0</v>
      </c>
      <c r="C8" s="620">
        <v>0</v>
      </c>
      <c r="D8" s="620">
        <v>0</v>
      </c>
      <c r="E8" s="620">
        <v>0</v>
      </c>
      <c r="F8" s="620">
        <v>0</v>
      </c>
      <c r="G8" s="908">
        <v>0</v>
      </c>
      <c r="H8" s="620">
        <v>0</v>
      </c>
      <c r="I8" s="905">
        <v>7197</v>
      </c>
      <c r="J8" s="905">
        <v>12000</v>
      </c>
      <c r="K8" s="623">
        <v>0</v>
      </c>
      <c r="L8" s="909">
        <v>0</v>
      </c>
      <c r="M8" s="909">
        <v>0</v>
      </c>
      <c r="N8" s="909">
        <v>0</v>
      </c>
      <c r="O8" s="909">
        <v>0</v>
      </c>
      <c r="P8" s="620">
        <v>0</v>
      </c>
      <c r="Q8" s="909">
        <v>0</v>
      </c>
      <c r="R8" s="620">
        <v>0</v>
      </c>
      <c r="S8" s="821">
        <v>0</v>
      </c>
      <c r="T8" s="620">
        <v>0</v>
      </c>
      <c r="U8" s="620">
        <v>0</v>
      </c>
      <c r="V8" s="821">
        <v>0</v>
      </c>
      <c r="W8" s="620">
        <v>0</v>
      </c>
      <c r="X8" s="620">
        <v>0</v>
      </c>
      <c r="Y8" s="821">
        <v>0</v>
      </c>
      <c r="Z8" s="620">
        <v>0</v>
      </c>
      <c r="AA8" s="620">
        <v>0</v>
      </c>
      <c r="AB8" s="908">
        <v>0</v>
      </c>
      <c r="AC8" s="620">
        <v>0</v>
      </c>
      <c r="AD8" s="620">
        <v>0</v>
      </c>
      <c r="AE8" s="620">
        <v>0</v>
      </c>
      <c r="AF8" s="820">
        <f>AF7+1</f>
        <v>37096</v>
      </c>
      <c r="AG8" s="619"/>
      <c r="AH8" s="619"/>
      <c r="AI8" s="619"/>
      <c r="AJ8" s="619"/>
      <c r="AK8" s="619"/>
    </row>
    <row r="9" spans="1:128" s="1" customFormat="1" ht="13.2">
      <c r="A9" s="819">
        <f>A8+1</f>
        <v>37097</v>
      </c>
      <c r="B9" s="904">
        <v>0</v>
      </c>
      <c r="C9" s="620">
        <v>0</v>
      </c>
      <c r="D9" s="620">
        <v>0</v>
      </c>
      <c r="E9" s="620">
        <v>0</v>
      </c>
      <c r="F9" s="620">
        <v>0</v>
      </c>
      <c r="G9" s="908">
        <v>0</v>
      </c>
      <c r="H9" s="620">
        <v>0</v>
      </c>
      <c r="I9" s="905">
        <v>7197</v>
      </c>
      <c r="J9" s="905">
        <v>0</v>
      </c>
      <c r="K9" s="623">
        <v>0</v>
      </c>
      <c r="L9" s="909">
        <v>0</v>
      </c>
      <c r="M9" s="909">
        <v>0</v>
      </c>
      <c r="N9" s="909">
        <v>0</v>
      </c>
      <c r="O9" s="909">
        <v>0</v>
      </c>
      <c r="P9" s="620">
        <v>0</v>
      </c>
      <c r="Q9" s="909">
        <v>0</v>
      </c>
      <c r="R9" s="620">
        <v>0</v>
      </c>
      <c r="S9" s="821">
        <v>0</v>
      </c>
      <c r="T9" s="620">
        <v>0</v>
      </c>
      <c r="U9" s="620">
        <v>0</v>
      </c>
      <c r="V9" s="821">
        <v>0</v>
      </c>
      <c r="W9" s="620">
        <v>0</v>
      </c>
      <c r="X9" s="620">
        <v>0</v>
      </c>
      <c r="Y9" s="821">
        <v>0</v>
      </c>
      <c r="Z9" s="620">
        <v>0</v>
      </c>
      <c r="AA9" s="620">
        <v>0</v>
      </c>
      <c r="AB9" s="908">
        <v>0</v>
      </c>
      <c r="AC9" s="620">
        <v>0</v>
      </c>
      <c r="AD9" s="620">
        <v>0</v>
      </c>
      <c r="AE9" s="620">
        <v>0</v>
      </c>
      <c r="AF9" s="819">
        <f>AF8+1</f>
        <v>37097</v>
      </c>
      <c r="AG9" s="619"/>
      <c r="AH9" s="619"/>
      <c r="AI9" s="619"/>
      <c r="AJ9" s="619"/>
      <c r="AK9" s="619"/>
    </row>
    <row r="10" spans="1:128" s="1" customFormat="1" ht="13.2">
      <c r="A10" s="819">
        <f>A9+1</f>
        <v>37098</v>
      </c>
      <c r="B10" s="904">
        <v>0</v>
      </c>
      <c r="C10" s="620">
        <v>0</v>
      </c>
      <c r="D10" s="620">
        <v>0</v>
      </c>
      <c r="E10" s="620">
        <v>0</v>
      </c>
      <c r="F10" s="620">
        <v>0</v>
      </c>
      <c r="G10" s="908">
        <v>0</v>
      </c>
      <c r="H10" s="620">
        <v>0</v>
      </c>
      <c r="I10" s="905">
        <v>7197</v>
      </c>
      <c r="J10" s="905">
        <v>0</v>
      </c>
      <c r="K10" s="623">
        <v>0</v>
      </c>
      <c r="L10" s="909">
        <v>0</v>
      </c>
      <c r="M10" s="909">
        <v>0</v>
      </c>
      <c r="N10" s="909">
        <v>0</v>
      </c>
      <c r="O10" s="909">
        <v>0</v>
      </c>
      <c r="P10" s="620">
        <v>0</v>
      </c>
      <c r="Q10" s="909">
        <v>0</v>
      </c>
      <c r="R10" s="620">
        <v>0</v>
      </c>
      <c r="S10" s="821">
        <v>0</v>
      </c>
      <c r="T10" s="620">
        <v>0</v>
      </c>
      <c r="U10" s="620">
        <v>0</v>
      </c>
      <c r="V10" s="821">
        <v>0</v>
      </c>
      <c r="W10" s="620">
        <v>0</v>
      </c>
      <c r="X10" s="620">
        <v>0</v>
      </c>
      <c r="Y10" s="821">
        <v>0</v>
      </c>
      <c r="Z10" s="620">
        <v>0</v>
      </c>
      <c r="AA10" s="620">
        <v>0</v>
      </c>
      <c r="AB10" s="908">
        <v>0</v>
      </c>
      <c r="AC10" s="620">
        <v>0</v>
      </c>
      <c r="AD10" s="620">
        <v>0</v>
      </c>
      <c r="AE10" s="620">
        <v>0</v>
      </c>
      <c r="AF10" s="819">
        <f>AF9+1</f>
        <v>37098</v>
      </c>
      <c r="AG10" s="619"/>
      <c r="AH10" s="619"/>
      <c r="AI10" s="619"/>
      <c r="AJ10" s="619"/>
      <c r="AK10" s="619"/>
    </row>
    <row r="11" spans="1:128" s="1" customFormat="1" ht="13.2">
      <c r="A11" s="819">
        <f>A10+1</f>
        <v>37099</v>
      </c>
      <c r="B11" s="904">
        <v>0</v>
      </c>
      <c r="C11" s="620">
        <v>0</v>
      </c>
      <c r="D11" s="620">
        <v>0</v>
      </c>
      <c r="E11" s="620">
        <v>0</v>
      </c>
      <c r="F11" s="620">
        <v>0</v>
      </c>
      <c r="G11" s="908">
        <v>0</v>
      </c>
      <c r="H11" s="620">
        <v>0</v>
      </c>
      <c r="I11" s="905">
        <v>7197</v>
      </c>
      <c r="J11" s="905">
        <v>0</v>
      </c>
      <c r="K11" s="623">
        <v>0</v>
      </c>
      <c r="L11" s="909">
        <v>0</v>
      </c>
      <c r="M11" s="909">
        <v>0</v>
      </c>
      <c r="N11" s="909">
        <v>0</v>
      </c>
      <c r="O11" s="909">
        <v>0</v>
      </c>
      <c r="P11" s="620">
        <v>0</v>
      </c>
      <c r="Q11" s="909">
        <v>0</v>
      </c>
      <c r="R11" s="620">
        <v>0</v>
      </c>
      <c r="S11" s="821">
        <v>0</v>
      </c>
      <c r="T11" s="620">
        <v>0</v>
      </c>
      <c r="U11" s="620">
        <v>0</v>
      </c>
      <c r="V11" s="821">
        <v>0</v>
      </c>
      <c r="W11" s="620">
        <v>0</v>
      </c>
      <c r="X11" s="620">
        <v>0</v>
      </c>
      <c r="Y11" s="821">
        <v>0</v>
      </c>
      <c r="Z11" s="620">
        <v>0</v>
      </c>
      <c r="AA11" s="620">
        <v>0</v>
      </c>
      <c r="AB11" s="908">
        <v>0</v>
      </c>
      <c r="AC11" s="620">
        <v>0</v>
      </c>
      <c r="AD11" s="620">
        <v>0</v>
      </c>
      <c r="AE11" s="620">
        <v>0</v>
      </c>
      <c r="AF11" s="819">
        <f>AF10+1</f>
        <v>37099</v>
      </c>
      <c r="AG11" s="619"/>
      <c r="AH11" s="619"/>
      <c r="AI11" s="619"/>
      <c r="AJ11" s="619"/>
      <c r="AK11" s="619"/>
    </row>
    <row r="12" spans="1:128" s="1" customFormat="1" ht="13.2">
      <c r="A12" s="819">
        <f>A11+1</f>
        <v>37100</v>
      </c>
      <c r="B12" s="904">
        <v>0</v>
      </c>
      <c r="C12" s="620">
        <v>0</v>
      </c>
      <c r="D12" s="620">
        <v>0</v>
      </c>
      <c r="E12" s="620">
        <v>0</v>
      </c>
      <c r="F12" s="620">
        <v>0</v>
      </c>
      <c r="G12" s="908">
        <v>0</v>
      </c>
      <c r="H12" s="620">
        <v>0</v>
      </c>
      <c r="I12" s="905">
        <v>7197</v>
      </c>
      <c r="J12" s="905">
        <v>0</v>
      </c>
      <c r="K12" s="623">
        <v>0</v>
      </c>
      <c r="L12" s="909">
        <v>0</v>
      </c>
      <c r="M12" s="909">
        <v>0</v>
      </c>
      <c r="N12" s="909">
        <v>0</v>
      </c>
      <c r="O12" s="909">
        <v>0</v>
      </c>
      <c r="P12" s="620">
        <v>0</v>
      </c>
      <c r="Q12" s="909">
        <v>0</v>
      </c>
      <c r="R12" s="620">
        <v>0</v>
      </c>
      <c r="S12" s="821">
        <v>0</v>
      </c>
      <c r="T12" s="620">
        <v>0</v>
      </c>
      <c r="U12" s="620">
        <v>0</v>
      </c>
      <c r="V12" s="821">
        <v>0</v>
      </c>
      <c r="W12" s="620">
        <v>0</v>
      </c>
      <c r="X12" s="620">
        <v>0</v>
      </c>
      <c r="Y12" s="821">
        <v>0</v>
      </c>
      <c r="Z12" s="620">
        <v>0</v>
      </c>
      <c r="AA12" s="620">
        <v>0</v>
      </c>
      <c r="AB12" s="908">
        <v>0</v>
      </c>
      <c r="AC12" s="620">
        <v>0</v>
      </c>
      <c r="AD12" s="620">
        <v>0</v>
      </c>
      <c r="AE12" s="620">
        <v>0</v>
      </c>
      <c r="AF12" s="819">
        <f>AF11+1</f>
        <v>37100</v>
      </c>
      <c r="AG12" s="619"/>
      <c r="AH12" s="619"/>
      <c r="AI12" s="619"/>
      <c r="AJ12" s="619"/>
      <c r="AK12" s="619"/>
    </row>
    <row r="13" spans="1:128" s="1" customFormat="1" ht="13.2">
      <c r="A13" s="619"/>
      <c r="B13" s="619"/>
      <c r="C13" s="620"/>
      <c r="D13" s="619"/>
      <c r="E13" s="620"/>
      <c r="F13" s="620"/>
      <c r="G13" s="619"/>
      <c r="H13" s="620"/>
      <c r="I13" s="619"/>
      <c r="J13" s="619"/>
      <c r="K13" s="619"/>
      <c r="L13" s="619" t="s">
        <v>9</v>
      </c>
      <c r="M13" s="619"/>
      <c r="N13" s="619"/>
      <c r="P13" s="619"/>
      <c r="Q13" s="619"/>
      <c r="R13" s="619"/>
      <c r="S13" s="821"/>
      <c r="T13" s="619"/>
      <c r="U13" s="619"/>
      <c r="V13" s="624"/>
      <c r="W13" s="619"/>
      <c r="X13" s="619"/>
      <c r="Y13" s="619"/>
      <c r="Z13" s="619"/>
      <c r="AA13" s="619"/>
      <c r="AB13" s="619"/>
      <c r="AC13" s="619"/>
      <c r="AD13" s="619"/>
      <c r="AE13" s="619"/>
      <c r="AF13" s="619"/>
      <c r="AG13" s="619"/>
      <c r="AH13" s="619"/>
      <c r="AI13" s="619"/>
      <c r="AJ13" s="619"/>
      <c r="AK13" s="621"/>
    </row>
    <row r="14" spans="1:128" s="1" customFormat="1" ht="13.2">
      <c r="A14" s="619"/>
      <c r="B14" s="619"/>
      <c r="C14" s="619"/>
      <c r="D14" s="619"/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P14" s="619"/>
      <c r="Q14" s="619"/>
      <c r="R14" s="619"/>
      <c r="S14" s="619"/>
      <c r="T14" s="619"/>
      <c r="U14" s="619"/>
      <c r="V14" s="619"/>
      <c r="W14" s="619"/>
      <c r="X14" s="619"/>
      <c r="Y14" s="619"/>
      <c r="Z14" s="619"/>
      <c r="AA14" s="619"/>
      <c r="AB14" s="619"/>
      <c r="AC14" s="619"/>
      <c r="AD14" s="619"/>
      <c r="AE14" s="619"/>
      <c r="AF14" s="619"/>
      <c r="AG14" s="619"/>
      <c r="AH14" s="619"/>
      <c r="AI14" s="619"/>
      <c r="AJ14" s="619"/>
      <c r="AK14" s="622"/>
    </row>
    <row r="15" spans="1:128" s="1" customFormat="1" ht="13.2"/>
    <row r="16" spans="1:128" s="1" customFormat="1" ht="13.2">
      <c r="AL16" s="52"/>
    </row>
    <row r="17" s="1" customFormat="1" ht="13.2"/>
    <row r="18" s="1" customFormat="1" ht="13.2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Q30"/>
  <sheetViews>
    <sheetView zoomScale="75" workbookViewId="0">
      <selection activeCell="F8" sqref="F8"/>
    </sheetView>
  </sheetViews>
  <sheetFormatPr defaultColWidth="8.81640625" defaultRowHeight="13.2"/>
  <cols>
    <col min="1" max="16384" width="8.81640625" style="1"/>
  </cols>
  <sheetData>
    <row r="1" spans="1:23">
      <c r="A1" s="413" t="s">
        <v>158</v>
      </c>
      <c r="B1" s="10"/>
      <c r="C1" s="1" t="s">
        <v>9</v>
      </c>
      <c r="O1" s="1" t="s">
        <v>9</v>
      </c>
    </row>
    <row r="3" spans="1:23">
      <c r="B3" s="79" t="s">
        <v>110</v>
      </c>
      <c r="C3" s="62" t="s">
        <v>102</v>
      </c>
      <c r="D3" s="53"/>
      <c r="E3" s="53"/>
      <c r="F3" s="55"/>
      <c r="G3" s="52" t="s">
        <v>103</v>
      </c>
      <c r="H3" s="53"/>
      <c r="I3" s="53"/>
      <c r="J3" s="53"/>
      <c r="K3" s="53"/>
      <c r="L3" s="64"/>
      <c r="M3" s="58"/>
      <c r="N3" s="52" t="s">
        <v>124</v>
      </c>
      <c r="O3" s="53"/>
      <c r="P3" s="53"/>
      <c r="Q3" s="53"/>
      <c r="R3" s="53"/>
      <c r="S3" s="53"/>
      <c r="T3" s="64"/>
    </row>
    <row r="4" spans="1:23">
      <c r="B4" s="79" t="s">
        <v>125</v>
      </c>
      <c r="C4" s="55"/>
      <c r="D4" s="53"/>
      <c r="E4" s="53"/>
      <c r="F4" s="58"/>
      <c r="G4" s="55"/>
      <c r="L4" s="63"/>
      <c r="M4" s="60"/>
      <c r="O4" s="3" t="s">
        <v>596</v>
      </c>
      <c r="P4" s="3"/>
      <c r="T4" s="63"/>
    </row>
    <row r="5" spans="1:23">
      <c r="C5" s="56" t="s">
        <v>36</v>
      </c>
      <c r="D5" s="3" t="s">
        <v>91</v>
      </c>
      <c r="E5" s="3" t="s">
        <v>66</v>
      </c>
      <c r="F5" s="59" t="s">
        <v>36</v>
      </c>
      <c r="G5" s="56" t="s">
        <v>53</v>
      </c>
      <c r="H5" s="3" t="s">
        <v>36</v>
      </c>
      <c r="I5" s="3" t="s">
        <v>36</v>
      </c>
      <c r="J5" s="3" t="s">
        <v>36</v>
      </c>
      <c r="K5" s="3" t="s">
        <v>66</v>
      </c>
      <c r="L5" s="66" t="s">
        <v>66</v>
      </c>
      <c r="M5" s="3" t="s">
        <v>394</v>
      </c>
      <c r="N5" s="3"/>
      <c r="O5" s="3" t="s">
        <v>126</v>
      </c>
      <c r="P5" s="3" t="s">
        <v>126</v>
      </c>
      <c r="Q5" s="3" t="s">
        <v>36</v>
      </c>
      <c r="R5" s="1" t="s">
        <v>497</v>
      </c>
      <c r="T5" s="66"/>
    </row>
    <row r="6" spans="1:23">
      <c r="B6" s="54" t="s">
        <v>378</v>
      </c>
      <c r="C6" s="57" t="s">
        <v>106</v>
      </c>
      <c r="D6" s="54" t="s">
        <v>107</v>
      </c>
      <c r="E6" s="81" t="s">
        <v>87</v>
      </c>
      <c r="F6" s="54" t="s">
        <v>652</v>
      </c>
      <c r="G6" s="57" t="s">
        <v>58</v>
      </c>
      <c r="H6" s="54" t="s">
        <v>98</v>
      </c>
      <c r="I6" s="54" t="s">
        <v>99</v>
      </c>
      <c r="J6" s="54" t="s">
        <v>100</v>
      </c>
      <c r="K6" s="54" t="s">
        <v>109</v>
      </c>
      <c r="L6" s="68" t="s">
        <v>108</v>
      </c>
      <c r="M6" s="81" t="s">
        <v>503</v>
      </c>
      <c r="N6" s="54" t="s">
        <v>89</v>
      </c>
      <c r="O6" s="81" t="s">
        <v>128</v>
      </c>
      <c r="P6" s="81" t="s">
        <v>599</v>
      </c>
      <c r="Q6" s="54" t="s">
        <v>126</v>
      </c>
      <c r="R6" s="1012" t="s">
        <v>36</v>
      </c>
      <c r="S6" s="54" t="s">
        <v>394</v>
      </c>
      <c r="T6" s="68" t="s">
        <v>59</v>
      </c>
    </row>
    <row r="7" spans="1:23">
      <c r="A7" s="819">
        <f>Weather_Input!A5</f>
        <v>37095</v>
      </c>
      <c r="B7" s="622">
        <v>0</v>
      </c>
      <c r="C7" s="623">
        <v>0</v>
      </c>
      <c r="D7" s="622">
        <v>0</v>
      </c>
      <c r="E7" s="622">
        <v>0</v>
      </c>
      <c r="F7" s="622">
        <v>7123</v>
      </c>
      <c r="G7" s="623">
        <v>0</v>
      </c>
      <c r="H7" s="622">
        <v>0</v>
      </c>
      <c r="I7" s="622">
        <v>0</v>
      </c>
      <c r="J7" s="622">
        <v>0</v>
      </c>
      <c r="K7" s="622">
        <v>0</v>
      </c>
      <c r="L7" s="622">
        <v>0</v>
      </c>
      <c r="M7" s="623">
        <v>0</v>
      </c>
      <c r="N7" s="905">
        <v>0</v>
      </c>
      <c r="O7" s="622">
        <v>0</v>
      </c>
      <c r="P7" s="622">
        <v>12000</v>
      </c>
      <c r="Q7" s="622">
        <v>25235</v>
      </c>
      <c r="R7" s="622">
        <v>13902</v>
      </c>
      <c r="S7" s="622">
        <v>0</v>
      </c>
      <c r="T7" s="622">
        <v>0</v>
      </c>
      <c r="U7" s="819">
        <f t="shared" ref="U7:U12" si="0">U6+1</f>
        <v>1</v>
      </c>
      <c r="V7" s="619"/>
      <c r="W7" s="619"/>
    </row>
    <row r="8" spans="1:23">
      <c r="A8" s="819">
        <f>A7+1</f>
        <v>37096</v>
      </c>
      <c r="B8" s="622">
        <v>0</v>
      </c>
      <c r="C8" s="623">
        <v>0</v>
      </c>
      <c r="D8" s="622">
        <v>0</v>
      </c>
      <c r="E8" s="622">
        <v>0</v>
      </c>
      <c r="F8" s="622">
        <v>6715</v>
      </c>
      <c r="G8" s="623">
        <v>0</v>
      </c>
      <c r="H8" s="622">
        <v>0</v>
      </c>
      <c r="I8" s="622">
        <v>0</v>
      </c>
      <c r="J8" s="622">
        <v>0</v>
      </c>
      <c r="K8" s="622">
        <v>0</v>
      </c>
      <c r="L8" s="622">
        <v>0</v>
      </c>
      <c r="M8" s="623">
        <v>0</v>
      </c>
      <c r="N8" s="905">
        <v>0</v>
      </c>
      <c r="O8" s="622">
        <v>0</v>
      </c>
      <c r="P8" s="622">
        <v>12000</v>
      </c>
      <c r="Q8" s="622">
        <v>27285</v>
      </c>
      <c r="R8" s="622">
        <v>15952</v>
      </c>
      <c r="S8" s="622">
        <v>0</v>
      </c>
      <c r="T8" s="622">
        <v>0</v>
      </c>
      <c r="U8" s="819">
        <f t="shared" si="0"/>
        <v>2</v>
      </c>
      <c r="V8" s="619"/>
      <c r="W8" s="619"/>
    </row>
    <row r="9" spans="1:23">
      <c r="A9" s="819">
        <f>A8+1</f>
        <v>37097</v>
      </c>
      <c r="B9" s="622">
        <v>0</v>
      </c>
      <c r="C9" s="623">
        <v>0</v>
      </c>
      <c r="D9" s="622">
        <v>0</v>
      </c>
      <c r="E9" s="622">
        <v>0</v>
      </c>
      <c r="F9" s="622">
        <v>0</v>
      </c>
      <c r="G9" s="623">
        <v>0</v>
      </c>
      <c r="H9" s="622">
        <v>0</v>
      </c>
      <c r="I9" s="622">
        <v>0</v>
      </c>
      <c r="J9" s="622">
        <v>0</v>
      </c>
      <c r="K9" s="622">
        <v>0</v>
      </c>
      <c r="L9" s="622">
        <v>0</v>
      </c>
      <c r="M9" s="623">
        <v>0</v>
      </c>
      <c r="N9" s="905">
        <v>0</v>
      </c>
      <c r="O9" s="622">
        <v>0</v>
      </c>
      <c r="P9" s="622">
        <v>12000</v>
      </c>
      <c r="Q9" s="622">
        <v>27285</v>
      </c>
      <c r="R9" s="622">
        <v>15952</v>
      </c>
      <c r="S9" s="622">
        <v>0</v>
      </c>
      <c r="T9" s="622">
        <v>0</v>
      </c>
      <c r="U9" s="819">
        <f t="shared" si="0"/>
        <v>3</v>
      </c>
      <c r="V9" s="619"/>
      <c r="W9" s="619"/>
    </row>
    <row r="10" spans="1:23">
      <c r="A10" s="819">
        <f>A9+1</f>
        <v>37098</v>
      </c>
      <c r="B10" s="622">
        <v>0</v>
      </c>
      <c r="C10" s="623">
        <v>0</v>
      </c>
      <c r="D10" s="622">
        <v>0</v>
      </c>
      <c r="E10" s="622">
        <v>0</v>
      </c>
      <c r="F10" s="622">
        <v>0</v>
      </c>
      <c r="G10" s="623">
        <v>0</v>
      </c>
      <c r="H10" s="622">
        <v>0</v>
      </c>
      <c r="I10" s="622">
        <v>0</v>
      </c>
      <c r="J10" s="622">
        <v>0</v>
      </c>
      <c r="K10" s="622">
        <v>0</v>
      </c>
      <c r="L10" s="622">
        <v>0</v>
      </c>
      <c r="M10" s="623">
        <v>0</v>
      </c>
      <c r="N10" s="905">
        <v>0</v>
      </c>
      <c r="O10" s="622">
        <v>0</v>
      </c>
      <c r="P10" s="622">
        <v>12000</v>
      </c>
      <c r="Q10" s="622">
        <v>27285</v>
      </c>
      <c r="R10" s="622">
        <v>15952</v>
      </c>
      <c r="S10" s="622">
        <v>0</v>
      </c>
      <c r="T10" s="622">
        <v>0</v>
      </c>
      <c r="U10" s="819">
        <f t="shared" si="0"/>
        <v>4</v>
      </c>
      <c r="V10" s="619"/>
      <c r="W10" s="619"/>
    </row>
    <row r="11" spans="1:23">
      <c r="A11" s="819">
        <f>A10+1</f>
        <v>37099</v>
      </c>
      <c r="B11" s="622">
        <v>0</v>
      </c>
      <c r="C11" s="623">
        <v>0</v>
      </c>
      <c r="D11" s="622">
        <v>0</v>
      </c>
      <c r="E11" s="622">
        <v>0</v>
      </c>
      <c r="F11" s="622">
        <v>0</v>
      </c>
      <c r="G11" s="623">
        <v>0</v>
      </c>
      <c r="H11" s="622">
        <v>0</v>
      </c>
      <c r="I11" s="622">
        <v>0</v>
      </c>
      <c r="J11" s="622">
        <v>0</v>
      </c>
      <c r="K11" s="622">
        <v>0</v>
      </c>
      <c r="L11" s="622">
        <v>0</v>
      </c>
      <c r="M11" s="623">
        <v>0</v>
      </c>
      <c r="N11" s="905">
        <v>0</v>
      </c>
      <c r="O11" s="622">
        <v>0</v>
      </c>
      <c r="P11" s="622">
        <v>12000</v>
      </c>
      <c r="Q11" s="622">
        <v>27285</v>
      </c>
      <c r="R11" s="622">
        <v>15952</v>
      </c>
      <c r="S11" s="622">
        <v>0</v>
      </c>
      <c r="T11" s="622">
        <v>0</v>
      </c>
      <c r="U11" s="819">
        <f t="shared" si="0"/>
        <v>5</v>
      </c>
      <c r="V11" s="619"/>
      <c r="W11" s="619"/>
    </row>
    <row r="12" spans="1:23">
      <c r="A12" s="819">
        <f>A11+1</f>
        <v>37100</v>
      </c>
      <c r="B12" s="622">
        <v>0</v>
      </c>
      <c r="C12" s="623">
        <v>0</v>
      </c>
      <c r="D12" s="622">
        <v>0</v>
      </c>
      <c r="E12" s="622">
        <v>0</v>
      </c>
      <c r="F12" s="622">
        <v>0</v>
      </c>
      <c r="G12" s="623">
        <v>0</v>
      </c>
      <c r="H12" s="622">
        <v>0</v>
      </c>
      <c r="I12" s="622">
        <v>0</v>
      </c>
      <c r="J12" s="622">
        <v>0</v>
      </c>
      <c r="K12" s="622">
        <v>0</v>
      </c>
      <c r="L12" s="622">
        <v>0</v>
      </c>
      <c r="M12" s="623">
        <v>0</v>
      </c>
      <c r="N12" s="905">
        <v>0</v>
      </c>
      <c r="O12" s="622">
        <v>0</v>
      </c>
      <c r="P12" s="622">
        <v>12000</v>
      </c>
      <c r="Q12" s="622">
        <v>27285</v>
      </c>
      <c r="R12" s="622">
        <v>15952</v>
      </c>
      <c r="S12" s="622">
        <v>0</v>
      </c>
      <c r="T12" s="622">
        <v>0</v>
      </c>
      <c r="U12" s="819">
        <f t="shared" si="0"/>
        <v>6</v>
      </c>
      <c r="V12" s="619"/>
      <c r="W12" s="619"/>
    </row>
    <row r="13" spans="1:23">
      <c r="A13" s="619"/>
      <c r="B13" s="619"/>
      <c r="C13" s="619"/>
      <c r="D13" s="619"/>
      <c r="E13" s="619"/>
      <c r="F13" s="619"/>
      <c r="G13" s="619"/>
      <c r="H13" s="619"/>
      <c r="I13" s="619"/>
      <c r="J13" s="619"/>
      <c r="K13" s="619"/>
      <c r="L13" s="622"/>
      <c r="M13" s="623"/>
      <c r="N13" s="619"/>
      <c r="O13" s="619"/>
      <c r="P13" s="619"/>
      <c r="Q13" s="622"/>
      <c r="R13" s="622"/>
      <c r="S13" s="622"/>
      <c r="T13" s="619"/>
      <c r="U13" s="619"/>
      <c r="V13" s="619"/>
      <c r="W13" s="619"/>
    </row>
    <row r="14" spans="1:23">
      <c r="A14" s="619"/>
      <c r="B14" s="619"/>
      <c r="C14" s="619"/>
      <c r="D14" s="619" t="s">
        <v>9</v>
      </c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O14" s="619"/>
      <c r="P14" s="619"/>
      <c r="Q14" s="622" t="s">
        <v>9</v>
      </c>
      <c r="R14" s="619"/>
      <c r="S14" s="619"/>
      <c r="T14" s="619"/>
      <c r="U14" s="619"/>
      <c r="V14" s="619"/>
      <c r="W14" s="619"/>
    </row>
    <row r="15" spans="1:23">
      <c r="A15" s="619"/>
      <c r="B15" s="619"/>
      <c r="C15" s="619"/>
      <c r="D15" s="619"/>
      <c r="E15" s="619"/>
      <c r="F15" s="619"/>
      <c r="G15" s="619"/>
      <c r="H15" s="619"/>
      <c r="I15" s="619"/>
      <c r="J15" s="619"/>
      <c r="K15" s="619"/>
      <c r="L15" s="619"/>
      <c r="M15" s="619"/>
      <c r="N15" s="619"/>
      <c r="O15" s="619"/>
      <c r="P15" s="619"/>
      <c r="Q15" s="622" t="s">
        <v>9</v>
      </c>
      <c r="R15" s="619"/>
      <c r="S15" s="619" t="s">
        <v>9</v>
      </c>
      <c r="T15" s="619"/>
      <c r="U15" s="619"/>
      <c r="V15" s="619"/>
      <c r="W15" s="619"/>
    </row>
    <row r="16" spans="1:23">
      <c r="Q16" s="49" t="s">
        <v>9</v>
      </c>
    </row>
    <row r="17" spans="3:95">
      <c r="Q17" s="49" t="s">
        <v>9</v>
      </c>
      <c r="R17" s="49" t="s">
        <v>9</v>
      </c>
      <c r="S17" s="49"/>
      <c r="T17" s="1" t="s">
        <v>129</v>
      </c>
    </row>
    <row r="18" spans="3:95" ht="15">
      <c r="J18"/>
      <c r="K18"/>
      <c r="Q18" s="49" t="s">
        <v>9</v>
      </c>
      <c r="U18" s="49" t="s">
        <v>9</v>
      </c>
    </row>
    <row r="19" spans="3:95" ht="15">
      <c r="J19"/>
      <c r="K19"/>
      <c r="L19"/>
      <c r="M19"/>
      <c r="N19"/>
      <c r="O19"/>
      <c r="P19"/>
      <c r="Q19"/>
      <c r="R19"/>
      <c r="S19"/>
      <c r="T19"/>
      <c r="U19"/>
    </row>
    <row r="20" spans="3:95" ht="15">
      <c r="C20"/>
      <c r="J20"/>
      <c r="K20"/>
      <c r="L20"/>
      <c r="M20"/>
      <c r="CQ20" s="619"/>
    </row>
    <row r="21" spans="3:95" ht="15">
      <c r="C21"/>
      <c r="J21"/>
      <c r="K21"/>
      <c r="L21"/>
      <c r="M21"/>
    </row>
    <row r="22" spans="3:95" ht="15">
      <c r="C22"/>
      <c r="J22"/>
      <c r="K22"/>
      <c r="L22"/>
      <c r="M22"/>
    </row>
    <row r="23" spans="3:95" ht="15">
      <c r="C23"/>
      <c r="D23"/>
      <c r="E23"/>
      <c r="F23"/>
      <c r="G23"/>
      <c r="H23"/>
      <c r="I23"/>
      <c r="J23"/>
      <c r="K23"/>
      <c r="L23"/>
      <c r="M23"/>
    </row>
    <row r="24" spans="3:95" ht="15">
      <c r="C24"/>
      <c r="D24"/>
      <c r="E24"/>
      <c r="F24"/>
      <c r="G24"/>
      <c r="H24"/>
      <c r="I24"/>
      <c r="J24"/>
      <c r="K24"/>
      <c r="L24"/>
      <c r="M24"/>
    </row>
    <row r="25" spans="3:95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3:95" ht="15">
      <c r="C26"/>
      <c r="D26"/>
      <c r="E26"/>
      <c r="F26"/>
      <c r="G26"/>
      <c r="K26"/>
    </row>
    <row r="27" spans="3:95" ht="15">
      <c r="C27"/>
      <c r="D27"/>
      <c r="E27"/>
      <c r="F27"/>
      <c r="G27"/>
      <c r="K27"/>
    </row>
    <row r="28" spans="3:95" ht="15">
      <c r="C28"/>
      <c r="D28"/>
      <c r="E28"/>
      <c r="F28"/>
      <c r="G28"/>
      <c r="K28"/>
    </row>
    <row r="29" spans="3:95" ht="15">
      <c r="C29"/>
      <c r="D29"/>
      <c r="E29"/>
      <c r="G29"/>
      <c r="K29"/>
    </row>
    <row r="30" spans="3:95" ht="15">
      <c r="C30"/>
      <c r="G30"/>
      <c r="K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56"/>
  <sheetViews>
    <sheetView topLeftCell="A43" zoomScale="75" workbookViewId="0">
      <selection activeCell="A43" sqref="A43"/>
    </sheetView>
  </sheetViews>
  <sheetFormatPr defaultColWidth="9.81640625" defaultRowHeight="15"/>
  <cols>
    <col min="1" max="1" width="29" style="111" customWidth="1"/>
    <col min="2" max="2" width="12" style="111" customWidth="1"/>
    <col min="3" max="3" width="15.1796875" style="111" customWidth="1"/>
    <col min="4" max="8" width="8.6328125" style="111" customWidth="1"/>
    <col min="9" max="9" width="8.54296875" style="111" customWidth="1"/>
    <col min="10" max="10" width="20.36328125" style="111" customWidth="1"/>
    <col min="11" max="11" width="16.54296875" style="111" customWidth="1"/>
    <col min="12" max="12" width="9.81640625" style="111"/>
    <col min="13" max="13" width="13.81640625" style="111" customWidth="1"/>
    <col min="14" max="16384" width="9.81640625" style="111"/>
  </cols>
  <sheetData>
    <row r="1" spans="1:256" ht="18.899999999999999" customHeight="1" thickTop="1">
      <c r="A1" s="863" t="s">
        <v>0</v>
      </c>
      <c r="B1" s="822"/>
      <c r="C1" s="886"/>
      <c r="D1" s="822"/>
      <c r="E1" s="822"/>
      <c r="F1" s="822" t="s">
        <v>9</v>
      </c>
      <c r="G1" s="822" t="s">
        <v>130</v>
      </c>
      <c r="H1" s="823" t="str">
        <f>D3</f>
        <v>MON</v>
      </c>
      <c r="I1" s="824">
        <f>D4</f>
        <v>37095</v>
      </c>
    </row>
    <row r="2" spans="1:256" ht="18.899999999999999" customHeight="1">
      <c r="A2" s="825" t="s">
        <v>131</v>
      </c>
      <c r="B2" s="826"/>
      <c r="C2" s="826"/>
      <c r="D2" s="826"/>
      <c r="E2" s="826"/>
      <c r="F2" s="826"/>
      <c r="G2" s="826"/>
      <c r="H2" s="826"/>
      <c r="I2" s="827"/>
    </row>
    <row r="3" spans="1:256" ht="18.899999999999999" customHeight="1" thickBot="1">
      <c r="A3" s="828"/>
      <c r="B3" s="826"/>
      <c r="C3" s="826"/>
      <c r="D3" s="829" t="str">
        <f t="shared" ref="D3:I3" si="0">CHOOSE(WEEKDAY(D4),"SUN","MON","TUE","WED","THU","FRI","SAT")</f>
        <v>MON</v>
      </c>
      <c r="E3" s="829" t="str">
        <f t="shared" si="0"/>
        <v>TUE</v>
      </c>
      <c r="F3" s="829" t="str">
        <f t="shared" si="0"/>
        <v>WED</v>
      </c>
      <c r="G3" s="829" t="str">
        <f t="shared" si="0"/>
        <v>THU</v>
      </c>
      <c r="H3" s="829" t="str">
        <f t="shared" si="0"/>
        <v>FRI</v>
      </c>
      <c r="I3" s="830" t="str">
        <f t="shared" si="0"/>
        <v>SAT</v>
      </c>
    </row>
    <row r="4" spans="1:256" ht="18.899999999999999" customHeight="1" thickBot="1">
      <c r="A4" s="831"/>
      <c r="B4" s="832"/>
      <c r="C4" s="832"/>
      <c r="D4" s="461">
        <f>Weather_Input!A5</f>
        <v>37095</v>
      </c>
      <c r="E4" s="461">
        <f>Weather_Input!A6</f>
        <v>37096</v>
      </c>
      <c r="F4" s="461">
        <f>Weather_Input!A7</f>
        <v>37097</v>
      </c>
      <c r="G4" s="461">
        <f>Weather_Input!A8</f>
        <v>37098</v>
      </c>
      <c r="H4" s="461">
        <f>Weather_Input!A9</f>
        <v>37099</v>
      </c>
      <c r="I4" s="462">
        <f>Weather_Input!A10</f>
        <v>37100</v>
      </c>
    </row>
    <row r="5" spans="1:256" ht="18.899999999999999" customHeight="1" thickTop="1">
      <c r="A5" s="835" t="s">
        <v>132</v>
      </c>
      <c r="B5" s="826"/>
      <c r="C5" s="826" t="s">
        <v>133</v>
      </c>
      <c r="D5" s="463" t="str">
        <f>TEXT(Weather_Input!B5,"0")&amp;"/"&amp;TEXT(Weather_Input!C5,"0") &amp; "/" &amp; TEXT((Weather_Input!B5+Weather_Input!C5)/2,"0")</f>
        <v>91/70/81</v>
      </c>
      <c r="E5" s="463" t="str">
        <f>TEXT(Weather_Input!B6,"0")&amp;"/"&amp;TEXT(Weather_Input!C6,"0") &amp; "/" &amp; TEXT((Weather_Input!B6+Weather_Input!C6)/2,"0")</f>
        <v>89/66/78</v>
      </c>
      <c r="F5" s="463" t="str">
        <f>TEXT(Weather_Input!B7,"0")&amp;"/"&amp;TEXT(Weather_Input!C7,"0") &amp; "/" &amp; TEXT((Weather_Input!B7+Weather_Input!C7)/2,"0")</f>
        <v>73/60/67</v>
      </c>
      <c r="G5" s="463" t="str">
        <f>TEXT(Weather_Input!B8,"0")&amp;"/"&amp;TEXT(Weather_Input!C8,"0") &amp; "/" &amp; TEXT((Weather_Input!B8+Weather_Input!C8)/2,"0")</f>
        <v>72/58/65</v>
      </c>
      <c r="H5" s="463" t="str">
        <f>TEXT(Weather_Input!B9,"0")&amp;"/"&amp;TEXT(Weather_Input!C9,"0") &amp; "/" &amp; TEXT((Weather_Input!B9+Weather_Input!C9)/2,"0")</f>
        <v>79/60/70</v>
      </c>
      <c r="I5" s="464" t="str">
        <f>TEXT(Weather_Input!B10,"0")&amp;"/"&amp;TEXT(Weather_Input!C10,"0") &amp; "/" &amp; TEXT((Weather_Input!B10+Weather_Input!C10)/2,"0")</f>
        <v>82/65/74</v>
      </c>
    </row>
    <row r="6" spans="1:256" ht="18.899999999999999" customHeight="1">
      <c r="A6" s="838" t="s">
        <v>134</v>
      </c>
      <c r="B6" s="826"/>
      <c r="C6" s="826"/>
      <c r="D6" s="463">
        <f>PGL_Deliveries!C5/1000</f>
        <v>190</v>
      </c>
      <c r="E6" s="463">
        <f>PGL_Deliveries!C6/1000</f>
        <v>195</v>
      </c>
      <c r="F6" s="463">
        <f>PGL_Deliveries!C7/1000</f>
        <v>195</v>
      </c>
      <c r="G6" s="463">
        <f>PGL_Deliveries!C8/1000</f>
        <v>195</v>
      </c>
      <c r="H6" s="463">
        <f>PGL_Deliveries!C9/1000</f>
        <v>185</v>
      </c>
      <c r="I6" s="464">
        <f>PGL_Deliveries!C10/1000</f>
        <v>175</v>
      </c>
    </row>
    <row r="7" spans="1:256" ht="18.899999999999999" customHeight="1">
      <c r="A7" s="838" t="s">
        <v>536</v>
      </c>
      <c r="B7" s="826" t="s">
        <v>9</v>
      </c>
      <c r="C7" s="826"/>
      <c r="D7" s="463">
        <f>PGL_Requirements!G7/1000*0.5</f>
        <v>62.643999999999998</v>
      </c>
      <c r="E7" s="463">
        <f>PGL_Requirements!G8/1000*0.5</f>
        <v>78.227999999999994</v>
      </c>
      <c r="F7" s="463">
        <f>PGL_Requirements!G9/1000*0.5</f>
        <v>34.185000000000002</v>
      </c>
      <c r="G7" s="463">
        <f>PGL_Requirements!G10/1000*0.5</f>
        <v>0</v>
      </c>
      <c r="H7" s="463">
        <f>PGL_Requirements!G11/1000*0.5</f>
        <v>0</v>
      </c>
      <c r="I7" s="464">
        <f>PGL_Requirements!G12/1000*0.5</f>
        <v>0</v>
      </c>
    </row>
    <row r="8" spans="1:256" ht="18.899999999999999" customHeight="1">
      <c r="A8" s="838" t="s">
        <v>774</v>
      </c>
      <c r="B8" s="826"/>
      <c r="C8" s="826"/>
      <c r="D8" s="463">
        <f>PGL_Requirements!J7/1000</f>
        <v>103.696</v>
      </c>
      <c r="E8" s="463">
        <f>PGL_Requirements!J8/1000</f>
        <v>50</v>
      </c>
      <c r="F8" s="463">
        <f>PGL_Requirements!J9/1000</f>
        <v>0</v>
      </c>
      <c r="G8" s="463">
        <f>PGL_Requirements!J10/1000</f>
        <v>0</v>
      </c>
      <c r="H8" s="463">
        <f>PGL_Requirements!J11/1000</f>
        <v>0</v>
      </c>
      <c r="I8" s="464">
        <f>PGL_Requirements!J12/1000</f>
        <v>0</v>
      </c>
    </row>
    <row r="9" spans="1:256" ht="18.899999999999999" customHeight="1">
      <c r="A9" s="835" t="s">
        <v>775</v>
      </c>
      <c r="B9" s="826" t="s">
        <v>9</v>
      </c>
      <c r="C9" s="839"/>
      <c r="D9" s="463">
        <f>PGL_Requirements!K7/1000</f>
        <v>0</v>
      </c>
      <c r="E9" s="463">
        <f>PGL_Requirements!K8/1000</f>
        <v>0</v>
      </c>
      <c r="F9" s="463">
        <f>PGL_Requirements!K9/1000</f>
        <v>0</v>
      </c>
      <c r="G9" s="463">
        <f>PGL_Requirements!K10/1000</f>
        <v>0</v>
      </c>
      <c r="H9" s="463">
        <f>PGL_Requirements!K11/1000</f>
        <v>0</v>
      </c>
      <c r="I9" s="464">
        <f>PGL_Requirements!K12/1000</f>
        <v>0</v>
      </c>
    </row>
    <row r="10" spans="1:256" ht="18.899999999999999" customHeight="1">
      <c r="A10" s="835" t="s">
        <v>790</v>
      </c>
      <c r="B10" s="826"/>
      <c r="C10" s="839"/>
      <c r="D10" s="463">
        <f>PGL_Requirements!H7/1000</f>
        <v>0</v>
      </c>
      <c r="E10" s="463">
        <f>PGL_Requirements!H8/1000</f>
        <v>0</v>
      </c>
      <c r="F10" s="463">
        <f>PGL_Requirements!H9/1000</f>
        <v>0</v>
      </c>
      <c r="G10" s="463">
        <f>PGL_Requirements!H10/1000</f>
        <v>0</v>
      </c>
      <c r="H10" s="463">
        <f>PGL_Requirements!H11/1000</f>
        <v>0</v>
      </c>
      <c r="I10" s="464">
        <f>PGL_Requirements!H12/1000</f>
        <v>0</v>
      </c>
    </row>
    <row r="11" spans="1:256" ht="18.899999999999999" customHeight="1">
      <c r="A11" s="835" t="s">
        <v>138</v>
      </c>
      <c r="B11" s="826" t="s">
        <v>139</v>
      </c>
      <c r="C11" s="826" t="s">
        <v>58</v>
      </c>
      <c r="D11" s="463">
        <f>PGL_Requirements!O7/1000</f>
        <v>49.08</v>
      </c>
      <c r="E11" s="463">
        <f>PGL_Requirements!O8/1000</f>
        <v>90</v>
      </c>
      <c r="F11" s="463">
        <f>PGL_Requirements!O9/1000</f>
        <v>100</v>
      </c>
      <c r="G11" s="463">
        <f>PGL_Requirements!O10/1000</f>
        <v>100</v>
      </c>
      <c r="H11" s="463">
        <f>PGL_Requirements!O11/1000</f>
        <v>100</v>
      </c>
      <c r="I11" s="464">
        <f>PGL_Requirements!O12/1000</f>
        <v>100</v>
      </c>
    </row>
    <row r="12" spans="1:256" ht="18.899999999999999" customHeight="1">
      <c r="A12" s="835"/>
      <c r="B12" s="826"/>
      <c r="C12" s="826" t="s">
        <v>97</v>
      </c>
      <c r="D12" s="463">
        <f>PGL_Requirements!P7/1000</f>
        <v>0.73619999999999997</v>
      </c>
      <c r="E12" s="463">
        <f>PGL_Requirements!P8/1000</f>
        <v>1.35</v>
      </c>
      <c r="F12" s="463">
        <f>PGL_Requirements!P9/1000</f>
        <v>1.5</v>
      </c>
      <c r="G12" s="463">
        <f>PGL_Requirements!P10/1000</f>
        <v>1.5</v>
      </c>
      <c r="H12" s="463">
        <f>PGL_Requirements!P11/1000</f>
        <v>1.5</v>
      </c>
      <c r="I12" s="464">
        <f>PGL_Requirements!P12/1000</f>
        <v>1.5</v>
      </c>
    </row>
    <row r="13" spans="1:256" ht="18.899999999999999" customHeight="1">
      <c r="A13" s="835"/>
      <c r="C13" s="826" t="s">
        <v>690</v>
      </c>
      <c r="D13" s="463">
        <f>PGL_Requirements!Q7/1000</f>
        <v>0.21</v>
      </c>
      <c r="E13" s="463">
        <f>PGL_Requirements!Q8/1000</f>
        <v>0.62</v>
      </c>
      <c r="F13" s="463">
        <f>PGL_Requirements!Q9/1000</f>
        <v>0.62</v>
      </c>
      <c r="G13" s="463">
        <f>PGL_Requirements!Q10/1000</f>
        <v>0.62</v>
      </c>
      <c r="H13" s="463">
        <f>PGL_Requirements!Q11/1000</f>
        <v>0.62</v>
      </c>
      <c r="I13" s="464">
        <f>PGL_Requirements!Q12/1000</f>
        <v>0.62</v>
      </c>
    </row>
    <row r="14" spans="1:256" ht="18.899999999999999" customHeight="1">
      <c r="A14" s="835"/>
      <c r="C14" s="826" t="s">
        <v>719</v>
      </c>
      <c r="D14" s="463">
        <f>PGL_Requirements!B7/1000</f>
        <v>0</v>
      </c>
      <c r="E14" s="463">
        <f>PGL_Requirements!B8/1000</f>
        <v>0</v>
      </c>
      <c r="F14" s="463">
        <f>PGL_Requirements!B9/1000</f>
        <v>0</v>
      </c>
      <c r="G14" s="463">
        <f>PGL_Requirements!B10/1000</f>
        <v>0</v>
      </c>
      <c r="H14" s="463">
        <f>PGL_Requirements!B11/1000</f>
        <v>0</v>
      </c>
      <c r="I14" s="464">
        <f>PGL_Requirements!B12/1000</f>
        <v>0</v>
      </c>
      <c r="IV14" s="463" t="s">
        <v>9</v>
      </c>
    </row>
    <row r="15" spans="1:256" ht="18.899999999999999" customHeight="1">
      <c r="A15" s="835"/>
      <c r="B15" s="826" t="s">
        <v>137</v>
      </c>
      <c r="C15" s="826" t="s">
        <v>777</v>
      </c>
      <c r="D15" s="463">
        <f>PGL_Requirements!T7/1000</f>
        <v>0.2</v>
      </c>
      <c r="E15" s="463">
        <f>PGL_Requirements!T8/1000</f>
        <v>0.2</v>
      </c>
      <c r="F15" s="463">
        <f>PGL_Requirements!T9/1000</f>
        <v>0.2</v>
      </c>
      <c r="G15" s="463">
        <f>PGL_Requirements!T10/1000</f>
        <v>0.2</v>
      </c>
      <c r="H15" s="463">
        <f>PGL_Requirements!T11/1000</f>
        <v>0.2</v>
      </c>
      <c r="I15" s="464">
        <f>PGL_Requirements!T12/1000</f>
        <v>0.2</v>
      </c>
    </row>
    <row r="16" spans="1:256" ht="18.899999999999999" customHeight="1">
      <c r="A16" s="835"/>
      <c r="B16" s="826"/>
      <c r="C16" s="826" t="s">
        <v>779</v>
      </c>
      <c r="D16" s="463">
        <f>PGL_Requirements!U7/1000</f>
        <v>0</v>
      </c>
      <c r="E16" s="463">
        <f>PGL_Requirements!U8/1000</f>
        <v>0</v>
      </c>
      <c r="F16" s="463">
        <f>PGL_Requirements!U9/1000</f>
        <v>0</v>
      </c>
      <c r="G16" s="463">
        <f>PGL_Requirements!U10/1000</f>
        <v>0</v>
      </c>
      <c r="H16" s="463">
        <f>PGL_Requirements!U11/1000</f>
        <v>0</v>
      </c>
      <c r="I16" s="464">
        <f>PGL_Requirements!U11/1000</f>
        <v>0</v>
      </c>
    </row>
    <row r="17" spans="1:10" ht="18.899999999999999" customHeight="1">
      <c r="A17" s="835"/>
      <c r="B17" s="826" t="s">
        <v>135</v>
      </c>
      <c r="C17" s="826" t="s">
        <v>87</v>
      </c>
      <c r="D17" s="463">
        <f>PGL_Requirements!N7/1000</f>
        <v>0</v>
      </c>
      <c r="E17" s="463">
        <f>PGL_Requirements!N8/1000</f>
        <v>0</v>
      </c>
      <c r="F17" s="463">
        <f>PGL_Requirements!N9/1000</f>
        <v>0</v>
      </c>
      <c r="G17" s="463">
        <f>PGL_Requirements!N10/1000</f>
        <v>0</v>
      </c>
      <c r="H17" s="463">
        <f>PGL_Requirements!N11/1000</f>
        <v>0</v>
      </c>
      <c r="I17" s="464">
        <f>PGL_Requirements!N12/1000</f>
        <v>0</v>
      </c>
    </row>
    <row r="18" spans="1:10" ht="18.899999999999999" customHeight="1">
      <c r="A18" s="835" t="s">
        <v>800</v>
      </c>
      <c r="B18" s="842" t="s">
        <v>9</v>
      </c>
      <c r="C18" s="842" t="s">
        <v>9</v>
      </c>
      <c r="D18" s="463">
        <f>PGL_Requirements!M7/1000</f>
        <v>0</v>
      </c>
      <c r="E18" s="463">
        <f>PGL_Requirements!M8/1000</f>
        <v>0</v>
      </c>
      <c r="F18" s="463">
        <f>PGL_Requirements!M9/1000</f>
        <v>0</v>
      </c>
      <c r="G18" s="463">
        <f>PGL_Requirements!M10/1000</f>
        <v>0</v>
      </c>
      <c r="H18" s="463">
        <f>PGL_Requirements!M11/1000</f>
        <v>0</v>
      </c>
      <c r="I18" s="464">
        <f>PGL_Requirements!M12/1000</f>
        <v>0</v>
      </c>
      <c r="J18" s="771"/>
    </row>
    <row r="19" spans="1:10" ht="18.899999999999999" customHeight="1">
      <c r="A19" s="835" t="s">
        <v>787</v>
      </c>
      <c r="B19" s="840"/>
      <c r="C19" s="842"/>
      <c r="D19" s="463">
        <f>PGL_Requirements!L7/1000</f>
        <v>0</v>
      </c>
      <c r="E19" s="463">
        <f>PGL_Requirements!L8/1000</f>
        <v>0</v>
      </c>
      <c r="F19" s="463">
        <f>PGL_Requirements!L9/1000</f>
        <v>0</v>
      </c>
      <c r="G19" s="463">
        <f>PGL_Requirements!L10/1000</f>
        <v>0</v>
      </c>
      <c r="H19" s="463">
        <f>PGL_Requirements!L11/1000</f>
        <v>0</v>
      </c>
      <c r="I19" s="464">
        <f>PGL_Requirements!L12/1000</f>
        <v>0</v>
      </c>
      <c r="J19" s="771"/>
    </row>
    <row r="20" spans="1:10" ht="18.899999999999999" customHeight="1">
      <c r="A20" s="838" t="s">
        <v>141</v>
      </c>
      <c r="B20" s="826"/>
      <c r="C20" s="826"/>
      <c r="D20" s="463">
        <f>PGL_Requirements!F7/1000</f>
        <v>0</v>
      </c>
      <c r="E20" s="463">
        <f>PGL_Requirements!F8/1000</f>
        <v>0</v>
      </c>
      <c r="F20" s="463">
        <f>PGL_Requirements!F9/1000</f>
        <v>0</v>
      </c>
      <c r="G20" s="463">
        <f>PGL_Requirements!F10/1000</f>
        <v>0</v>
      </c>
      <c r="H20" s="463">
        <f>PGL_Requirements!F11/1000</f>
        <v>0</v>
      </c>
      <c r="I20" s="464">
        <f>PGL_Requirements!F12/1000</f>
        <v>0</v>
      </c>
    </row>
    <row r="21" spans="1:10" ht="18.899999999999999" customHeight="1">
      <c r="A21" s="835" t="s">
        <v>142</v>
      </c>
      <c r="B21" s="826" t="s">
        <v>705</v>
      </c>
      <c r="C21" s="826"/>
      <c r="D21" s="463">
        <f>PGL_Requirements!I7/1000</f>
        <v>0</v>
      </c>
      <c r="E21" s="463">
        <f>PGL_Requirements!I8/1000</f>
        <v>0</v>
      </c>
      <c r="F21" s="463">
        <f>PGL_Requirements!I9/1000</f>
        <v>0</v>
      </c>
      <c r="G21" s="463">
        <f>PGL_Requirements!I10/1000</f>
        <v>0</v>
      </c>
      <c r="H21" s="463">
        <f>PGL_Requirements!I11/1000</f>
        <v>0</v>
      </c>
      <c r="I21" s="464">
        <f>PGL_Requirements!I12/1000</f>
        <v>0</v>
      </c>
    </row>
    <row r="22" spans="1:10" ht="18.899999999999999" customHeight="1">
      <c r="A22" s="835"/>
      <c r="B22" s="826" t="s">
        <v>89</v>
      </c>
      <c r="C22" s="826"/>
      <c r="D22" s="463">
        <f>PGL_Requirements!C7/1000</f>
        <v>0</v>
      </c>
      <c r="E22" s="463">
        <f>PGL_Requirements!C8/1000</f>
        <v>0</v>
      </c>
      <c r="F22" s="463">
        <f>PGL_Requirements!C9/1000</f>
        <v>0</v>
      </c>
      <c r="G22" s="463">
        <f>PGL_Requirements!C10/1000</f>
        <v>0</v>
      </c>
      <c r="H22" s="463">
        <f>PGL_Requirements!C11/1000</f>
        <v>0</v>
      </c>
      <c r="I22" s="464">
        <f>PGL_Requirements!C12/1000</f>
        <v>0</v>
      </c>
    </row>
    <row r="23" spans="1:10" ht="18.899999999999999" customHeight="1">
      <c r="A23" s="835"/>
      <c r="B23" s="826" t="s">
        <v>394</v>
      </c>
      <c r="C23" s="826"/>
      <c r="D23" s="463">
        <f>PGL_Requirements!D7/1000</f>
        <v>0</v>
      </c>
      <c r="E23" s="463">
        <f>PGL_Requirements!D8/1000</f>
        <v>0</v>
      </c>
      <c r="F23" s="463">
        <f>PGL_Requirements!D9/1000</f>
        <v>0</v>
      </c>
      <c r="G23" s="463">
        <f>PGL_Requirements!D10/1000</f>
        <v>0</v>
      </c>
      <c r="H23" s="463">
        <f>PGL_Requirements!D11/1000</f>
        <v>0</v>
      </c>
      <c r="I23" s="464">
        <f>PGL_Requirements!D12/1000</f>
        <v>0</v>
      </c>
    </row>
    <row r="24" spans="1:10" ht="18.899999999999999" customHeight="1">
      <c r="A24" s="835"/>
      <c r="B24" s="826" t="s">
        <v>92</v>
      </c>
      <c r="C24" s="826"/>
      <c r="D24" s="465">
        <f>PGL_Requirements!E7/1000</f>
        <v>4.4989999999999997</v>
      </c>
      <c r="E24" s="465">
        <f>PGL_Requirements!E8/1000</f>
        <v>4.4989999999999997</v>
      </c>
      <c r="F24" s="465">
        <f>PGL_Requirements!E9/1000</f>
        <v>4.4989999999999997</v>
      </c>
      <c r="G24" s="465">
        <f>PGL_Requirements!E10/1000</f>
        <v>4.4989999999999997</v>
      </c>
      <c r="H24" s="465">
        <f>PGL_Requirements!E11/1000</f>
        <v>4.4989999999999997</v>
      </c>
      <c r="I24" s="466">
        <f>PGL_Requirements!E12/1000</f>
        <v>4.4989999999999997</v>
      </c>
    </row>
    <row r="25" spans="1:10" ht="18.899999999999999" customHeight="1" thickBot="1">
      <c r="A25" s="843" t="s">
        <v>143</v>
      </c>
      <c r="B25" s="844"/>
      <c r="C25" s="844"/>
      <c r="D25" s="467">
        <f t="shared" ref="D25:I25" si="1">SUM(D6:D24)</f>
        <v>411.0652</v>
      </c>
      <c r="E25" s="467">
        <f t="shared" si="1"/>
        <v>419.89700000000005</v>
      </c>
      <c r="F25" s="467">
        <f t="shared" si="1"/>
        <v>336.00400000000002</v>
      </c>
      <c r="G25" s="467">
        <f t="shared" si="1"/>
        <v>301.81900000000002</v>
      </c>
      <c r="H25" s="467">
        <f t="shared" si="1"/>
        <v>291.81900000000002</v>
      </c>
      <c r="I25" s="1099">
        <f t="shared" si="1"/>
        <v>281.81900000000002</v>
      </c>
    </row>
    <row r="26" spans="1:10" ht="18.899999999999999" customHeight="1" thickTop="1" thickBot="1">
      <c r="A26" s="847"/>
      <c r="B26" s="826"/>
      <c r="C26" s="826"/>
      <c r="D26" s="468"/>
      <c r="E26" s="469"/>
      <c r="F26" s="469"/>
      <c r="G26" s="469"/>
      <c r="H26" s="469"/>
      <c r="I26" s="470"/>
    </row>
    <row r="27" spans="1:10" ht="18.899999999999999" customHeight="1" thickTop="1" thickBot="1">
      <c r="A27" s="848" t="s">
        <v>144</v>
      </c>
      <c r="B27" s="849"/>
      <c r="C27" s="849"/>
      <c r="D27" s="471"/>
      <c r="E27" s="472"/>
      <c r="F27" s="472"/>
      <c r="G27" s="472"/>
      <c r="H27" s="472"/>
      <c r="I27" s="1100"/>
    </row>
    <row r="28" spans="1:10" ht="18.899999999999999" customHeight="1" thickTop="1">
      <c r="A28" s="835" t="s">
        <v>145</v>
      </c>
      <c r="B28" s="826" t="s">
        <v>139</v>
      </c>
      <c r="C28" s="826" t="s">
        <v>58</v>
      </c>
      <c r="D28" s="463">
        <f>PGL_Supplies!L7/1000</f>
        <v>0</v>
      </c>
      <c r="E28" s="463">
        <f>PGL_Supplies!L8/1000</f>
        <v>0</v>
      </c>
      <c r="F28" s="463">
        <f>PGL_Supplies!L9/1000</f>
        <v>0</v>
      </c>
      <c r="G28" s="463">
        <f>PGL_Supplies!L10/1000</f>
        <v>0</v>
      </c>
      <c r="H28" s="463">
        <f>PGL_Supplies!L11/1000</f>
        <v>0</v>
      </c>
      <c r="I28" s="464">
        <f>PGL_Supplies!L12/1000</f>
        <v>0</v>
      </c>
    </row>
    <row r="29" spans="1:10" ht="18.899999999999999" customHeight="1">
      <c r="A29" s="835"/>
      <c r="B29" s="826"/>
      <c r="C29" s="826" t="s">
        <v>90</v>
      </c>
      <c r="D29" s="463">
        <f>PGL_Supplies!G7/1000</f>
        <v>2.508</v>
      </c>
      <c r="E29" s="463">
        <f>PGL_Supplies!G8/1000</f>
        <v>1</v>
      </c>
      <c r="F29" s="463">
        <f>PGL_Supplies!G9/1000</f>
        <v>1</v>
      </c>
      <c r="G29" s="463">
        <f>PGL_Supplies!G10/1000</f>
        <v>1</v>
      </c>
      <c r="H29" s="463">
        <f>PGL_Supplies!G11/1000</f>
        <v>1</v>
      </c>
      <c r="I29" s="464">
        <f>PGL_Supplies!G12/1000</f>
        <v>1</v>
      </c>
    </row>
    <row r="30" spans="1:10" ht="18.899999999999999" customHeight="1">
      <c r="A30" s="835"/>
      <c r="B30" s="826"/>
      <c r="C30" s="826" t="s">
        <v>59</v>
      </c>
      <c r="D30" s="463">
        <f>PGL_Supplies!I7/1000</f>
        <v>0</v>
      </c>
      <c r="E30" s="463">
        <f>PGL_Supplies!I8/1000</f>
        <v>0</v>
      </c>
      <c r="F30" s="463">
        <f>PGL_Supplies!I9/1000</f>
        <v>0</v>
      </c>
      <c r="G30" s="463">
        <f>PGL_Supplies!I10/1000</f>
        <v>0</v>
      </c>
      <c r="H30" s="463">
        <f>PGL_Supplies!I11/1000</f>
        <v>0</v>
      </c>
      <c r="I30" s="464">
        <f>PGL_Supplies!I12/1000</f>
        <v>0</v>
      </c>
    </row>
    <row r="31" spans="1:10" ht="18.899999999999999" customHeight="1">
      <c r="A31" s="835"/>
      <c r="B31" s="826" t="s">
        <v>137</v>
      </c>
      <c r="C31" s="826" t="s">
        <v>777</v>
      </c>
      <c r="D31" s="463">
        <f>PGL_Supplies!Q7/1000</f>
        <v>0</v>
      </c>
      <c r="E31" s="463">
        <f>PGL_Supplies!Q8/1000</f>
        <v>0</v>
      </c>
      <c r="F31" s="463">
        <f>PGL_Supplies!Q9/1000</f>
        <v>0</v>
      </c>
      <c r="G31" s="463">
        <f>PGL_Supplies!Q10/1000</f>
        <v>0</v>
      </c>
      <c r="H31" s="463">
        <f>PGL_Supplies!Q11/1000</f>
        <v>0</v>
      </c>
      <c r="I31" s="464">
        <f>PGL_Supplies!Q12/1000</f>
        <v>0</v>
      </c>
    </row>
    <row r="32" spans="1:10" ht="18.899999999999999" customHeight="1">
      <c r="A32" s="835"/>
      <c r="B32" s="826"/>
      <c r="C32" s="826" t="s">
        <v>779</v>
      </c>
      <c r="D32" s="463">
        <f>PGL_Supplies!R7/1000</f>
        <v>0</v>
      </c>
      <c r="E32" s="463">
        <f>PGL_Supplies!R8/1000</f>
        <v>0</v>
      </c>
      <c r="F32" s="463">
        <f>PGL_Supplies!R9/1000</f>
        <v>0</v>
      </c>
      <c r="G32" s="463">
        <f>PGL_Supplies!R10/1000</f>
        <v>0</v>
      </c>
      <c r="H32" s="463">
        <f>PGL_Supplies!R11/1000</f>
        <v>0</v>
      </c>
      <c r="I32" s="464">
        <f>PGL_Supplies!R12/1000</f>
        <v>0</v>
      </c>
    </row>
    <row r="33" spans="1:10" ht="18.899999999999999" customHeight="1">
      <c r="A33" s="835"/>
      <c r="B33" s="826" t="s">
        <v>135</v>
      </c>
      <c r="C33" s="826" t="s">
        <v>87</v>
      </c>
      <c r="D33" s="463">
        <f>PGL_Supplies!K7/1000</f>
        <v>12.505000000000001</v>
      </c>
      <c r="E33" s="463">
        <f>PGL_Supplies!K8/1000</f>
        <v>53.77</v>
      </c>
      <c r="F33" s="463">
        <f>PGL_Supplies!K9/1000</f>
        <v>0</v>
      </c>
      <c r="G33" s="463">
        <f>PGL_Supplies!K10/1000</f>
        <v>0</v>
      </c>
      <c r="H33" s="463">
        <f>PGL_Supplies!K11/1000</f>
        <v>0</v>
      </c>
      <c r="I33" s="464">
        <f>PGL_Supplies!K12/1000</f>
        <v>0</v>
      </c>
    </row>
    <row r="34" spans="1:10" ht="18.899999999999999" customHeight="1">
      <c r="A34" s="835" t="s">
        <v>801</v>
      </c>
      <c r="B34" s="826"/>
      <c r="C34" s="826"/>
      <c r="D34" s="463">
        <f>PGL_Supplies!M7/1000</f>
        <v>0</v>
      </c>
      <c r="E34" s="463">
        <f>PGL_Supplies!M8/1000</f>
        <v>0</v>
      </c>
      <c r="F34" s="463">
        <f>PGL_Supplies!M9/1000</f>
        <v>0</v>
      </c>
      <c r="G34" s="463">
        <f>PGL_Supplies!M10/1000</f>
        <v>0</v>
      </c>
      <c r="H34" s="463">
        <f>PGL_Supplies!M11/1000</f>
        <v>0</v>
      </c>
      <c r="I34" s="464">
        <f>PGL_Supplies!M12/1000</f>
        <v>0</v>
      </c>
    </row>
    <row r="35" spans="1:10" ht="18.899999999999999" customHeight="1">
      <c r="A35" s="838" t="s">
        <v>674</v>
      </c>
      <c r="B35" s="826"/>
      <c r="C35" s="826"/>
      <c r="D35" s="463">
        <f>PGL_Supplies!T7/1000</f>
        <v>0</v>
      </c>
      <c r="E35" s="463">
        <f>PGL_Supplies!T8/1000</f>
        <v>0</v>
      </c>
      <c r="F35" s="463">
        <f>PGL_Supplies!T9/1000</f>
        <v>0</v>
      </c>
      <c r="G35" s="463">
        <f>PGL_Supplies!T10/1000</f>
        <v>0</v>
      </c>
      <c r="H35" s="463">
        <f>PGL_Supplies!T11/1000</f>
        <v>0</v>
      </c>
      <c r="I35" s="464">
        <f>PGL_Supplies!T12/1000</f>
        <v>0</v>
      </c>
    </row>
    <row r="36" spans="1:10" ht="18.899999999999999" customHeight="1">
      <c r="A36" s="838" t="s">
        <v>776</v>
      </c>
      <c r="B36" s="826" t="s">
        <v>394</v>
      </c>
      <c r="C36" s="826"/>
      <c r="D36" s="463">
        <f>PGL_Supplies!S7/1000*0.5</f>
        <v>10</v>
      </c>
      <c r="E36" s="463">
        <f>PGL_Supplies!S8/1000*0.5</f>
        <v>35</v>
      </c>
      <c r="F36" s="463">
        <f>PGL_Supplies!S9/1000*0.5</f>
        <v>30</v>
      </c>
      <c r="G36" s="463">
        <f>PGL_Supplies!S10/1000*0.5</f>
        <v>0</v>
      </c>
      <c r="H36" s="463">
        <f>PGL_Supplies!S11/1000*0.5</f>
        <v>0</v>
      </c>
      <c r="I36" s="464">
        <f>PGL_Supplies!S12/1000*0.5</f>
        <v>0</v>
      </c>
    </row>
    <row r="37" spans="1:10" ht="18.899999999999999" customHeight="1">
      <c r="A37" s="852" t="s">
        <v>715</v>
      </c>
      <c r="B37" s="826" t="s">
        <v>696</v>
      </c>
      <c r="C37" s="826"/>
      <c r="D37" s="463">
        <f>PGL_Supplies!X7/1000</f>
        <v>108.172</v>
      </c>
      <c r="E37" s="463">
        <f>PGL_Supplies!X8/1000</f>
        <v>101.19</v>
      </c>
      <c r="F37" s="463">
        <f>PGL_Supplies!X9/1000</f>
        <v>101.19</v>
      </c>
      <c r="G37" s="463">
        <f>PGL_Supplies!X10/1000</f>
        <v>101.19</v>
      </c>
      <c r="H37" s="463">
        <f>PGL_Supplies!X11/1000</f>
        <v>101.19</v>
      </c>
      <c r="I37" s="464">
        <f>PGL_Supplies!X12/1000</f>
        <v>101.19</v>
      </c>
    </row>
    <row r="38" spans="1:10" ht="18.899999999999999" customHeight="1">
      <c r="A38" s="838"/>
      <c r="B38" s="826" t="s">
        <v>137</v>
      </c>
      <c r="C38" s="839"/>
      <c r="D38" s="463">
        <f>PGL_Supplies!Y7/1000</f>
        <v>0.2</v>
      </c>
      <c r="E38" s="463">
        <f>PGL_Supplies!Y8/1000</f>
        <v>0.2</v>
      </c>
      <c r="F38" s="463">
        <f>PGL_Supplies!Y9/1000</f>
        <v>0.2</v>
      </c>
      <c r="G38" s="463">
        <f>PGL_Supplies!Y10/1000</f>
        <v>0.2</v>
      </c>
      <c r="H38" s="463">
        <f>PGL_Supplies!Y11/1000</f>
        <v>0.2</v>
      </c>
      <c r="I38" s="464">
        <f>PGL_Supplies!Y12/1000</f>
        <v>0.2</v>
      </c>
    </row>
    <row r="39" spans="1:10" ht="18.899999999999999" customHeight="1">
      <c r="A39" s="838"/>
      <c r="B39" s="826" t="s">
        <v>140</v>
      </c>
      <c r="C39" s="839"/>
      <c r="D39" s="463">
        <f>PGL_Supplies!Z7/1000</f>
        <v>0</v>
      </c>
      <c r="E39" s="463">
        <f>PGL_Supplies!Z8/1000</f>
        <v>0</v>
      </c>
      <c r="F39" s="463">
        <f>PGL_Supplies!Z9/1000</f>
        <v>0</v>
      </c>
      <c r="G39" s="463">
        <f>PGL_Supplies!Z10/1000</f>
        <v>0</v>
      </c>
      <c r="H39" s="463">
        <f>PGL_Supplies!Z11/1000</f>
        <v>0</v>
      </c>
      <c r="I39" s="464">
        <f>PGL_Supplies!Z12/1000</f>
        <v>0</v>
      </c>
    </row>
    <row r="40" spans="1:10" ht="18.899999999999999" customHeight="1">
      <c r="A40" s="838"/>
      <c r="B40" s="826" t="s">
        <v>394</v>
      </c>
      <c r="C40" s="839"/>
      <c r="D40" s="463">
        <f>PGL_Supplies!AA7/1000</f>
        <v>192.88</v>
      </c>
      <c r="E40" s="463">
        <f>PGL_Supplies!AA8/1000</f>
        <v>168.505</v>
      </c>
      <c r="F40" s="463">
        <f>PGL_Supplies!AA9/1000</f>
        <v>168.505</v>
      </c>
      <c r="G40" s="463">
        <f>PGL_Supplies!AA10/1000</f>
        <v>168.505</v>
      </c>
      <c r="H40" s="463">
        <f>PGL_Supplies!AA11/1000</f>
        <v>168.505</v>
      </c>
      <c r="I40" s="464">
        <f>PGL_Supplies!AA12/1000</f>
        <v>168.505</v>
      </c>
    </row>
    <row r="41" spans="1:10" ht="18.899999999999999" customHeight="1">
      <c r="A41" s="838"/>
      <c r="B41" s="826" t="s">
        <v>135</v>
      </c>
      <c r="C41" s="826"/>
      <c r="D41" s="463">
        <f>PGL_Supplies!AB7/1000</f>
        <v>20.352</v>
      </c>
      <c r="E41" s="463">
        <f>PGL_Supplies!AB8/1000</f>
        <v>40.731000000000002</v>
      </c>
      <c r="F41" s="463">
        <f>PGL_Supplies!AB9/1000</f>
        <v>40.731000000000002</v>
      </c>
      <c r="G41" s="463">
        <f>PGL_Supplies!AB10/1000</f>
        <v>40.731000000000002</v>
      </c>
      <c r="H41" s="463">
        <f>PGL_Supplies!AB11/1000</f>
        <v>40.731000000000002</v>
      </c>
      <c r="I41" s="464">
        <f>PGL_Supplies!AB12/1000</f>
        <v>40.731000000000002</v>
      </c>
    </row>
    <row r="42" spans="1:10" ht="18.899999999999999" customHeight="1">
      <c r="A42" s="838"/>
      <c r="B42" s="826" t="s">
        <v>136</v>
      </c>
      <c r="C42" s="826"/>
      <c r="D42" s="463">
        <f>PGL_Supplies!AC7/1000</f>
        <v>4.4989999999999997</v>
      </c>
      <c r="E42" s="463">
        <f>PGL_Supplies!AC8/1000</f>
        <v>4.4989999999999997</v>
      </c>
      <c r="F42" s="463">
        <f>PGL_Supplies!AC9/1000</f>
        <v>4.4989999999999997</v>
      </c>
      <c r="G42" s="463">
        <f>PGL_Supplies!AC10/1000</f>
        <v>4.4989999999999997</v>
      </c>
      <c r="H42" s="463">
        <f>PGL_Supplies!AC11/1000</f>
        <v>4.4989999999999997</v>
      </c>
      <c r="I42" s="464">
        <f>PGL_Supplies!AC12/1000</f>
        <v>4.4989999999999997</v>
      </c>
    </row>
    <row r="43" spans="1:10" ht="18.899999999999999" customHeight="1">
      <c r="A43" s="852"/>
      <c r="B43" s="826" t="s">
        <v>147</v>
      </c>
      <c r="C43" s="826"/>
      <c r="D43" s="463">
        <f>PGL_Supplies!H7/1000</f>
        <v>27.905999999999999</v>
      </c>
      <c r="E43" s="463">
        <f>PGL_Supplies!H8/1000</f>
        <v>15</v>
      </c>
      <c r="F43" s="463">
        <f>PGL_Supplies!H9/1000</f>
        <v>15</v>
      </c>
      <c r="G43" s="463">
        <f>PGL_Supplies!H10/1000</f>
        <v>15</v>
      </c>
      <c r="H43" s="463">
        <f>PGL_Supplies!H11/1000</f>
        <v>15</v>
      </c>
      <c r="I43" s="464">
        <f>PGL_Supplies!H12/1000</f>
        <v>15</v>
      </c>
      <c r="J43" s="111" t="s">
        <v>9</v>
      </c>
    </row>
    <row r="44" spans="1:10" ht="18.899999999999999" customHeight="1">
      <c r="A44" s="835"/>
      <c r="B44" s="826" t="s">
        <v>148</v>
      </c>
      <c r="C44" s="826"/>
      <c r="D44" s="463">
        <f>PGL_Supplies!J7/1000</f>
        <v>0</v>
      </c>
      <c r="E44" s="463">
        <f>PGL_Supplies!J8/1000</f>
        <v>0</v>
      </c>
      <c r="F44" s="463">
        <f>PGL_Supplies!J9/1000</f>
        <v>0</v>
      </c>
      <c r="G44" s="463">
        <f>PGL_Supplies!J10/1000</f>
        <v>0</v>
      </c>
      <c r="H44" s="463">
        <f>PGL_Supplies!J11/1000</f>
        <v>0</v>
      </c>
      <c r="I44" s="464">
        <f>PGL_Supplies!J12/1000</f>
        <v>0</v>
      </c>
    </row>
    <row r="45" spans="1:10" ht="18.899999999999999" customHeight="1">
      <c r="A45" s="838" t="s">
        <v>728</v>
      </c>
      <c r="B45" s="826"/>
      <c r="C45" s="826"/>
      <c r="D45" s="463">
        <f>PGL_Supplies!B7/1000</f>
        <v>41.36</v>
      </c>
      <c r="E45" s="463">
        <f>PGL_Supplies!B8/1000</f>
        <v>0</v>
      </c>
      <c r="F45" s="463">
        <f>PGL_Supplies!B9/1000</f>
        <v>0</v>
      </c>
      <c r="G45" s="463">
        <f>PGL_Supplies!B10/1000</f>
        <v>0</v>
      </c>
      <c r="H45" s="463">
        <f>PGL_Supplies!B11/1000</f>
        <v>0</v>
      </c>
      <c r="I45" s="464">
        <f>PGL_Supplies!B12/1000</f>
        <v>0</v>
      </c>
    </row>
    <row r="46" spans="1:10" ht="18.899999999999999" customHeight="1">
      <c r="A46" s="835" t="s">
        <v>704</v>
      </c>
      <c r="B46" s="826" t="s">
        <v>696</v>
      </c>
      <c r="C46" s="826"/>
      <c r="D46" s="463">
        <f>PGL_Supplies!W7/1000</f>
        <v>0</v>
      </c>
      <c r="E46" s="463">
        <f>PGL_Supplies!W8/1000</f>
        <v>0</v>
      </c>
      <c r="F46" s="463">
        <f>PGL_Supplies!W9/1000</f>
        <v>0</v>
      </c>
      <c r="G46" s="463">
        <f>PGL_Supplies!W10/1000</f>
        <v>0</v>
      </c>
      <c r="H46" s="463">
        <f>PGL_Supplies!W11/1000</f>
        <v>0</v>
      </c>
      <c r="I46" s="464">
        <f>PGL_Supplies!W12/1000</f>
        <v>0</v>
      </c>
    </row>
    <row r="47" spans="1:10" ht="18.899999999999999" customHeight="1">
      <c r="A47" s="835"/>
      <c r="B47" s="840" t="s">
        <v>140</v>
      </c>
      <c r="C47" s="826"/>
      <c r="D47" s="463">
        <f>PGL_Supplies!C7/1000</f>
        <v>0</v>
      </c>
      <c r="E47" s="463">
        <f>PGL_Supplies!C8/1000</f>
        <v>0</v>
      </c>
      <c r="F47" s="463">
        <f>PGL_Supplies!C9/1000</f>
        <v>0</v>
      </c>
      <c r="G47" s="463">
        <f>PGL_Supplies!C10/1000</f>
        <v>0</v>
      </c>
      <c r="H47" s="463">
        <f>PGL_Supplies!C11/1000</f>
        <v>0</v>
      </c>
      <c r="I47" s="464">
        <f>PGL_Supplies!C12/1000</f>
        <v>0</v>
      </c>
    </row>
    <row r="48" spans="1:10" ht="18.899999999999999" customHeight="1">
      <c r="A48" s="835"/>
      <c r="B48" s="826" t="s">
        <v>394</v>
      </c>
      <c r="C48" s="826"/>
      <c r="D48" s="463">
        <f>PGL_Supplies!D7/1000</f>
        <v>64.8</v>
      </c>
      <c r="E48" s="463">
        <f>PGL_Supplies!D8/1000</f>
        <v>0</v>
      </c>
      <c r="F48" s="463">
        <f>PGL_Supplies!D9/1000</f>
        <v>0</v>
      </c>
      <c r="G48" s="463">
        <f>PGL_Supplies!D10/1000</f>
        <v>0</v>
      </c>
      <c r="H48" s="463">
        <f>PGL_Supplies!D11/1000</f>
        <v>0</v>
      </c>
      <c r="I48" s="464">
        <f>PGL_Supplies!D12/1000</f>
        <v>0</v>
      </c>
    </row>
    <row r="49" spans="1:9" ht="18.899999999999999" customHeight="1">
      <c r="A49" s="853"/>
      <c r="B49" s="854" t="s">
        <v>136</v>
      </c>
      <c r="C49" s="854"/>
      <c r="D49" s="465">
        <f>PGL_Supplies!F7/1000</f>
        <v>0</v>
      </c>
      <c r="E49" s="465">
        <f>PGL_Supplies!F8/1000</f>
        <v>0</v>
      </c>
      <c r="F49" s="465">
        <f>PGL_Supplies!F9/1000</f>
        <v>0</v>
      </c>
      <c r="G49" s="465">
        <f>PGL_Supplies!F10/1000</f>
        <v>0</v>
      </c>
      <c r="H49" s="465">
        <f>PGL_Supplies!F11/1000</f>
        <v>0</v>
      </c>
      <c r="I49" s="466">
        <f>PGL_Supplies!F12/1000</f>
        <v>0</v>
      </c>
    </row>
    <row r="50" spans="1:9" ht="18.899999999999999" customHeight="1" thickBot="1">
      <c r="A50" s="855" t="s">
        <v>149</v>
      </c>
      <c r="B50" s="856"/>
      <c r="C50" s="856"/>
      <c r="D50" s="473">
        <f t="shared" ref="D50:I50" si="2">SUM(D28:D49)</f>
        <v>485.18200000000002</v>
      </c>
      <c r="E50" s="473">
        <f t="shared" si="2"/>
        <v>419.89499999999998</v>
      </c>
      <c r="F50" s="473">
        <f t="shared" si="2"/>
        <v>361.125</v>
      </c>
      <c r="G50" s="473">
        <f t="shared" si="2"/>
        <v>331.125</v>
      </c>
      <c r="H50" s="473">
        <f t="shared" si="2"/>
        <v>331.125</v>
      </c>
      <c r="I50" s="1101">
        <f t="shared" si="2"/>
        <v>331.125</v>
      </c>
    </row>
    <row r="51" spans="1:9" ht="18.899999999999999" customHeight="1">
      <c r="A51" s="857" t="s">
        <v>150</v>
      </c>
      <c r="B51" s="858"/>
      <c r="C51" s="858"/>
      <c r="D51" s="474">
        <f t="shared" ref="D51:I51" si="3">IF(D50-D25&lt;0,0,D50-D25)</f>
        <v>74.116800000000012</v>
      </c>
      <c r="E51" s="474">
        <f t="shared" si="3"/>
        <v>0</v>
      </c>
      <c r="F51" s="474">
        <f t="shared" si="3"/>
        <v>25.120999999999981</v>
      </c>
      <c r="G51" s="474">
        <f t="shared" si="3"/>
        <v>29.305999999999983</v>
      </c>
      <c r="H51" s="474">
        <f t="shared" si="3"/>
        <v>39.305999999999983</v>
      </c>
      <c r="I51" s="1102">
        <f t="shared" si="3"/>
        <v>49.305999999999983</v>
      </c>
    </row>
    <row r="52" spans="1:9" ht="18.899999999999999" customHeight="1" thickBot="1">
      <c r="A52" s="859" t="s">
        <v>151</v>
      </c>
      <c r="B52" s="844"/>
      <c r="C52" s="860"/>
      <c r="D52" s="475">
        <f t="shared" ref="D52:I52" si="4">IF(D25-D50&lt;0,0,D25-D50)</f>
        <v>0</v>
      </c>
      <c r="E52" s="475">
        <f t="shared" si="4"/>
        <v>2.0000000000663931E-3</v>
      </c>
      <c r="F52" s="475">
        <f t="shared" si="4"/>
        <v>0</v>
      </c>
      <c r="G52" s="475">
        <f t="shared" si="4"/>
        <v>0</v>
      </c>
      <c r="H52" s="475">
        <f t="shared" si="4"/>
        <v>0</v>
      </c>
      <c r="I52" s="1103">
        <f t="shared" si="4"/>
        <v>0</v>
      </c>
    </row>
    <row r="53" spans="1:9" ht="18.899999999999999" customHeight="1" thickTop="1" thickBot="1">
      <c r="A53" s="1090" t="s">
        <v>718</v>
      </c>
      <c r="B53" s="1091"/>
      <c r="C53" s="1091"/>
      <c r="D53" s="1092">
        <f>PGL_Supplies!U7/1000</f>
        <v>114.94</v>
      </c>
      <c r="E53" s="1092">
        <f>PGL_Supplies!U8/1000</f>
        <v>127.611</v>
      </c>
      <c r="F53" s="1092">
        <f>PGL_Supplies!U9/1000</f>
        <v>127.611</v>
      </c>
      <c r="G53" s="1092">
        <f>PGL_Supplies!U10/1000</f>
        <v>127.611</v>
      </c>
      <c r="H53" s="1092">
        <f>PGL_Supplies!U11/1000</f>
        <v>127.611</v>
      </c>
      <c r="I53" s="1093">
        <f>PGL_Supplies!U12/1000</f>
        <v>127.611</v>
      </c>
    </row>
    <row r="54" spans="1:9" ht="18.899999999999999" customHeight="1" thickTop="1"/>
    <row r="56" spans="1:9">
      <c r="C56" s="111" t="s">
        <v>737</v>
      </c>
    </row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33"/>
  <sheetViews>
    <sheetView topLeftCell="A17" zoomScale="75" workbookViewId="0">
      <selection activeCell="A17" sqref="A17"/>
    </sheetView>
  </sheetViews>
  <sheetFormatPr defaultColWidth="8.90625" defaultRowHeight="15"/>
  <cols>
    <col min="1" max="1" width="23.1796875" style="112" customWidth="1"/>
    <col min="2" max="2" width="8.90625" style="112"/>
    <col min="3" max="3" width="17" style="112" customWidth="1"/>
    <col min="4" max="4" width="7.81640625" style="112" bestFit="1" customWidth="1"/>
    <col min="5" max="5" width="8.54296875" style="112" customWidth="1"/>
    <col min="6" max="6" width="8.6328125" style="112" customWidth="1"/>
    <col min="7" max="7" width="8.54296875" style="112" customWidth="1"/>
    <col min="8" max="9" width="8.6328125" style="112" customWidth="1"/>
    <col min="10" max="16384" width="8.90625" style="112"/>
  </cols>
  <sheetData>
    <row r="1" spans="1:10" ht="24.9" customHeight="1" thickTop="1">
      <c r="A1" s="863" t="s">
        <v>610</v>
      </c>
      <c r="B1" s="822"/>
      <c r="C1" s="822"/>
      <c r="D1" s="822"/>
      <c r="E1" s="822"/>
      <c r="F1" s="822"/>
      <c r="G1" s="822" t="s">
        <v>130</v>
      </c>
      <c r="H1" s="864" t="str">
        <f>D3</f>
        <v>MON</v>
      </c>
      <c r="I1" s="865">
        <f>D4</f>
        <v>37095</v>
      </c>
      <c r="J1" s="110"/>
    </row>
    <row r="2" spans="1:10" ht="24.9" customHeight="1">
      <c r="A2" s="825" t="s">
        <v>152</v>
      </c>
      <c r="B2" s="826"/>
      <c r="C2" s="826"/>
      <c r="D2" s="826"/>
      <c r="E2" s="826"/>
      <c r="F2" s="826"/>
      <c r="G2" s="826"/>
      <c r="H2" s="826"/>
      <c r="I2" s="827"/>
      <c r="J2" s="110"/>
    </row>
    <row r="3" spans="1:10" ht="24.9" customHeight="1" thickBot="1">
      <c r="A3" s="828"/>
      <c r="B3" s="826"/>
      <c r="C3" s="826"/>
      <c r="D3" s="829" t="str">
        <f t="shared" ref="D3:I3" si="0">CHOOSE(WEEKDAY(D4),"SUN","MON","TUE","WED","THU","FRI","SAT")</f>
        <v>MON</v>
      </c>
      <c r="E3" s="829" t="str">
        <f t="shared" si="0"/>
        <v>TUE</v>
      </c>
      <c r="F3" s="829" t="str">
        <f t="shared" si="0"/>
        <v>WED</v>
      </c>
      <c r="G3" s="829" t="str">
        <f t="shared" si="0"/>
        <v>THU</v>
      </c>
      <c r="H3" s="829" t="str">
        <f t="shared" si="0"/>
        <v>FRI</v>
      </c>
      <c r="I3" s="830" t="str">
        <f t="shared" si="0"/>
        <v>SAT</v>
      </c>
      <c r="J3" s="110"/>
    </row>
    <row r="4" spans="1:10" ht="24.9" customHeight="1" thickBot="1">
      <c r="A4" s="831" t="s">
        <v>153</v>
      </c>
      <c r="B4" s="832"/>
      <c r="C4" s="832"/>
      <c r="D4" s="833">
        <f>Weather_Input!A5</f>
        <v>37095</v>
      </c>
      <c r="E4" s="833">
        <f>Weather_Input!A6</f>
        <v>37096</v>
      </c>
      <c r="F4" s="833">
        <f>Weather_Input!A7</f>
        <v>37097</v>
      </c>
      <c r="G4" s="833">
        <f>Weather_Input!A8</f>
        <v>37098</v>
      </c>
      <c r="H4" s="833">
        <f>Weather_Input!A9</f>
        <v>37099</v>
      </c>
      <c r="I4" s="834">
        <f>Weather_Input!A10</f>
        <v>37100</v>
      </c>
      <c r="J4" s="110"/>
    </row>
    <row r="5" spans="1:10" s="111" customFormat="1" ht="24.9" customHeight="1" thickTop="1">
      <c r="A5" s="835" t="s">
        <v>132</v>
      </c>
      <c r="B5" s="826"/>
      <c r="C5" s="826" t="s">
        <v>133</v>
      </c>
      <c r="D5" s="866" t="str">
        <f>TEXT(Weather_Input!B5,"0")&amp;"/"&amp;TEXT(Weather_Input!C5,"0") &amp; "/" &amp; TEXT((Weather_Input!B5+Weather_Input!C5)/2,"0")</f>
        <v>91/70/81</v>
      </c>
      <c r="E5" s="866" t="str">
        <f>TEXT(Weather_Input!B6,"0")&amp;"/"&amp;TEXT(Weather_Input!C6,"0") &amp; "/" &amp; TEXT((Weather_Input!B6+Weather_Input!C6)/2,"0")</f>
        <v>89/66/78</v>
      </c>
      <c r="F5" s="866" t="str">
        <f>TEXT(Weather_Input!B7,"0")&amp;"/"&amp;TEXT(Weather_Input!C7,"0") &amp; "/" &amp; TEXT((Weather_Input!B7+Weather_Input!C7)/2,"0")</f>
        <v>73/60/67</v>
      </c>
      <c r="G5" s="866" t="str">
        <f>TEXT(Weather_Input!B8,"0")&amp;"/"&amp;TEXT(Weather_Input!C8,"0") &amp; "/" &amp; TEXT((Weather_Input!B8+Weather_Input!C8)/2,"0")</f>
        <v>72/58/65</v>
      </c>
      <c r="H5" s="866" t="str">
        <f>TEXT(Weather_Input!B9,"0")&amp;"/"&amp;TEXT(Weather_Input!C9,"0") &amp; "/" &amp; TEXT((Weather_Input!B9+Weather_Input!C9)/2,"0")</f>
        <v>79/60/70</v>
      </c>
      <c r="I5" s="867" t="str">
        <f>TEXT(Weather_Input!B10,"0")&amp;"/"&amp;TEXT(Weather_Input!C10,"0") &amp; "/" &amp; TEXT((Weather_Input!B10+Weather_Input!C10)/2,"0")</f>
        <v>82/65/74</v>
      </c>
      <c r="J5" s="110"/>
    </row>
    <row r="6" spans="1:10" ht="24.9" customHeight="1">
      <c r="A6" s="838" t="s">
        <v>134</v>
      </c>
      <c r="B6" s="826"/>
      <c r="C6" s="826"/>
      <c r="D6" s="836">
        <f ca="1">VLOOKUP(D4,NSG_Sendouts,CELL("Col",NSG_Deliveries!C5),FALSE)/1000</f>
        <v>33</v>
      </c>
      <c r="E6" s="836">
        <f ca="1">VLOOKUP(E4,NSG_Sendouts,CELL("Col",NSG_Deliveries!C6),FALSE)/1000</f>
        <v>34</v>
      </c>
      <c r="F6" s="836">
        <f ca="1">VLOOKUP(F4,NSG_Sendouts,CELL("Col",NSG_Deliveries!C7),FALSE)/1000</f>
        <v>34</v>
      </c>
      <c r="G6" s="836">
        <f ca="1">VLOOKUP(G4,NSG_Sendouts,CELL("Col",NSG_Deliveries!C8),FALSE)/1000</f>
        <v>34</v>
      </c>
      <c r="H6" s="836">
        <f ca="1">VLOOKUP(H4,NSG_Sendouts,CELL("Col",NSG_Deliveries!C9),FALSE)/1000</f>
        <v>32</v>
      </c>
      <c r="I6" s="841">
        <f ca="1">VLOOKUP(I4,NSG_Sendouts,CELL("Col",NSG_Deliveries!C10),FALSE)/1000</f>
        <v>29</v>
      </c>
      <c r="J6" s="111"/>
    </row>
    <row r="7" spans="1:10" ht="24.9" customHeight="1">
      <c r="A7" s="835" t="s">
        <v>138</v>
      </c>
      <c r="B7" s="826" t="s">
        <v>139</v>
      </c>
      <c r="C7" s="826" t="s">
        <v>58</v>
      </c>
      <c r="D7" s="836">
        <f>(NSG_Requirements!$K$7+NSG_Requirements!$L$7+NSG_Requirements!$M$7+NSG_Requirements!$N$7)/1000</f>
        <v>0</v>
      </c>
      <c r="E7" s="836">
        <f>(NSG_Requirements!$K$8+NSG_Requirements!$L$8+NSG_Requirements!$M$8+NSG_Requirements!$N$8)/1000</f>
        <v>0</v>
      </c>
      <c r="F7" s="836">
        <f>(NSG_Requirements!$K$9+NSG_Requirements!$L$9+NSG_Requirements!$M$9+NSG_Requirements!$N$9)/1000</f>
        <v>0</v>
      </c>
      <c r="G7" s="836">
        <f>(NSG_Requirements!$K$10+NSG_Requirements!$L$10+NSG_Requirements!$M$10+NSG_Requirements!$N$10)/1000</f>
        <v>0</v>
      </c>
      <c r="H7" s="836">
        <f>(NSG_Requirements!$K$11+NSG_Requirements!$L$11+NSG_Requirements!$M$11+NSG_Requirements!$N$11)/1000</f>
        <v>0</v>
      </c>
      <c r="I7" s="841">
        <f>(NSG_Requirements!$K$12+NSG_Requirements!$L$12+NSG_Requirements!$M$12+NSG_Requirements!$N$12)/1000</f>
        <v>0</v>
      </c>
      <c r="J7" s="111"/>
    </row>
    <row r="8" spans="1:10" ht="24.9" customHeight="1">
      <c r="A8" s="835"/>
      <c r="B8" s="826" t="s">
        <v>137</v>
      </c>
      <c r="C8" s="840" t="s">
        <v>87</v>
      </c>
      <c r="D8" s="836">
        <f>NSG_Requirements!J7/1000</f>
        <v>11.625999999999999</v>
      </c>
      <c r="E8" s="836">
        <f>NSG_Requirements!J8/1000</f>
        <v>12</v>
      </c>
      <c r="F8" s="836">
        <f>NSG_Requirements!J9/1000</f>
        <v>0</v>
      </c>
      <c r="G8" s="836">
        <f>NSG_Requirements!J10/1000</f>
        <v>0</v>
      </c>
      <c r="H8" s="836">
        <f>NSG_Requirements!J11/1000</f>
        <v>0</v>
      </c>
      <c r="I8" s="837">
        <f>NSG_Requirements!J12/1000</f>
        <v>0</v>
      </c>
      <c r="J8" s="110"/>
    </row>
    <row r="9" spans="1:10" ht="24.9" customHeight="1">
      <c r="A9" s="835"/>
      <c r="B9" s="826" t="s">
        <v>135</v>
      </c>
      <c r="C9" s="840" t="s">
        <v>87</v>
      </c>
      <c r="D9" s="836">
        <f>NSG_Requirements!H7/1000</f>
        <v>0</v>
      </c>
      <c r="E9" s="836">
        <f>NSG_Requirements!H8/1000</f>
        <v>0</v>
      </c>
      <c r="F9" s="836">
        <f>NSG_Requirements!H9/1000</f>
        <v>0</v>
      </c>
      <c r="G9" s="836">
        <f>NSG_Requirements!H10/1000</f>
        <v>0</v>
      </c>
      <c r="H9" s="836">
        <f>NSG_Requirements!H11/1000</f>
        <v>0</v>
      </c>
      <c r="I9" s="837">
        <f>NSG_Requirements!H12/1000</f>
        <v>0</v>
      </c>
      <c r="J9" s="110"/>
    </row>
    <row r="10" spans="1:10" ht="24.9" customHeight="1">
      <c r="A10" s="853" t="s">
        <v>154</v>
      </c>
      <c r="B10" s="854" t="s">
        <v>379</v>
      </c>
      <c r="C10" s="854"/>
      <c r="D10" s="868">
        <f>NSG_Requirements!B7/1000</f>
        <v>0</v>
      </c>
      <c r="E10" s="868">
        <f>NSG_Requirements!B8/1000</f>
        <v>0</v>
      </c>
      <c r="F10" s="868">
        <f>NSG_Requirements!B9/1000</f>
        <v>0</v>
      </c>
      <c r="G10" s="868">
        <f>NSG_Requirements!B10/1000</f>
        <v>0</v>
      </c>
      <c r="H10" s="868">
        <f>NSG_Requirements!B11/1000</f>
        <v>0</v>
      </c>
      <c r="I10" s="869">
        <f>NSG_Requirements!B12/1000</f>
        <v>0</v>
      </c>
      <c r="J10" s="110"/>
    </row>
    <row r="11" spans="1:10" ht="24.9" customHeight="1" thickBot="1">
      <c r="A11" s="870" t="s">
        <v>143</v>
      </c>
      <c r="B11" s="860"/>
      <c r="C11" s="860"/>
      <c r="D11" s="845">
        <f t="shared" ref="D11:I11" ca="1" si="1">SUM(D6:D10)</f>
        <v>44.625999999999998</v>
      </c>
      <c r="E11" s="845">
        <f t="shared" ca="1" si="1"/>
        <v>46</v>
      </c>
      <c r="F11" s="845">
        <f t="shared" ca="1" si="1"/>
        <v>34</v>
      </c>
      <c r="G11" s="845">
        <f t="shared" ca="1" si="1"/>
        <v>34</v>
      </c>
      <c r="H11" s="845">
        <f t="shared" ca="1" si="1"/>
        <v>32</v>
      </c>
      <c r="I11" s="846">
        <f t="shared" ca="1" si="1"/>
        <v>29</v>
      </c>
      <c r="J11" s="110"/>
    </row>
    <row r="12" spans="1:10" ht="24.9" customHeight="1" thickTop="1" thickBot="1">
      <c r="A12" s="871"/>
      <c r="B12" s="872"/>
      <c r="C12" s="872"/>
      <c r="D12" s="873"/>
      <c r="E12" s="873"/>
      <c r="F12" s="873"/>
      <c r="G12" s="873"/>
      <c r="H12" s="873"/>
      <c r="I12" s="873"/>
      <c r="J12" s="111"/>
    </row>
    <row r="13" spans="1:10" ht="24.9" customHeight="1" thickTop="1" thickBot="1">
      <c r="A13" s="874" t="s">
        <v>144</v>
      </c>
      <c r="B13" s="849"/>
      <c r="C13" s="849"/>
      <c r="D13" s="850"/>
      <c r="E13" s="850"/>
      <c r="F13" s="850"/>
      <c r="G13" s="850"/>
      <c r="H13" s="850"/>
      <c r="I13" s="851"/>
      <c r="J13" s="110"/>
    </row>
    <row r="14" spans="1:10" ht="24.9" customHeight="1" thickTop="1">
      <c r="A14" s="835" t="s">
        <v>720</v>
      </c>
      <c r="B14" s="826" t="s">
        <v>139</v>
      </c>
      <c r="C14" s="826" t="s">
        <v>155</v>
      </c>
      <c r="D14" s="836">
        <f>NSG_Supplies!G7/1000</f>
        <v>0</v>
      </c>
      <c r="E14" s="836">
        <f>NSG_Supplies!G8/1000</f>
        <v>0</v>
      </c>
      <c r="F14" s="836">
        <f>NSG_Supplies!G9/1000</f>
        <v>0</v>
      </c>
      <c r="G14" s="836">
        <f>NSG_Supplies!G10/1000</f>
        <v>0</v>
      </c>
      <c r="H14" s="836">
        <f>NSG_Supplies!G11/1000</f>
        <v>0</v>
      </c>
      <c r="I14" s="837">
        <f>NSG_Supplies!G12/1000</f>
        <v>0</v>
      </c>
      <c r="J14" s="110"/>
    </row>
    <row r="15" spans="1:10" ht="24.9" customHeight="1">
      <c r="A15" s="835"/>
      <c r="B15" s="826" t="s">
        <v>137</v>
      </c>
      <c r="C15" s="826" t="s">
        <v>146</v>
      </c>
      <c r="D15" s="836">
        <f>NSG_Supplies!K7/1000</f>
        <v>0</v>
      </c>
      <c r="E15" s="836">
        <f>NSG_Supplies!K8/1000</f>
        <v>0</v>
      </c>
      <c r="F15" s="836">
        <f>NSG_Supplies!K9/1000</f>
        <v>0</v>
      </c>
      <c r="G15" s="836">
        <f>NSG_Supplies!K10/1000</f>
        <v>0</v>
      </c>
      <c r="H15" s="836">
        <f>NSG_Supplies!K11/1000</f>
        <v>0</v>
      </c>
      <c r="I15" s="837">
        <f>NSG_Supplies!K12/1000</f>
        <v>0</v>
      </c>
      <c r="J15" s="110"/>
    </row>
    <row r="16" spans="1:10" ht="24.9" customHeight="1">
      <c r="A16" s="835"/>
      <c r="B16" s="826"/>
      <c r="C16" s="840" t="s">
        <v>788</v>
      </c>
      <c r="D16" s="836">
        <f>NSG_Supplies!E7/1000</f>
        <v>0</v>
      </c>
      <c r="E16" s="836">
        <f>NSG_Supplies!E8/1000</f>
        <v>0</v>
      </c>
      <c r="F16" s="836">
        <f>NSG_Supplies!E9/1000</f>
        <v>0</v>
      </c>
      <c r="G16" s="836">
        <f>NSG_Supplies!E10/1000</f>
        <v>0</v>
      </c>
      <c r="H16" s="836">
        <f>NSG_Supplies!E11/1000</f>
        <v>0</v>
      </c>
      <c r="I16" s="841">
        <f>NSG_Supplies!E12/1000</f>
        <v>0</v>
      </c>
      <c r="J16" s="111"/>
    </row>
    <row r="17" spans="1:13" ht="24.9" customHeight="1">
      <c r="A17" s="835"/>
      <c r="B17" s="826" t="s">
        <v>135</v>
      </c>
      <c r="C17" s="840" t="s">
        <v>789</v>
      </c>
      <c r="D17" s="836">
        <f>NSG_Supplies!F7/1000</f>
        <v>7.1230000000000002</v>
      </c>
      <c r="E17" s="836">
        <f>NSG_Supplies!F8/1000</f>
        <v>6.7149999999999999</v>
      </c>
      <c r="F17" s="836">
        <f>NSG_Supplies!F9/1000</f>
        <v>0</v>
      </c>
      <c r="G17" s="836">
        <f>NSG_Supplies!F10/1000</f>
        <v>0</v>
      </c>
      <c r="H17" s="836">
        <f>NSG_Supplies!F11/1000</f>
        <v>0</v>
      </c>
      <c r="I17" s="841">
        <f>NSG_Supplies!F12/1000</f>
        <v>0</v>
      </c>
      <c r="J17" s="111"/>
    </row>
    <row r="18" spans="1:13" ht="24.9" customHeight="1">
      <c r="A18" s="835"/>
      <c r="B18" s="826" t="s">
        <v>81</v>
      </c>
      <c r="C18" s="826" t="s">
        <v>721</v>
      </c>
      <c r="D18" s="836">
        <f>NSG_Supplies!T7/1000</f>
        <v>0</v>
      </c>
      <c r="E18" s="836">
        <f>NSG_Supplies!T8/1000</f>
        <v>0</v>
      </c>
      <c r="F18" s="836">
        <f>NSG_Supplies!T9/1000</f>
        <v>0</v>
      </c>
      <c r="G18" s="836">
        <f>NSG_Supplies!T10/1000</f>
        <v>0</v>
      </c>
      <c r="H18" s="836">
        <f>NSG_Supplies!T11/1000</f>
        <v>0</v>
      </c>
      <c r="I18" s="841">
        <f>NSG_Supplies!T12/1000</f>
        <v>0</v>
      </c>
      <c r="J18" s="111"/>
    </row>
    <row r="19" spans="1:13" ht="24.9" customHeight="1">
      <c r="A19" s="835" t="s">
        <v>156</v>
      </c>
      <c r="B19" s="826" t="s">
        <v>135</v>
      </c>
      <c r="C19" s="1094" t="s">
        <v>722</v>
      </c>
      <c r="D19" s="836">
        <f>NSG_Supplies!Q7/1000</f>
        <v>25.234999999999999</v>
      </c>
      <c r="E19" s="836">
        <f>NSG_Supplies!Q8/1000</f>
        <v>27.285</v>
      </c>
      <c r="F19" s="836">
        <f>NSG_Supplies!Q9/1000</f>
        <v>27.285</v>
      </c>
      <c r="G19" s="836">
        <f>NSG_Supplies!Q10/1000</f>
        <v>27.285</v>
      </c>
      <c r="H19" s="836">
        <f>NSG_Supplies!Q11/1000</f>
        <v>27.285</v>
      </c>
      <c r="I19" s="837">
        <f>NSG_Supplies!Q12/1000</f>
        <v>27.285</v>
      </c>
      <c r="J19" s="110"/>
    </row>
    <row r="20" spans="1:13" ht="24.9" customHeight="1">
      <c r="A20" s="835"/>
      <c r="B20" s="826" t="s">
        <v>137</v>
      </c>
      <c r="C20" s="826" t="s">
        <v>600</v>
      </c>
      <c r="D20" s="836">
        <f>NSG_Supplies!P7/1000</f>
        <v>12</v>
      </c>
      <c r="E20" s="836">
        <f>NSG_Supplies!P8/1000</f>
        <v>12</v>
      </c>
      <c r="F20" s="836">
        <f>NSG_Supplies!P9/1000</f>
        <v>12</v>
      </c>
      <c r="G20" s="836">
        <f>NSG_Supplies!P10/1000</f>
        <v>12</v>
      </c>
      <c r="H20" s="836">
        <f>NSG_Supplies!P11/1000</f>
        <v>12</v>
      </c>
      <c r="I20" s="837">
        <f>NSG_Supplies!P12/1000</f>
        <v>12</v>
      </c>
      <c r="J20" s="110"/>
    </row>
    <row r="21" spans="1:13" ht="24.9" customHeight="1" thickBot="1">
      <c r="A21" s="1240" t="s">
        <v>149</v>
      </c>
      <c r="B21" s="1241"/>
      <c r="C21" s="1241"/>
      <c r="D21" s="1242">
        <f t="shared" ref="D21:I21" si="2">SUM(D14:D20)</f>
        <v>44.357999999999997</v>
      </c>
      <c r="E21" s="1242">
        <f t="shared" si="2"/>
        <v>46</v>
      </c>
      <c r="F21" s="1242">
        <f t="shared" si="2"/>
        <v>39.284999999999997</v>
      </c>
      <c r="G21" s="1242">
        <f t="shared" si="2"/>
        <v>39.284999999999997</v>
      </c>
      <c r="H21" s="1242">
        <f t="shared" si="2"/>
        <v>39.284999999999997</v>
      </c>
      <c r="I21" s="1243">
        <f t="shared" si="2"/>
        <v>39.284999999999997</v>
      </c>
      <c r="J21" s="110"/>
      <c r="K21" s="111"/>
      <c r="L21" s="93"/>
      <c r="M21" s="111"/>
    </row>
    <row r="22" spans="1:13" ht="24.9" customHeight="1">
      <c r="A22" s="875" t="s">
        <v>150</v>
      </c>
      <c r="B22" s="876"/>
      <c r="C22" s="876"/>
      <c r="D22" s="877">
        <f t="shared" ref="D22:I22" ca="1" si="3">IF(D21-D11&lt;0,0,D21-D11)</f>
        <v>0</v>
      </c>
      <c r="E22" s="877">
        <f t="shared" ca="1" si="3"/>
        <v>0</v>
      </c>
      <c r="F22" s="877">
        <f t="shared" ca="1" si="3"/>
        <v>5.2849999999999966</v>
      </c>
      <c r="G22" s="877">
        <f t="shared" ca="1" si="3"/>
        <v>5.2849999999999966</v>
      </c>
      <c r="H22" s="877">
        <f t="shared" ca="1" si="3"/>
        <v>7.2849999999999966</v>
      </c>
      <c r="I22" s="878">
        <f t="shared" ca="1" si="3"/>
        <v>10.284999999999997</v>
      </c>
      <c r="J22" s="110"/>
      <c r="K22" s="111"/>
      <c r="L22" s="93"/>
      <c r="M22" s="111"/>
    </row>
    <row r="23" spans="1:13" ht="24.9" customHeight="1" thickBot="1">
      <c r="A23" s="879" t="s">
        <v>151</v>
      </c>
      <c r="B23" s="860"/>
      <c r="C23" s="860"/>
      <c r="D23" s="861">
        <f t="shared" ref="D23:I23" ca="1" si="4">IF(D11-D21&lt;0,0,D11-D21)</f>
        <v>0.26800000000000068</v>
      </c>
      <c r="E23" s="861">
        <f t="shared" ca="1" si="4"/>
        <v>0</v>
      </c>
      <c r="F23" s="861">
        <f t="shared" ca="1" si="4"/>
        <v>0</v>
      </c>
      <c r="G23" s="861">
        <f t="shared" ca="1" si="4"/>
        <v>0</v>
      </c>
      <c r="H23" s="861">
        <f t="shared" ca="1" si="4"/>
        <v>0</v>
      </c>
      <c r="I23" s="862">
        <f t="shared" ca="1" si="4"/>
        <v>0</v>
      </c>
      <c r="J23" s="110"/>
      <c r="K23" s="111"/>
      <c r="L23" s="111"/>
      <c r="M23" s="111"/>
    </row>
    <row r="24" spans="1:13" ht="24.9" customHeight="1" thickTop="1" thickBot="1">
      <c r="A24" s="1095" t="s">
        <v>723</v>
      </c>
      <c r="B24" s="1096"/>
      <c r="C24" s="1096"/>
      <c r="D24" s="1097">
        <f>NSG_Supplies!R7/1000</f>
        <v>13.901999999999999</v>
      </c>
      <c r="E24" s="1097">
        <f>NSG_Supplies!R8/1000</f>
        <v>15.952</v>
      </c>
      <c r="F24" s="1097">
        <f>NSG_Supplies!R9/1000</f>
        <v>15.952</v>
      </c>
      <c r="G24" s="1097">
        <f>NSG_Supplies!R10/1000</f>
        <v>15.952</v>
      </c>
      <c r="H24" s="1097">
        <f>NSG_Supplies!R11/1000</f>
        <v>15.952</v>
      </c>
      <c r="I24" s="1098">
        <f>NSG_Supplies!R12/1000</f>
        <v>15.952</v>
      </c>
    </row>
    <row r="25" spans="1:13" ht="24.9" customHeight="1" thickTop="1" thickBot="1">
      <c r="B25" s="881"/>
      <c r="C25" s="881"/>
      <c r="D25" s="881"/>
      <c r="E25" s="881"/>
      <c r="F25" s="881"/>
      <c r="G25" s="880"/>
      <c r="H25" s="880"/>
      <c r="I25" s="880"/>
    </row>
    <row r="26" spans="1:13" ht="24.9" customHeight="1" thickTop="1" thickBot="1">
      <c r="A26" s="882" t="s">
        <v>157</v>
      </c>
      <c r="B26" s="883"/>
      <c r="C26" s="883"/>
      <c r="D26" s="884">
        <f>Weather_Input!D5</f>
        <v>5.7</v>
      </c>
      <c r="E26" s="884">
        <f>Weather_Input!D6</f>
        <v>9</v>
      </c>
      <c r="F26" s="884">
        <f>Weather_Input!D7</f>
        <v>10</v>
      </c>
      <c r="G26" s="885"/>
      <c r="H26" s="880"/>
      <c r="I26" s="880"/>
    </row>
    <row r="27" spans="1:13" ht="15.6" thickTop="1">
      <c r="D27" s="112" t="s">
        <v>158</v>
      </c>
    </row>
    <row r="28" spans="1:13">
      <c r="D28" s="112" t="s">
        <v>9</v>
      </c>
    </row>
    <row r="33" spans="4:4">
      <c r="D33" s="112" t="s">
        <v>9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7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Q44"/>
  <sheetViews>
    <sheetView zoomScale="75" workbookViewId="0"/>
  </sheetViews>
  <sheetFormatPr defaultColWidth="8.90625" defaultRowHeight="15"/>
  <cols>
    <col min="1" max="1" width="23.81640625" customWidth="1"/>
    <col min="2" max="3" width="8.81640625" customWidth="1"/>
    <col min="4" max="4" width="9.81640625" customWidth="1"/>
    <col min="5" max="5" width="22.81640625" customWidth="1"/>
    <col min="6" max="8" width="8.81640625" customWidth="1"/>
    <col min="9" max="9" width="19.81640625" customWidth="1"/>
    <col min="10" max="15" width="8.81640625" customWidth="1"/>
  </cols>
  <sheetData>
    <row r="1" spans="1:17" ht="18.600000000000001" thickTop="1" thickBot="1">
      <c r="A1" s="1139" t="s">
        <v>9</v>
      </c>
      <c r="B1" s="1136" t="s">
        <v>9</v>
      </c>
      <c r="C1" s="1137" t="s">
        <v>695</v>
      </c>
      <c r="D1" s="1138"/>
      <c r="E1" s="1139" t="s">
        <v>9</v>
      </c>
      <c r="F1" s="1140" t="s">
        <v>741</v>
      </c>
      <c r="G1" s="1141" t="s">
        <v>9</v>
      </c>
      <c r="H1" s="1142"/>
      <c r="I1" s="1184" t="s">
        <v>9</v>
      </c>
      <c r="J1" s="583"/>
      <c r="K1" s="583"/>
      <c r="L1" s="584" t="s">
        <v>159</v>
      </c>
      <c r="M1" s="1215">
        <f>Weather_Input!A5</f>
        <v>37095</v>
      </c>
      <c r="N1" s="1216" t="str">
        <f>CHOOSE(WEEKDAY(M1),"SUN","MON","TUE","WED","THU","FRI","SAT")</f>
        <v>MON</v>
      </c>
      <c r="O1" s="588"/>
    </row>
    <row r="2" spans="1:17" ht="16.2" thickTop="1" thickBot="1">
      <c r="A2" s="420" t="s">
        <v>698</v>
      </c>
      <c r="B2" s="319">
        <f>PGL_Supplies!W7/1000</f>
        <v>0</v>
      </c>
      <c r="C2" s="8"/>
      <c r="D2" s="608"/>
      <c r="E2" s="563" t="s">
        <v>404</v>
      </c>
      <c r="F2" s="1117"/>
      <c r="G2" s="558" t="s">
        <v>9</v>
      </c>
      <c r="H2" s="1131" t="s">
        <v>9</v>
      </c>
      <c r="I2" s="254" t="s">
        <v>509</v>
      </c>
      <c r="J2" s="1157" t="s">
        <v>387</v>
      </c>
      <c r="K2" s="1161" t="s">
        <v>162</v>
      </c>
      <c r="L2" s="1162" t="s">
        <v>21</v>
      </c>
      <c r="M2" s="1161" t="s">
        <v>162</v>
      </c>
      <c r="N2" s="1157" t="s">
        <v>21</v>
      </c>
      <c r="O2" s="1163" t="s">
        <v>162</v>
      </c>
      <c r="Q2" s="1272"/>
    </row>
    <row r="3" spans="1:17" ht="15.6">
      <c r="A3" s="420" t="s">
        <v>736</v>
      </c>
      <c r="B3" s="1176">
        <f>PGL_Requirements!I7/1000</f>
        <v>0</v>
      </c>
      <c r="C3" s="958" t="s">
        <v>9</v>
      </c>
      <c r="D3" s="308"/>
      <c r="E3" s="563" t="s">
        <v>453</v>
      </c>
      <c r="F3" s="319">
        <f>PGL_Supplies!H7/1000</f>
        <v>27.905999999999999</v>
      </c>
      <c r="G3" s="383" t="s">
        <v>9</v>
      </c>
      <c r="H3" s="1131" t="s">
        <v>9</v>
      </c>
      <c r="I3" s="1185" t="s">
        <v>9</v>
      </c>
      <c r="J3" s="944">
        <f>Weather_Input!B5</f>
        <v>91</v>
      </c>
      <c r="K3" s="945">
        <f>Weather_Input!C5</f>
        <v>70</v>
      </c>
      <c r="L3" s="599" t="s">
        <v>9</v>
      </c>
      <c r="M3" s="264" t="s">
        <v>9</v>
      </c>
      <c r="N3" s="264"/>
      <c r="O3" s="262"/>
    </row>
    <row r="4" spans="1:17" ht="15.6" thickBot="1">
      <c r="A4" s="244" t="s">
        <v>738</v>
      </c>
      <c r="B4" s="1177">
        <v>0</v>
      </c>
      <c r="C4" s="119"/>
      <c r="D4" s="970"/>
      <c r="E4" s="532" t="s">
        <v>454</v>
      </c>
      <c r="F4" s="1210">
        <v>0</v>
      </c>
      <c r="G4" s="521" t="s">
        <v>9</v>
      </c>
      <c r="H4" s="1235"/>
      <c r="I4" t="s">
        <v>772</v>
      </c>
      <c r="J4" s="1044" t="s">
        <v>9</v>
      </c>
      <c r="K4" s="1258"/>
      <c r="L4" s="429"/>
      <c r="M4" s="1046"/>
      <c r="N4" s="429"/>
      <c r="O4" s="799"/>
    </row>
    <row r="5" spans="1:17" ht="16.2" thickBot="1">
      <c r="A5" s="1058" t="s">
        <v>3</v>
      </c>
      <c r="B5" s="319">
        <f>PGL_Supplies!X7/1000</f>
        <v>108.172</v>
      </c>
      <c r="C5" s="1047" t="s">
        <v>9</v>
      </c>
      <c r="D5" s="344"/>
      <c r="E5" s="1195" t="s">
        <v>430</v>
      </c>
      <c r="F5" s="964">
        <f>F3+F4</f>
        <v>27.905999999999999</v>
      </c>
      <c r="G5" s="561" t="s">
        <v>9</v>
      </c>
      <c r="H5" s="1224" t="s">
        <v>9</v>
      </c>
      <c r="I5" s="1186" t="s">
        <v>397</v>
      </c>
      <c r="J5" s="1087" t="s">
        <v>9</v>
      </c>
      <c r="K5" s="1259">
        <f>PGL_Deliveries!C5/1000</f>
        <v>190</v>
      </c>
      <c r="L5" s="597"/>
      <c r="M5" s="264"/>
      <c r="N5" s="597"/>
      <c r="O5" s="262"/>
    </row>
    <row r="6" spans="1:17" ht="16.2" thickBot="1">
      <c r="A6" s="554" t="s">
        <v>421</v>
      </c>
      <c r="B6" s="1050">
        <f>+B5-B3+B2-B4</f>
        <v>108.172</v>
      </c>
      <c r="C6" s="1051" t="s">
        <v>9</v>
      </c>
      <c r="D6" s="526"/>
      <c r="E6" s="631" t="s">
        <v>9</v>
      </c>
      <c r="F6" s="968" t="s">
        <v>35</v>
      </c>
      <c r="G6" s="969"/>
      <c r="H6" s="1132"/>
      <c r="I6" s="119" t="s">
        <v>717</v>
      </c>
      <c r="J6" s="1088"/>
      <c r="K6" s="1260">
        <f>PGL_Requirements!X7/1000</f>
        <v>0</v>
      </c>
      <c r="L6" s="1088"/>
      <c r="M6" s="1089"/>
      <c r="N6" s="119"/>
      <c r="O6" s="116"/>
    </row>
    <row r="7" spans="1:17" ht="16.2" thickBot="1">
      <c r="A7" s="321" t="s">
        <v>9</v>
      </c>
      <c r="B7" s="1048" t="s">
        <v>9</v>
      </c>
      <c r="C7" s="963" t="s">
        <v>66</v>
      </c>
      <c r="D7" s="1049"/>
      <c r="E7" s="420" t="s">
        <v>432</v>
      </c>
      <c r="F7" s="319">
        <f>PGL_Supplies!P7/1000</f>
        <v>0</v>
      </c>
      <c r="G7" s="376" t="s">
        <v>9</v>
      </c>
      <c r="H7" s="1125"/>
      <c r="I7" s="493"/>
      <c r="J7" s="492" t="s">
        <v>9</v>
      </c>
      <c r="K7" s="492" t="s">
        <v>9</v>
      </c>
      <c r="L7" s="493"/>
      <c r="M7" s="493"/>
      <c r="N7" s="493"/>
      <c r="O7" s="494"/>
    </row>
    <row r="8" spans="1:17">
      <c r="A8" s="420" t="s">
        <v>594</v>
      </c>
      <c r="B8" s="319">
        <f>PGL_Requirements!T7/1000</f>
        <v>0.2</v>
      </c>
      <c r="C8" s="589"/>
      <c r="D8" s="308"/>
      <c r="E8" s="420" t="s">
        <v>433</v>
      </c>
      <c r="F8" s="383">
        <f>PGL_Requirements!E7/1000</f>
        <v>4.4989999999999997</v>
      </c>
      <c r="G8" s="376" t="s">
        <v>9</v>
      </c>
      <c r="H8" s="1125"/>
      <c r="I8" s="1035" t="s">
        <v>734</v>
      </c>
      <c r="J8" s="288" t="s">
        <v>9</v>
      </c>
      <c r="K8" s="1261">
        <f>B4</f>
        <v>0</v>
      </c>
      <c r="L8" s="614"/>
      <c r="M8" s="264"/>
      <c r="N8" s="614"/>
      <c r="O8" s="262" t="s">
        <v>9</v>
      </c>
    </row>
    <row r="9" spans="1:17">
      <c r="A9" s="420" t="s">
        <v>669</v>
      </c>
      <c r="B9" s="319">
        <f>PGL_Supplies!Q7/1000</f>
        <v>0</v>
      </c>
      <c r="C9" s="308"/>
      <c r="D9" s="308"/>
      <c r="E9" s="420" t="s">
        <v>434</v>
      </c>
      <c r="F9" s="319">
        <f>PGL_Supplies!F7/1000</f>
        <v>0</v>
      </c>
      <c r="G9" s="319"/>
      <c r="H9" s="1125"/>
      <c r="I9" s="119" t="s">
        <v>695</v>
      </c>
      <c r="J9" s="1044"/>
      <c r="K9" s="1262">
        <f>+B6</f>
        <v>108.172</v>
      </c>
      <c r="L9" s="1044"/>
      <c r="M9" s="1046"/>
      <c r="N9" s="429"/>
      <c r="O9" s="280" t="s">
        <v>9</v>
      </c>
    </row>
    <row r="10" spans="1:17" ht="15.6" thickBot="1">
      <c r="A10" s="630" t="s">
        <v>653</v>
      </c>
      <c r="B10" s="319">
        <f>PGL_Supplies!Y7/1000</f>
        <v>0.2</v>
      </c>
      <c r="C10" s="119"/>
      <c r="D10" s="1043"/>
      <c r="E10" s="420" t="s">
        <v>761</v>
      </c>
      <c r="F10" s="972">
        <f>PGL_Supplies!AC7/1000</f>
        <v>4.4989999999999997</v>
      </c>
      <c r="G10" s="522"/>
      <c r="H10" s="1126"/>
      <c r="I10" s="1187" t="s">
        <v>754</v>
      </c>
      <c r="J10" s="277" t="s">
        <v>9</v>
      </c>
      <c r="K10" s="1261">
        <f>B11</f>
        <v>0</v>
      </c>
      <c r="L10" s="597"/>
      <c r="M10" s="609" t="s">
        <v>9</v>
      </c>
      <c r="N10" s="597"/>
      <c r="O10" s="280" t="s">
        <v>9</v>
      </c>
    </row>
    <row r="11" spans="1:17" ht="16.2" thickBot="1">
      <c r="A11" s="554" t="s">
        <v>421</v>
      </c>
      <c r="B11" s="561">
        <f>B10+B9-B8</f>
        <v>0</v>
      </c>
      <c r="C11" s="526"/>
      <c r="D11" s="526"/>
      <c r="E11" s="786" t="s">
        <v>533</v>
      </c>
      <c r="F11" s="973">
        <f>+F10+F9-F8+F7</f>
        <v>0</v>
      </c>
      <c r="G11" s="964" t="s">
        <v>9</v>
      </c>
      <c r="H11" s="527"/>
      <c r="I11" s="1187" t="s">
        <v>58</v>
      </c>
      <c r="J11" s="277" t="s">
        <v>9</v>
      </c>
      <c r="K11" s="1261">
        <f>B19</f>
        <v>-34.781999999999996</v>
      </c>
      <c r="L11" s="597"/>
      <c r="M11" s="264" t="s">
        <v>9</v>
      </c>
      <c r="N11" s="597"/>
      <c r="O11" s="262"/>
    </row>
    <row r="12" spans="1:17" ht="16.2" thickBot="1">
      <c r="A12" s="550" t="s">
        <v>9</v>
      </c>
      <c r="B12" s="555" t="s">
        <v>9</v>
      </c>
      <c r="C12" s="963" t="s">
        <v>58</v>
      </c>
      <c r="D12" s="553"/>
      <c r="E12" s="1179" t="s">
        <v>9</v>
      </c>
      <c r="F12" s="1178" t="s">
        <v>773</v>
      </c>
      <c r="G12" s="354"/>
      <c r="H12" s="1130"/>
      <c r="I12" s="1187" t="s">
        <v>755</v>
      </c>
      <c r="J12" s="277" t="s">
        <v>9</v>
      </c>
      <c r="K12" s="1261">
        <f>B28</f>
        <v>0</v>
      </c>
      <c r="L12" s="597"/>
      <c r="M12" s="264" t="s">
        <v>9</v>
      </c>
      <c r="N12" s="597"/>
      <c r="O12" s="262"/>
    </row>
    <row r="13" spans="1:17">
      <c r="A13" s="420" t="s">
        <v>70</v>
      </c>
      <c r="B13" s="319">
        <f>PGL_Requirements!O7/1000</f>
        <v>49.08</v>
      </c>
      <c r="C13" s="308"/>
      <c r="D13" s="544"/>
      <c r="E13" s="576" t="s">
        <v>462</v>
      </c>
      <c r="F13" s="1117" t="s">
        <v>9</v>
      </c>
      <c r="G13" s="569" t="s">
        <v>9</v>
      </c>
      <c r="H13" s="1133" t="s">
        <v>9</v>
      </c>
      <c r="I13" s="1187" t="s">
        <v>756</v>
      </c>
      <c r="J13" s="281" t="s">
        <v>9</v>
      </c>
      <c r="K13" s="1261">
        <f>B34</f>
        <v>267.68</v>
      </c>
      <c r="L13" s="597"/>
      <c r="M13" s="264" t="s">
        <v>9</v>
      </c>
      <c r="N13" s="597"/>
      <c r="O13" s="262"/>
    </row>
    <row r="14" spans="1:17">
      <c r="A14" s="420" t="s">
        <v>426</v>
      </c>
      <c r="B14" s="319">
        <f>PGL_Supplies!L7/1000</f>
        <v>0</v>
      </c>
      <c r="C14" s="308"/>
      <c r="D14" s="544"/>
      <c r="E14" s="356" t="s">
        <v>463</v>
      </c>
      <c r="F14" s="308"/>
      <c r="G14" s="535"/>
      <c r="H14" s="1134"/>
      <c r="I14" s="1187" t="s">
        <v>400</v>
      </c>
      <c r="J14" s="277" t="s">
        <v>9</v>
      </c>
      <c r="K14" s="1263">
        <f>F5</f>
        <v>27.905999999999999</v>
      </c>
      <c r="L14" s="597"/>
      <c r="M14" s="264" t="s">
        <v>9</v>
      </c>
      <c r="N14" s="597"/>
      <c r="O14" s="262"/>
    </row>
    <row r="15" spans="1:17" ht="16.2" thickBot="1">
      <c r="A15" s="420" t="s">
        <v>427</v>
      </c>
      <c r="B15" s="319">
        <f>SUM(PGL_Requirements!B7/1000)</f>
        <v>0</v>
      </c>
      <c r="C15" s="308"/>
      <c r="D15" s="1125"/>
      <c r="E15" s="1181" t="s">
        <v>654</v>
      </c>
      <c r="F15" s="971"/>
      <c r="G15" s="1088"/>
      <c r="H15" s="1148"/>
      <c r="I15" s="1187" t="s">
        <v>757</v>
      </c>
      <c r="J15" s="277" t="s">
        <v>158</v>
      </c>
      <c r="K15" s="1261">
        <f>F11</f>
        <v>0</v>
      </c>
      <c r="L15" s="597"/>
      <c r="M15" s="264" t="s">
        <v>9</v>
      </c>
      <c r="N15" s="597"/>
      <c r="O15" s="262"/>
    </row>
    <row r="16" spans="1:17" ht="16.2" thickBot="1">
      <c r="A16" s="420" t="s">
        <v>428</v>
      </c>
      <c r="B16" s="319">
        <f>PGL_Supplies!G7/1000</f>
        <v>2.508</v>
      </c>
      <c r="C16" s="308"/>
      <c r="D16" s="1125"/>
      <c r="E16" s="1182" t="s">
        <v>9</v>
      </c>
      <c r="F16" s="1143" t="s">
        <v>455</v>
      </c>
      <c r="G16" s="1225"/>
      <c r="H16" s="1183"/>
      <c r="I16" s="1187" t="s">
        <v>534</v>
      </c>
      <c r="J16" s="277" t="s">
        <v>158</v>
      </c>
      <c r="K16" s="1263">
        <f>PGL_Supplies!B7/1000</f>
        <v>41.36</v>
      </c>
      <c r="L16" s="597"/>
      <c r="M16" s="264" t="s">
        <v>9</v>
      </c>
      <c r="N16" s="597"/>
      <c r="O16" s="262"/>
    </row>
    <row r="17" spans="1:15" ht="15" customHeight="1" thickBot="1">
      <c r="A17" s="365" t="s">
        <v>691</v>
      </c>
      <c r="B17" s="319">
        <f>PGL_Requirements!Q7/1000</f>
        <v>0.21</v>
      </c>
      <c r="C17" s="308"/>
      <c r="D17" s="1125"/>
      <c r="E17" s="537" t="s">
        <v>456</v>
      </c>
      <c r="F17" s="557">
        <f>+PGL_Supplies!J7/1000</f>
        <v>0</v>
      </c>
      <c r="G17" s="1208" t="s">
        <v>9</v>
      </c>
      <c r="H17" s="1135" t="s">
        <v>9</v>
      </c>
      <c r="I17" s="1180" t="s">
        <v>535</v>
      </c>
      <c r="J17" s="302" t="s">
        <v>9</v>
      </c>
      <c r="K17" s="1264">
        <f>-PGL_Requirements!F7/1000</f>
        <v>0</v>
      </c>
      <c r="L17" s="597"/>
      <c r="M17" s="264"/>
      <c r="N17" s="597"/>
      <c r="O17" s="262"/>
    </row>
    <row r="18" spans="1:15" ht="16.2" thickBot="1">
      <c r="A18" s="420" t="s">
        <v>692</v>
      </c>
      <c r="B18" s="319">
        <f>PGL_Requirements!P7/1000</f>
        <v>0.73619999999999997</v>
      </c>
      <c r="C18" s="344"/>
      <c r="D18" s="1126"/>
      <c r="E18" s="631" t="s">
        <v>9</v>
      </c>
      <c r="F18" s="1143" t="s">
        <v>742</v>
      </c>
      <c r="G18" s="969"/>
      <c r="H18" s="1132"/>
      <c r="I18" t="s">
        <v>771</v>
      </c>
      <c r="J18" s="1044"/>
      <c r="K18" s="1265">
        <f>-F19</f>
        <v>-103.696</v>
      </c>
      <c r="L18" s="1044"/>
      <c r="M18" s="221"/>
      <c r="N18" s="1044"/>
      <c r="O18" s="799"/>
    </row>
    <row r="19" spans="1:15" ht="16.2" thickBot="1">
      <c r="A19" s="513" t="s">
        <v>430</v>
      </c>
      <c r="B19" s="1206">
        <f>-B13+B14+B16-B17-B15+B20+B21</f>
        <v>-34.781999999999996</v>
      </c>
      <c r="C19" s="515"/>
      <c r="D19" s="527"/>
      <c r="E19" s="1144" t="s">
        <v>743</v>
      </c>
      <c r="F19" s="1209">
        <f>PGL_Requirements!J7/1000</f>
        <v>103.696</v>
      </c>
      <c r="G19" s="1033" t="s">
        <v>9</v>
      </c>
      <c r="H19" s="1145" t="s">
        <v>9</v>
      </c>
      <c r="I19" t="s">
        <v>536</v>
      </c>
      <c r="J19" s="1212"/>
      <c r="K19" s="1266">
        <f>-F24</f>
        <v>-62.643999999999998</v>
      </c>
      <c r="L19" s="1212"/>
      <c r="M19" s="157"/>
      <c r="N19" s="1212"/>
      <c r="O19" s="1211"/>
    </row>
    <row r="20" spans="1:15" ht="16.2" thickBot="1">
      <c r="A20" s="327" t="s">
        <v>204</v>
      </c>
      <c r="B20" s="319">
        <v>12</v>
      </c>
      <c r="C20" s="518"/>
      <c r="D20" s="1127"/>
      <c r="E20" s="119"/>
      <c r="F20" s="119"/>
      <c r="G20" s="119"/>
      <c r="H20" s="1156"/>
      <c r="I20" s="1188" t="s">
        <v>654</v>
      </c>
      <c r="J20" s="612" t="s">
        <v>9</v>
      </c>
      <c r="K20" s="1267">
        <f>SUM(K8:K19)</f>
        <v>243.99599999999998</v>
      </c>
      <c r="L20" s="616" t="s">
        <v>9</v>
      </c>
      <c r="M20" s="506" t="s">
        <v>9</v>
      </c>
      <c r="N20" s="616" t="s">
        <v>9</v>
      </c>
      <c r="O20" s="617"/>
    </row>
    <row r="21" spans="1:15" ht="16.2" thickBot="1">
      <c r="A21" s="420" t="s">
        <v>202</v>
      </c>
      <c r="B21" s="1121">
        <v>0</v>
      </c>
      <c r="C21" s="545"/>
      <c r="D21" s="1128"/>
      <c r="E21" s="1146" t="s">
        <v>744</v>
      </c>
      <c r="F21" s="1177">
        <v>0</v>
      </c>
      <c r="G21" s="1045"/>
      <c r="H21" s="431"/>
      <c r="I21" s="492" t="s">
        <v>36</v>
      </c>
      <c r="J21" s="500" t="s">
        <v>9</v>
      </c>
      <c r="K21" s="947"/>
      <c r="L21" s="502"/>
      <c r="M21" s="502" t="s">
        <v>753</v>
      </c>
      <c r="N21" s="502"/>
      <c r="O21" s="948"/>
    </row>
    <row r="22" spans="1:15" ht="15.6" thickBot="1">
      <c r="A22" s="1122" t="s">
        <v>735</v>
      </c>
      <c r="B22" s="1109">
        <f>SUM(B4)</f>
        <v>0</v>
      </c>
      <c r="C22" s="1123"/>
      <c r="D22" s="1124"/>
      <c r="E22" s="1146" t="s">
        <v>745</v>
      </c>
      <c r="F22" s="1177">
        <v>0</v>
      </c>
      <c r="G22" s="1045"/>
      <c r="H22" s="431"/>
      <c r="I22" s="1187" t="s">
        <v>592</v>
      </c>
      <c r="J22" s="277" t="s">
        <v>9</v>
      </c>
      <c r="K22" s="1268">
        <f>-PGL_Supplies!I7/1000</f>
        <v>0</v>
      </c>
      <c r="L22" s="261"/>
      <c r="M22" s="264"/>
      <c r="N22" s="261"/>
      <c r="O22" s="255"/>
    </row>
    <row r="23" spans="1:15" ht="18" customHeight="1" thickBot="1">
      <c r="A23" s="550" t="s">
        <v>9</v>
      </c>
      <c r="B23" s="551" t="s">
        <v>9</v>
      </c>
      <c r="C23" s="1226" t="s">
        <v>67</v>
      </c>
      <c r="D23" s="1132"/>
      <c r="E23" s="1147" t="s">
        <v>746</v>
      </c>
      <c r="F23" s="1197">
        <v>0</v>
      </c>
      <c r="G23" s="971"/>
      <c r="H23" s="1148"/>
      <c r="I23" s="1187" t="s">
        <v>403</v>
      </c>
      <c r="J23" s="277" t="s">
        <v>9</v>
      </c>
      <c r="K23" s="1261">
        <f>K5+K6-K20</f>
        <v>-53.995999999999981</v>
      </c>
      <c r="L23" s="261"/>
      <c r="M23" s="609" t="s">
        <v>9</v>
      </c>
      <c r="N23" s="261"/>
      <c r="O23" s="291"/>
    </row>
    <row r="24" spans="1:15" ht="16.2" thickBot="1">
      <c r="A24" s="420" t="s">
        <v>424</v>
      </c>
      <c r="B24" s="319">
        <f>PGL_Supplies!C7/1000</f>
        <v>0</v>
      </c>
      <c r="C24" s="347"/>
      <c r="D24" s="1125"/>
      <c r="E24" s="546" t="s">
        <v>747</v>
      </c>
      <c r="F24" s="1209">
        <f>PGL_Requirements!G7/1000*0.5</f>
        <v>62.643999999999998</v>
      </c>
      <c r="G24" s="1033"/>
      <c r="H24" s="1016"/>
      <c r="I24" s="1189" t="s">
        <v>404</v>
      </c>
      <c r="J24" s="277" t="s">
        <v>9</v>
      </c>
      <c r="K24" s="1261"/>
      <c r="L24" s="292" t="s">
        <v>9</v>
      </c>
      <c r="M24" s="949"/>
      <c r="N24" s="292" t="s">
        <v>9</v>
      </c>
      <c r="O24" s="291"/>
    </row>
    <row r="25" spans="1:15" ht="16.2" thickBot="1">
      <c r="A25" s="420" t="s">
        <v>739</v>
      </c>
      <c r="B25" s="966">
        <f>PGL_Supplies!C7/1000</f>
        <v>0</v>
      </c>
      <c r="C25" s="1205"/>
      <c r="D25" s="1125"/>
      <c r="E25" s="1149" t="s">
        <v>748</v>
      </c>
      <c r="F25" s="1198"/>
      <c r="G25" s="1150"/>
      <c r="H25" s="1151"/>
      <c r="I25" s="1187" t="s">
        <v>405</v>
      </c>
      <c r="J25" s="950" t="s">
        <v>9</v>
      </c>
      <c r="K25" s="1269">
        <f>SUM(B18+B20+B21)</f>
        <v>12.7362</v>
      </c>
      <c r="L25" s="951"/>
      <c r="M25" s="1223"/>
      <c r="N25" s="952" t="s">
        <v>9</v>
      </c>
      <c r="O25" s="255"/>
    </row>
    <row r="26" spans="1:15" ht="16.8" thickTop="1" thickBot="1">
      <c r="A26" s="420" t="s">
        <v>104</v>
      </c>
      <c r="B26" s="966">
        <f>PGL_Supplies!Z7/1000</f>
        <v>0</v>
      </c>
      <c r="C26" s="308"/>
      <c r="D26" s="1125"/>
      <c r="E26" s="119"/>
      <c r="F26" s="1062"/>
      <c r="G26" s="119"/>
      <c r="H26" s="158"/>
      <c r="I26" s="1190" t="s">
        <v>406</v>
      </c>
      <c r="J26" s="953" t="s">
        <v>9</v>
      </c>
      <c r="K26" s="1270">
        <f>SUM(K23:K25)</f>
        <v>-41.259799999999984</v>
      </c>
      <c r="L26" s="953" t="s">
        <v>9</v>
      </c>
      <c r="M26" s="609"/>
      <c r="N26" s="954" t="s">
        <v>9</v>
      </c>
      <c r="O26" s="955" t="s">
        <v>9</v>
      </c>
    </row>
    <row r="27" spans="1:15" ht="15.75" customHeight="1" thickTop="1" thickBot="1">
      <c r="A27" s="420" t="s">
        <v>740</v>
      </c>
      <c r="B27" s="319">
        <f>PGL_Supplies!R7/1000</f>
        <v>0</v>
      </c>
      <c r="C27" s="347"/>
      <c r="D27" s="1125"/>
      <c r="E27" s="1144" t="s">
        <v>749</v>
      </c>
      <c r="F27" s="1196"/>
      <c r="G27" s="1033"/>
      <c r="H27" s="1145"/>
      <c r="I27" s="1191" t="s">
        <v>686</v>
      </c>
      <c r="J27" s="956"/>
      <c r="K27" s="1268">
        <f>SUM(-PGL_Supplies!L7/1000)</f>
        <v>0</v>
      </c>
      <c r="L27" s="1036"/>
      <c r="M27" s="1037"/>
      <c r="N27" s="509"/>
      <c r="O27" s="959"/>
    </row>
    <row r="28" spans="1:15" ht="16.2" thickBot="1">
      <c r="A28" s="554" t="s">
        <v>421</v>
      </c>
      <c r="B28" s="964">
        <f>-B24+B25+B26+B27</f>
        <v>0</v>
      </c>
      <c r="C28" s="965"/>
      <c r="D28" s="527"/>
      <c r="E28" s="119"/>
      <c r="F28" s="1062"/>
      <c r="G28" s="119"/>
      <c r="H28" s="158"/>
      <c r="I28" s="1187" t="s">
        <v>414</v>
      </c>
      <c r="J28" s="960"/>
      <c r="K28" s="1264">
        <f>PGL_Requirements!N7/1000</f>
        <v>0</v>
      </c>
      <c r="L28" s="302"/>
      <c r="M28" s="946" t="s">
        <v>9</v>
      </c>
      <c r="N28" s="509"/>
      <c r="O28" s="957" t="s">
        <v>9</v>
      </c>
    </row>
    <row r="29" spans="1:15" ht="16.2" thickBot="1">
      <c r="A29" s="353" t="s">
        <v>9</v>
      </c>
      <c r="B29" s="1221" t="s">
        <v>399</v>
      </c>
      <c r="C29" s="354"/>
      <c r="D29" s="355"/>
      <c r="E29" s="1152" t="s">
        <v>447</v>
      </c>
      <c r="F29" s="1197"/>
      <c r="G29" s="971"/>
      <c r="H29" s="1153"/>
      <c r="I29" s="1187" t="s">
        <v>415</v>
      </c>
      <c r="J29" s="961"/>
      <c r="K29" s="1271">
        <f>-PGL_Supplies!K7/1000</f>
        <v>-12.505000000000001</v>
      </c>
      <c r="L29" s="302"/>
      <c r="M29" s="958" t="s">
        <v>9</v>
      </c>
      <c r="N29" s="509"/>
      <c r="O29" s="962" t="s">
        <v>9</v>
      </c>
    </row>
    <row r="30" spans="1:15" ht="15.6" thickBot="1">
      <c r="A30" s="365" t="s">
        <v>458</v>
      </c>
      <c r="B30" s="383">
        <f>PGL_Requirements!D7/1000</f>
        <v>0</v>
      </c>
      <c r="C30" s="535"/>
      <c r="D30" s="383" t="s">
        <v>9</v>
      </c>
      <c r="E30" s="1155" t="s">
        <v>750</v>
      </c>
      <c r="F30" s="1177"/>
      <c r="G30" s="1045"/>
      <c r="H30" s="1129"/>
      <c r="I30" s="1192" t="s">
        <v>183</v>
      </c>
      <c r="J30" s="1158"/>
      <c r="K30" s="1260">
        <f>-PGL_Supplies!AB7/1000</f>
        <v>-20.352</v>
      </c>
      <c r="L30" s="1159"/>
      <c r="M30" s="1061">
        <f>-PGL_Supplies!AB7/1000</f>
        <v>-20.352</v>
      </c>
      <c r="N30" s="1160"/>
      <c r="O30" s="1220">
        <f>-PGL_Supplies!AB7/1000</f>
        <v>-20.352</v>
      </c>
    </row>
    <row r="31" spans="1:15" ht="16.2" thickBot="1">
      <c r="A31" s="365" t="s">
        <v>459</v>
      </c>
      <c r="B31" s="966">
        <f>PGL_Supplies!D7/1000</f>
        <v>64.8</v>
      </c>
      <c r="C31" s="966" t="s">
        <v>9</v>
      </c>
      <c r="D31" s="967" t="s">
        <v>9</v>
      </c>
      <c r="E31" s="157" t="s">
        <v>751</v>
      </c>
      <c r="F31" s="1199"/>
      <c r="G31" s="1043"/>
      <c r="H31" s="1154"/>
      <c r="I31" s="324" t="s">
        <v>188</v>
      </c>
      <c r="J31" s="323"/>
      <c r="K31" s="1166"/>
      <c r="L31" s="1167"/>
      <c r="M31" s="326"/>
      <c r="N31" s="326"/>
      <c r="O31" s="326"/>
    </row>
    <row r="32" spans="1:15" ht="16.2" thickBot="1">
      <c r="A32" s="420" t="s">
        <v>104</v>
      </c>
      <c r="B32" s="966">
        <f>PGL_Supplies!AA7/1000+NSG_Supplies!M7/1000</f>
        <v>192.88</v>
      </c>
      <c r="C32" s="966" t="s">
        <v>9</v>
      </c>
      <c r="D32" s="967" t="s">
        <v>9</v>
      </c>
      <c r="E32" s="546" t="s">
        <v>752</v>
      </c>
      <c r="F32" s="1200"/>
      <c r="G32" s="425"/>
      <c r="H32" s="1016"/>
      <c r="I32" s="1191" t="s">
        <v>438</v>
      </c>
      <c r="J32" s="518"/>
      <c r="K32" s="1227"/>
      <c r="L32" s="1207" t="s">
        <v>758</v>
      </c>
      <c r="M32" s="119"/>
      <c r="N32" s="1234"/>
      <c r="O32" s="1232"/>
    </row>
    <row r="33" spans="1:15" ht="15.6" thickBot="1">
      <c r="A33" s="1116" t="s">
        <v>587</v>
      </c>
      <c r="B33" s="966">
        <f>PGL_Supplies!S7/1000</f>
        <v>20</v>
      </c>
      <c r="C33" s="966" t="s">
        <v>9</v>
      </c>
      <c r="D33" s="970"/>
      <c r="E33" s="119"/>
      <c r="F33" s="119"/>
      <c r="G33" s="119"/>
      <c r="H33" s="158"/>
      <c r="I33" s="1193" t="s">
        <v>439</v>
      </c>
      <c r="J33" s="1231"/>
      <c r="K33" s="1228"/>
      <c r="L33" s="1168" t="s">
        <v>447</v>
      </c>
      <c r="M33" s="1046"/>
      <c r="N33" s="1044"/>
      <c r="O33" s="799"/>
    </row>
    <row r="34" spans="1:15" ht="16.2" thickBot="1">
      <c r="A34" s="1171" t="s">
        <v>650</v>
      </c>
      <c r="B34" s="1196">
        <f>-B30+B31+B32+B33*0.5</f>
        <v>267.68</v>
      </c>
      <c r="C34" s="1033"/>
      <c r="D34" s="1018" t="s">
        <v>9</v>
      </c>
      <c r="E34" s="1247" t="s">
        <v>760</v>
      </c>
      <c r="F34" s="119"/>
      <c r="G34" s="119"/>
      <c r="H34" s="158"/>
      <c r="I34" s="1194" t="s">
        <v>440</v>
      </c>
      <c r="J34" s="544"/>
      <c r="K34" s="1229"/>
      <c r="L34" s="1168" t="s">
        <v>448</v>
      </c>
      <c r="M34" s="1046"/>
      <c r="N34" s="1044"/>
      <c r="O34" s="799"/>
    </row>
    <row r="35" spans="1:15">
      <c r="A35" s="1111" t="s">
        <v>768</v>
      </c>
      <c r="B35" s="1021"/>
      <c r="C35" s="1021"/>
      <c r="D35" s="1019" t="s">
        <v>9</v>
      </c>
      <c r="E35" s="1247" t="s">
        <v>807</v>
      </c>
      <c r="F35" s="119"/>
      <c r="G35" s="119"/>
      <c r="H35" s="158"/>
      <c r="I35" s="1194" t="s">
        <v>441</v>
      </c>
      <c r="J35" s="544"/>
      <c r="K35" s="1228"/>
      <c r="L35" s="1169" t="s">
        <v>449</v>
      </c>
      <c r="M35" s="1046"/>
      <c r="N35" s="1044"/>
      <c r="O35" s="799"/>
    </row>
    <row r="36" spans="1:15">
      <c r="A36" s="1112" t="s">
        <v>769</v>
      </c>
      <c r="B36" s="319">
        <f>B34-B35-B37</f>
        <v>205.036</v>
      </c>
      <c r="C36" s="1022" t="s">
        <v>9</v>
      </c>
      <c r="D36" s="1020" t="s">
        <v>9</v>
      </c>
      <c r="E36" s="1247" t="s">
        <v>759</v>
      </c>
      <c r="F36" s="119"/>
      <c r="G36" s="119"/>
      <c r="H36" s="158"/>
      <c r="I36" s="1194" t="s">
        <v>442</v>
      </c>
      <c r="J36" s="544"/>
      <c r="K36" s="1228"/>
      <c r="L36" s="1169" t="s">
        <v>381</v>
      </c>
      <c r="M36" s="1046"/>
      <c r="N36" s="1044"/>
      <c r="O36" s="799"/>
    </row>
    <row r="37" spans="1:15">
      <c r="A37" s="1113" t="s">
        <v>770</v>
      </c>
      <c r="B37" s="1218">
        <f>F24</f>
        <v>62.643999999999998</v>
      </c>
      <c r="C37" s="1044"/>
      <c r="D37" s="1105" t="s">
        <v>9</v>
      </c>
      <c r="E37" s="119"/>
      <c r="F37" s="119"/>
      <c r="G37" s="119"/>
      <c r="H37" s="119"/>
      <c r="I37" s="1217" t="s">
        <v>443</v>
      </c>
      <c r="J37" s="544"/>
      <c r="K37" s="1228"/>
      <c r="L37" s="1170" t="s">
        <v>450</v>
      </c>
      <c r="M37" s="1046"/>
      <c r="N37" s="1044"/>
      <c r="O37" s="799"/>
    </row>
    <row r="38" spans="1:15">
      <c r="A38" s="1245" t="s">
        <v>806</v>
      </c>
      <c r="B38" s="1177">
        <f>PGL_Requirements!J7/1000</f>
        <v>103.696</v>
      </c>
      <c r="C38" s="1045"/>
      <c r="D38" s="970"/>
      <c r="E38" s="119"/>
      <c r="F38" s="119"/>
      <c r="G38" s="119"/>
      <c r="H38" s="119"/>
      <c r="I38" s="1213" t="s">
        <v>444</v>
      </c>
      <c r="J38" s="544"/>
      <c r="K38" s="1228"/>
      <c r="L38" s="589" t="s">
        <v>451</v>
      </c>
      <c r="M38" s="119"/>
      <c r="N38" s="1249"/>
      <c r="O38" s="1250"/>
    </row>
    <row r="39" spans="1:15" ht="16.2" thickBot="1">
      <c r="A39" s="1118" t="s">
        <v>2</v>
      </c>
      <c r="B39" s="1219">
        <f>B35+B36+B37+B38</f>
        <v>371.37599999999998</v>
      </c>
      <c r="C39" s="1119"/>
      <c r="D39" s="1120" t="s">
        <v>9</v>
      </c>
      <c r="E39" s="119"/>
      <c r="F39" s="119"/>
      <c r="G39" s="119"/>
      <c r="H39" s="119"/>
      <c r="I39" s="1214" t="s">
        <v>445</v>
      </c>
      <c r="J39" s="579"/>
      <c r="K39" s="1230"/>
      <c r="L39" s="1251" t="s">
        <v>808</v>
      </c>
      <c r="M39" s="1089"/>
      <c r="N39" s="1252"/>
      <c r="O39" s="1233"/>
    </row>
    <row r="40" spans="1:15" ht="16.8" thickTop="1" thickBot="1">
      <c r="A40" s="1246" t="s">
        <v>9</v>
      </c>
      <c r="B40" s="433"/>
      <c r="C40" s="433"/>
      <c r="D40" s="433"/>
      <c r="E40" s="117"/>
      <c r="F40" s="117"/>
      <c r="G40" s="117"/>
      <c r="H40" s="117"/>
      <c r="I40" s="117"/>
      <c r="J40" s="975" t="s">
        <v>9</v>
      </c>
      <c r="K40" s="1172"/>
      <c r="L40" s="1248" t="s">
        <v>210</v>
      </c>
      <c r="M40" s="1253"/>
      <c r="N40" s="117" t="s">
        <v>9</v>
      </c>
      <c r="O40" s="1173"/>
    </row>
    <row r="41" spans="1:15" ht="15.6" thickTop="1">
      <c r="A41" s="778"/>
      <c r="B41" s="778"/>
      <c r="C41" s="778"/>
      <c r="D41" s="778"/>
      <c r="E41" s="778"/>
      <c r="F41" s="778"/>
      <c r="G41" s="778"/>
      <c r="H41" s="778"/>
      <c r="I41" s="778"/>
      <c r="J41" s="1174"/>
      <c r="K41" s="1174"/>
      <c r="L41" s="1175"/>
      <c r="M41" s="778"/>
      <c r="N41" s="778"/>
      <c r="O41" s="778"/>
    </row>
    <row r="42" spans="1:15">
      <c r="A42" s="1114"/>
      <c r="B42" s="119"/>
      <c r="C42" s="119"/>
      <c r="D42" s="1115"/>
      <c r="I42" s="119"/>
      <c r="J42" s="1164"/>
      <c r="K42" s="589"/>
      <c r="L42" s="1165"/>
    </row>
    <row r="43" spans="1:15">
      <c r="I43" s="119"/>
      <c r="J43" s="1164"/>
      <c r="K43" s="589"/>
      <c r="L43" s="1165"/>
    </row>
    <row r="44" spans="1:15">
      <c r="I44" s="119"/>
      <c r="J44" s="8"/>
      <c r="K44" s="8"/>
      <c r="L44" s="1165"/>
    </row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landscape" horizontalDpi="4294967292" r:id="rId2"/>
  <headerFooter alignWithMargins="0">
    <oddFooter>&amp;C&amp;10Printed: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4"/>
  <sheetViews>
    <sheetView zoomScale="75" workbookViewId="0"/>
  </sheetViews>
  <sheetFormatPr defaultRowHeight="15"/>
  <cols>
    <col min="1" max="1" width="23.54296875" bestFit="1" customWidth="1"/>
    <col min="2" max="2" width="10.81640625" customWidth="1"/>
    <col min="3" max="3" width="10.6328125" customWidth="1"/>
    <col min="4" max="4" width="10.81640625" customWidth="1"/>
    <col min="5" max="5" width="10.6328125" customWidth="1"/>
    <col min="6" max="9" width="10.81640625" customWidth="1"/>
  </cols>
  <sheetData>
    <row r="1" spans="1:9" ht="21" thickTop="1">
      <c r="A1" s="1034" t="s">
        <v>9</v>
      </c>
      <c r="B1" s="632"/>
      <c r="C1" s="632" t="s">
        <v>9</v>
      </c>
      <c r="D1" s="633"/>
      <c r="E1" s="584" t="s">
        <v>159</v>
      </c>
      <c r="F1" s="584" t="str">
        <f>CHOOSE(WEEKDAY(G1),"SUN","MON","TUE","WED","THU","FRI","SAT")</f>
        <v>MON</v>
      </c>
      <c r="G1" s="1222">
        <f>Weather_Input!A5</f>
        <v>37095</v>
      </c>
      <c r="H1" s="584" t="s">
        <v>244</v>
      </c>
      <c r="I1" s="588"/>
    </row>
    <row r="2" spans="1:9" ht="20.399999999999999">
      <c r="A2" s="634" t="s">
        <v>9</v>
      </c>
      <c r="B2" s="780" t="s">
        <v>529</v>
      </c>
      <c r="C2" s="935" t="s">
        <v>9</v>
      </c>
      <c r="D2" s="782" t="s">
        <v>530</v>
      </c>
      <c r="E2" s="781"/>
      <c r="F2" s="782" t="s">
        <v>531</v>
      </c>
      <c r="G2" s="781"/>
      <c r="H2" s="783" t="s">
        <v>473</v>
      </c>
      <c r="I2" s="637"/>
    </row>
    <row r="3" spans="1:9" ht="21">
      <c r="A3" s="1026" t="s">
        <v>474</v>
      </c>
      <c r="B3" s="638" t="s">
        <v>21</v>
      </c>
      <c r="C3" s="639"/>
      <c r="D3" s="640" t="s">
        <v>21</v>
      </c>
      <c r="E3" s="639" t="s">
        <v>22</v>
      </c>
      <c r="F3" s="640" t="s">
        <v>21</v>
      </c>
      <c r="G3" s="640" t="s">
        <v>22</v>
      </c>
      <c r="H3" s="638" t="s">
        <v>21</v>
      </c>
      <c r="I3" s="641" t="s">
        <v>22</v>
      </c>
    </row>
    <row r="4" spans="1:9" ht="21" thickBot="1">
      <c r="A4" s="642"/>
      <c r="B4" s="643">
        <f>Weather_Input!B5</f>
        <v>91</v>
      </c>
      <c r="C4" s="750">
        <f>Weather_Input!C5</f>
        <v>70</v>
      </c>
      <c r="D4" s="644"/>
      <c r="E4" s="645"/>
      <c r="F4" s="644"/>
      <c r="G4" s="645"/>
      <c r="H4" s="646"/>
      <c r="I4" s="647"/>
    </row>
    <row r="5" spans="1:9" ht="23.4" thickBot="1">
      <c r="A5" s="648" t="s">
        <v>134</v>
      </c>
      <c r="B5" s="649"/>
      <c r="C5" s="650">
        <f>NSG_Deliveries!C5/1000</f>
        <v>33</v>
      </c>
      <c r="D5" s="649"/>
      <c r="E5" s="651"/>
      <c r="F5" s="649"/>
      <c r="G5" s="651" t="s">
        <v>9</v>
      </c>
      <c r="H5" s="649"/>
      <c r="I5" s="652"/>
    </row>
    <row r="6" spans="1:9" ht="12" customHeight="1" thickBot="1">
      <c r="A6" s="653" t="s">
        <v>9</v>
      </c>
      <c r="B6" s="654"/>
      <c r="C6" s="655"/>
      <c r="D6" s="656"/>
      <c r="E6" s="655"/>
      <c r="F6" s="656"/>
      <c r="G6" s="656"/>
      <c r="H6" s="654"/>
      <c r="I6" s="657"/>
    </row>
    <row r="7" spans="1:9" ht="23.4" thickBot="1">
      <c r="A7" s="658" t="s">
        <v>84</v>
      </c>
      <c r="B7" s="649"/>
      <c r="C7" s="755">
        <f>C5-C9-C11-C12</f>
        <v>32.625999999999998</v>
      </c>
      <c r="D7" s="659"/>
      <c r="E7" s="651"/>
      <c r="F7" s="659"/>
      <c r="G7" s="659" t="s">
        <v>9</v>
      </c>
      <c r="H7" s="649"/>
      <c r="I7" s="652"/>
    </row>
    <row r="8" spans="1:9" ht="12" customHeight="1" thickBot="1">
      <c r="A8" s="653"/>
      <c r="B8" s="660"/>
      <c r="C8" s="655"/>
      <c r="D8" s="656"/>
      <c r="E8" s="655"/>
      <c r="F8" s="656"/>
      <c r="G8" s="656"/>
      <c r="H8" s="654"/>
      <c r="I8" s="657"/>
    </row>
    <row r="9" spans="1:9" s="112" customFormat="1" ht="21" customHeight="1" thickBot="1">
      <c r="A9" s="815" t="s">
        <v>601</v>
      </c>
      <c r="B9" s="667"/>
      <c r="C9" s="1042">
        <f>B45</f>
        <v>0.37400000000000055</v>
      </c>
      <c r="D9" s="665"/>
      <c r="E9" s="666"/>
      <c r="F9" s="665"/>
      <c r="G9" s="665"/>
      <c r="H9" s="667"/>
      <c r="I9" s="668"/>
    </row>
    <row r="10" spans="1:9" ht="12" customHeight="1" thickBot="1">
      <c r="A10" s="811"/>
      <c r="B10" s="660"/>
      <c r="C10" s="655"/>
      <c r="D10" s="812"/>
      <c r="E10" s="661"/>
      <c r="F10" s="812"/>
      <c r="G10" s="812"/>
      <c r="H10" s="660"/>
      <c r="I10" s="813"/>
    </row>
    <row r="11" spans="1:9" ht="22.8">
      <c r="A11" s="662" t="s">
        <v>475</v>
      </c>
      <c r="B11" s="663"/>
      <c r="C11" s="664">
        <f>B37</f>
        <v>0</v>
      </c>
      <c r="D11" s="665"/>
      <c r="E11" s="666"/>
      <c r="F11" s="665"/>
      <c r="G11" s="665" t="s">
        <v>9</v>
      </c>
      <c r="H11" s="667"/>
      <c r="I11" s="668"/>
    </row>
    <row r="12" spans="1:9" ht="22.8">
      <c r="A12" s="669" t="s">
        <v>476</v>
      </c>
      <c r="B12" s="670"/>
      <c r="C12" s="671">
        <v>0</v>
      </c>
      <c r="D12" s="672"/>
      <c r="E12" s="673"/>
      <c r="F12" s="672"/>
      <c r="G12" s="672"/>
      <c r="H12" s="670"/>
      <c r="I12" s="674"/>
    </row>
    <row r="13" spans="1:9" ht="21" thickBot="1">
      <c r="A13" s="677" t="s">
        <v>95</v>
      </c>
      <c r="B13" s="675"/>
      <c r="C13" s="676"/>
      <c r="D13" s="672"/>
      <c r="E13" s="673"/>
      <c r="F13" s="672"/>
      <c r="G13" s="672"/>
      <c r="H13" s="670"/>
      <c r="I13" s="674"/>
    </row>
    <row r="14" spans="1:9" ht="21" thickBot="1">
      <c r="A14" s="677" t="s">
        <v>105</v>
      </c>
      <c r="B14" s="678"/>
      <c r="C14" s="679"/>
      <c r="D14" s="678"/>
      <c r="E14" s="679"/>
      <c r="F14" s="678"/>
      <c r="G14" s="678"/>
      <c r="H14" s="680"/>
      <c r="I14" s="681"/>
    </row>
    <row r="15" spans="1:9" ht="23.4" thickBot="1">
      <c r="A15" s="682" t="s">
        <v>477</v>
      </c>
      <c r="B15" s="683"/>
      <c r="C15" s="755">
        <v>0</v>
      </c>
      <c r="D15" s="685"/>
      <c r="E15" s="684"/>
      <c r="F15" s="685"/>
      <c r="G15" s="685" t="s">
        <v>9</v>
      </c>
      <c r="H15" s="683"/>
      <c r="I15" s="686"/>
    </row>
    <row r="16" spans="1:9" ht="21.6" thickBot="1">
      <c r="A16" s="687" t="s">
        <v>9</v>
      </c>
      <c r="B16" s="654"/>
      <c r="C16" s="655"/>
      <c r="D16" s="656"/>
      <c r="E16" s="655"/>
      <c r="F16" s="656"/>
      <c r="G16" s="656"/>
      <c r="H16" s="654"/>
      <c r="I16" s="657"/>
    </row>
    <row r="17" spans="1:9" ht="23.4" thickBot="1">
      <c r="A17" s="688" t="s">
        <v>478</v>
      </c>
      <c r="B17" s="689"/>
      <c r="C17" s="690" t="s">
        <v>9</v>
      </c>
      <c r="D17" s="691"/>
      <c r="E17" s="692"/>
      <c r="F17" s="691"/>
      <c r="G17" s="691"/>
      <c r="H17" s="689"/>
      <c r="I17" s="693"/>
    </row>
    <row r="18" spans="1:9" ht="21.6" thickBot="1">
      <c r="A18" s="694" t="s">
        <v>479</v>
      </c>
      <c r="B18" s="654"/>
      <c r="C18" s="655" t="s">
        <v>9</v>
      </c>
      <c r="D18" s="656"/>
      <c r="E18" s="655"/>
      <c r="F18" s="656"/>
      <c r="G18" s="502" t="s">
        <v>605</v>
      </c>
      <c r="H18" s="654"/>
      <c r="I18" s="816"/>
    </row>
    <row r="19" spans="1:9" ht="23.4" thickBot="1">
      <c r="A19" s="695" t="s">
        <v>406</v>
      </c>
      <c r="B19" s="696"/>
      <c r="C19" s="697">
        <f>C7+C12</f>
        <v>32.625999999999998</v>
      </c>
      <c r="D19" s="698"/>
      <c r="E19" s="699"/>
      <c r="F19" s="698"/>
      <c r="G19" s="698" t="s">
        <v>9</v>
      </c>
      <c r="H19" s="696"/>
      <c r="I19" s="700"/>
    </row>
    <row r="20" spans="1:9" ht="20.399999999999999">
      <c r="A20" s="701" t="s">
        <v>408</v>
      </c>
      <c r="B20" s="702"/>
      <c r="C20" s="703">
        <f>NSG_Requirements!C7/1000</f>
        <v>0</v>
      </c>
      <c r="D20" s="704"/>
      <c r="E20" s="703">
        <f>NSG_Requirements!C7/1000</f>
        <v>0</v>
      </c>
      <c r="F20" s="704"/>
      <c r="G20" s="703">
        <f>NSG_Requirements!C7/1000</f>
        <v>0</v>
      </c>
      <c r="H20" s="702"/>
      <c r="I20" s="764">
        <f>NSG_Requirements!C7/1000</f>
        <v>0</v>
      </c>
    </row>
    <row r="21" spans="1:9" ht="20.399999999999999">
      <c r="A21" s="705" t="s">
        <v>411</v>
      </c>
      <c r="B21" s="706"/>
      <c r="C21" s="703">
        <f>NSG_Requirements!R7/1000</f>
        <v>0</v>
      </c>
      <c r="D21" s="707"/>
      <c r="E21" s="703">
        <f>NSG_Requirements!R7/1000</f>
        <v>0</v>
      </c>
      <c r="F21" s="707"/>
      <c r="G21" s="703">
        <f>NSG_Requirements!R7/1000</f>
        <v>0</v>
      </c>
      <c r="H21" s="706"/>
      <c r="I21" s="765">
        <f>NSG_Requirements!R7/1000</f>
        <v>0</v>
      </c>
    </row>
    <row r="22" spans="1:9" ht="20.399999999999999">
      <c r="A22" s="705" t="s">
        <v>480</v>
      </c>
      <c r="B22" s="709"/>
      <c r="C22" s="703">
        <f>NSG_Supplies!J7/1000</f>
        <v>0</v>
      </c>
      <c r="D22" s="710"/>
      <c r="E22" s="703">
        <f>NSG_Supplies!J7/1000</f>
        <v>0</v>
      </c>
      <c r="F22" s="710"/>
      <c r="G22" s="703">
        <f>NSG_Supplies!J7/1000</f>
        <v>0</v>
      </c>
      <c r="H22" s="709"/>
      <c r="I22" s="766">
        <f>NSG_Supplies!J7/1000</f>
        <v>0</v>
      </c>
    </row>
    <row r="23" spans="1:9" ht="20.399999999999999">
      <c r="A23" s="701" t="s">
        <v>414</v>
      </c>
      <c r="B23" s="709"/>
      <c r="C23" s="703">
        <f>NSG_Requirements!H7/1000</f>
        <v>0</v>
      </c>
      <c r="D23" s="710"/>
      <c r="E23" s="703" t="s">
        <v>9</v>
      </c>
      <c r="F23" s="710"/>
      <c r="G23" s="703" t="s">
        <v>9</v>
      </c>
      <c r="H23" s="709"/>
      <c r="I23" s="703" t="s">
        <v>9</v>
      </c>
    </row>
    <row r="24" spans="1:9" ht="20.399999999999999">
      <c r="A24" s="701" t="s">
        <v>415</v>
      </c>
      <c r="B24" s="706"/>
      <c r="C24" s="703">
        <f>-NSG_Supplies!F7/1000</f>
        <v>-7.1230000000000002</v>
      </c>
      <c r="D24" s="707"/>
      <c r="E24" s="703" t="s">
        <v>9</v>
      </c>
      <c r="F24" s="707"/>
      <c r="G24" s="703" t="s">
        <v>9</v>
      </c>
      <c r="H24" s="706"/>
      <c r="I24" s="703" t="s">
        <v>9</v>
      </c>
    </row>
    <row r="25" spans="1:9" ht="20.399999999999999">
      <c r="A25" s="701" t="s">
        <v>183</v>
      </c>
      <c r="B25" s="709"/>
      <c r="C25" s="703">
        <f>-NSG_Supplies!Q7/1000</f>
        <v>-25.234999999999999</v>
      </c>
      <c r="D25" s="710"/>
      <c r="E25" s="703">
        <f>-NSG_Supplies!Q7/1000</f>
        <v>-25.234999999999999</v>
      </c>
      <c r="F25" s="710"/>
      <c r="G25" s="703">
        <f>-NSG_Supplies!Q7/1000</f>
        <v>-25.234999999999999</v>
      </c>
      <c r="H25" s="709"/>
      <c r="I25" s="766">
        <f>-NSG_Supplies!Q7/1000</f>
        <v>-25.234999999999999</v>
      </c>
    </row>
    <row r="26" spans="1:9" ht="20.399999999999999">
      <c r="A26" s="701" t="s">
        <v>413</v>
      </c>
      <c r="B26" s="709"/>
      <c r="C26" s="703">
        <v>0</v>
      </c>
      <c r="D26" s="710"/>
      <c r="E26" s="703">
        <v>0</v>
      </c>
      <c r="F26" s="710"/>
      <c r="G26" s="703">
        <v>0</v>
      </c>
      <c r="H26" s="709"/>
      <c r="I26" s="766">
        <v>0</v>
      </c>
    </row>
    <row r="27" spans="1:9" ht="21" thickBot="1">
      <c r="A27" s="756" t="s">
        <v>506</v>
      </c>
      <c r="B27" s="712"/>
      <c r="C27" s="703">
        <f>-NSG_Supplies!G7/1000+NSG_Requirements!L7/1000</f>
        <v>0</v>
      </c>
      <c r="D27" s="707"/>
      <c r="E27" s="703">
        <f>-NSG_Supplies!G7/1000+NSG_Requirements!L7/1000</f>
        <v>0</v>
      </c>
      <c r="F27" s="707"/>
      <c r="G27" s="703">
        <f>-NSG_Supplies!G7/1000+NSG_Requirements!L7/1000</f>
        <v>0</v>
      </c>
      <c r="H27" s="712"/>
      <c r="I27" s="775">
        <f>-NSG_Supplies!G7/1000+NSG_Requirements!L7/1000</f>
        <v>0</v>
      </c>
    </row>
    <row r="28" spans="1:9" ht="23.4" thickBot="1">
      <c r="A28" s="714"/>
      <c r="B28" s="715"/>
      <c r="C28" s="716" t="s">
        <v>475</v>
      </c>
      <c r="D28" s="715"/>
      <c r="E28" s="717"/>
      <c r="F28" s="715"/>
      <c r="G28" s="718" t="s">
        <v>9</v>
      </c>
      <c r="H28" s="715"/>
      <c r="I28" s="719"/>
    </row>
    <row r="29" spans="1:9" ht="21">
      <c r="A29" s="773" t="s">
        <v>418</v>
      </c>
      <c r="B29" s="752">
        <f>NSG_Requirements!O7/1000</f>
        <v>0</v>
      </c>
      <c r="C29" s="721" t="s">
        <v>9</v>
      </c>
      <c r="D29" s="722"/>
      <c r="E29" s="723"/>
      <c r="F29" s="724" t="s">
        <v>269</v>
      </c>
      <c r="G29" s="725"/>
      <c r="H29" s="725"/>
      <c r="I29" s="726"/>
    </row>
    <row r="30" spans="1:9" ht="20.399999999999999">
      <c r="A30" s="774" t="s">
        <v>507</v>
      </c>
      <c r="B30" s="751">
        <f>NSG_Supplies!K7/1000+PGL_Requirements!V7/1000</f>
        <v>0</v>
      </c>
      <c r="C30" s="710"/>
      <c r="D30" s="728"/>
      <c r="E30" s="711"/>
      <c r="F30" s="635"/>
      <c r="G30" s="707"/>
      <c r="H30" s="707"/>
      <c r="I30" s="726"/>
    </row>
    <row r="31" spans="1:9" ht="20.399999999999999">
      <c r="A31" s="774" t="s">
        <v>508</v>
      </c>
      <c r="B31" s="751">
        <f>NSG_Supplies!L7/1000</f>
        <v>0</v>
      </c>
      <c r="C31" s="707"/>
      <c r="D31" s="729"/>
      <c r="E31" s="708"/>
      <c r="F31" s="635"/>
      <c r="G31" s="707"/>
      <c r="H31" s="707"/>
      <c r="I31" s="726"/>
    </row>
    <row r="32" spans="1:9" ht="20.399999999999999">
      <c r="A32" s="773" t="s">
        <v>481</v>
      </c>
      <c r="B32" s="753">
        <f>(NSG_Requirements!S7+NSG_Requirements!T7+NSG_Requirements!U7)/1000</f>
        <v>0</v>
      </c>
      <c r="C32" s="710"/>
      <c r="D32" s="728"/>
      <c r="E32" s="711"/>
      <c r="F32" s="635"/>
      <c r="G32" s="707"/>
      <c r="H32" s="707"/>
      <c r="I32" s="726"/>
    </row>
    <row r="33" spans="1:9" ht="20.399999999999999">
      <c r="A33" s="773" t="s">
        <v>86</v>
      </c>
      <c r="B33" s="751">
        <f>NSG_Requirements!D7/1000</f>
        <v>0</v>
      </c>
      <c r="C33" s="710"/>
      <c r="D33" s="728"/>
      <c r="E33" s="711"/>
      <c r="F33" s="635"/>
      <c r="G33" s="707"/>
      <c r="H33" s="707"/>
      <c r="I33" s="726"/>
    </row>
    <row r="34" spans="1:9" ht="20.399999999999999">
      <c r="A34" s="774" t="s">
        <v>493</v>
      </c>
      <c r="B34" s="753">
        <f>NSG_Requirements!B7/1000</f>
        <v>0</v>
      </c>
      <c r="C34" s="710"/>
      <c r="D34" s="728"/>
      <c r="E34" s="711"/>
      <c r="F34" s="635"/>
      <c r="G34" s="707"/>
      <c r="H34" s="707"/>
      <c r="I34" s="726"/>
    </row>
    <row r="35" spans="1:9" ht="20.399999999999999">
      <c r="A35" s="774" t="s">
        <v>494</v>
      </c>
      <c r="B35" s="753">
        <f>NSG_Supplies!B7/1000</f>
        <v>0</v>
      </c>
      <c r="C35" s="710"/>
      <c r="D35" s="728"/>
      <c r="E35" s="711"/>
      <c r="F35" s="635"/>
      <c r="G35" s="707"/>
      <c r="H35" s="707"/>
      <c r="I35" s="726"/>
    </row>
    <row r="36" spans="1:9" ht="21" thickBot="1">
      <c r="A36" s="773" t="s">
        <v>104</v>
      </c>
      <c r="B36" s="751">
        <f>NSG_Supplies!O7/1000</f>
        <v>0</v>
      </c>
      <c r="C36" s="731"/>
      <c r="D36" s="732"/>
      <c r="E36" s="713"/>
      <c r="F36" s="635"/>
      <c r="G36" s="707"/>
      <c r="H36" s="707"/>
      <c r="I36" s="726"/>
    </row>
    <row r="37" spans="1:9" ht="21.6" thickBot="1">
      <c r="A37" s="733" t="s">
        <v>482</v>
      </c>
      <c r="B37" s="754">
        <f>-B29+B30+B31-B32-B33-B34+B35+B36</f>
        <v>0</v>
      </c>
      <c r="C37" s="635"/>
      <c r="D37" s="734"/>
      <c r="E37" s="735"/>
      <c r="F37" s="635"/>
      <c r="G37" s="707"/>
      <c r="H37" s="707"/>
      <c r="I37" s="726"/>
    </row>
    <row r="38" spans="1:9" ht="23.4" thickBot="1">
      <c r="A38" s="714"/>
      <c r="B38" s="715"/>
      <c r="C38" s="817" t="s">
        <v>606</v>
      </c>
      <c r="D38" s="715"/>
      <c r="E38" s="717"/>
      <c r="F38" s="635"/>
      <c r="G38" s="707"/>
      <c r="H38" s="707"/>
      <c r="I38" s="726"/>
    </row>
    <row r="39" spans="1:9" ht="20.399999999999999">
      <c r="A39" s="701" t="s">
        <v>483</v>
      </c>
      <c r="B39" s="807">
        <v>0</v>
      </c>
      <c r="C39" s="635"/>
      <c r="D39" s="736"/>
      <c r="E39" s="737"/>
      <c r="F39" s="635"/>
      <c r="G39" s="707"/>
      <c r="H39" s="707"/>
      <c r="I39" s="726"/>
    </row>
    <row r="40" spans="1:9" ht="20.399999999999999">
      <c r="A40" s="701" t="s">
        <v>484</v>
      </c>
      <c r="B40" s="808">
        <f>NSG_Requirements!J7/1000</f>
        <v>11.625999999999999</v>
      </c>
      <c r="C40" s="710"/>
      <c r="D40" s="728"/>
      <c r="E40" s="711"/>
      <c r="F40" s="635"/>
      <c r="G40" s="707"/>
      <c r="H40" s="707"/>
      <c r="I40" s="726"/>
    </row>
    <row r="41" spans="1:9" ht="20.399999999999999">
      <c r="A41" s="701" t="s">
        <v>485</v>
      </c>
      <c r="B41" s="809">
        <f>NSG_Supplies!E7/1000</f>
        <v>0</v>
      </c>
      <c r="C41" s="635"/>
      <c r="D41" s="738"/>
      <c r="E41" s="739"/>
      <c r="F41" s="635"/>
      <c r="G41" s="707"/>
      <c r="H41" s="707"/>
      <c r="I41" s="726"/>
    </row>
    <row r="42" spans="1:9" ht="20.399999999999999">
      <c r="A42" s="701" t="s">
        <v>486</v>
      </c>
      <c r="B42" s="808">
        <v>0</v>
      </c>
      <c r="C42" s="710"/>
      <c r="D42" s="728"/>
      <c r="E42" s="711"/>
      <c r="F42" s="635"/>
      <c r="G42" s="707"/>
      <c r="H42" s="707"/>
      <c r="I42" s="726"/>
    </row>
    <row r="43" spans="1:9" ht="20.399999999999999">
      <c r="A43" s="701" t="s">
        <v>487</v>
      </c>
      <c r="B43" s="808">
        <v>0</v>
      </c>
      <c r="C43" s="710"/>
      <c r="D43" s="728"/>
      <c r="E43" s="711"/>
      <c r="F43" s="635"/>
      <c r="G43" s="707"/>
      <c r="H43" s="707"/>
      <c r="I43" s="726"/>
    </row>
    <row r="44" spans="1:9" ht="21" thickBot="1">
      <c r="A44" s="630" t="s">
        <v>602</v>
      </c>
      <c r="B44" s="809">
        <f>NSG_Supplies!P7/1000</f>
        <v>12</v>
      </c>
      <c r="C44" s="635"/>
      <c r="D44" s="738"/>
      <c r="E44" s="739"/>
      <c r="F44" s="635"/>
      <c r="G44" s="707"/>
      <c r="H44" s="707"/>
      <c r="I44" s="726"/>
    </row>
    <row r="45" spans="1:9" ht="21.6" thickBot="1">
      <c r="A45" s="733" t="s">
        <v>482</v>
      </c>
      <c r="B45" s="810">
        <f>B44+B41-B40</f>
        <v>0.37400000000000055</v>
      </c>
      <c r="C45" s="741"/>
      <c r="D45" s="740"/>
      <c r="E45" s="742"/>
      <c r="F45" s="635"/>
      <c r="G45" s="707"/>
      <c r="H45" s="707"/>
      <c r="I45" s="726"/>
    </row>
    <row r="46" spans="1:9" ht="23.4" thickBot="1">
      <c r="A46" s="714"/>
      <c r="B46" s="715"/>
      <c r="C46" s="716" t="s">
        <v>67</v>
      </c>
      <c r="D46" s="715"/>
      <c r="E46" s="717"/>
      <c r="F46" s="635"/>
      <c r="G46" s="707"/>
      <c r="H46" s="707"/>
      <c r="I46" s="726"/>
    </row>
    <row r="47" spans="1:9" ht="20.399999999999999">
      <c r="A47" s="701" t="s">
        <v>488</v>
      </c>
      <c r="B47" s="720">
        <f>(NSG_Requirements!V7+NSG_Requirements!W7+NSG_Requirements!X7)/1000</f>
        <v>0</v>
      </c>
      <c r="C47" s="743"/>
      <c r="D47" s="728"/>
      <c r="E47" s="711"/>
      <c r="F47" s="635"/>
      <c r="G47" s="707"/>
      <c r="H47" s="707"/>
      <c r="I47" s="726"/>
    </row>
    <row r="48" spans="1:9" ht="20.399999999999999">
      <c r="A48" s="701" t="s">
        <v>489</v>
      </c>
      <c r="B48" s="727">
        <f>NSG_Requirements!M7/1000</f>
        <v>0</v>
      </c>
      <c r="C48" s="747"/>
      <c r="D48" s="747"/>
      <c r="E48" s="636"/>
      <c r="F48" s="635"/>
      <c r="G48" s="707"/>
      <c r="H48" s="707"/>
      <c r="I48" s="726"/>
    </row>
    <row r="49" spans="1:9" ht="20.399999999999999">
      <c r="A49" s="701" t="s">
        <v>86</v>
      </c>
      <c r="B49" s="727">
        <f>NSG_Requirements!E7/1000</f>
        <v>0</v>
      </c>
      <c r="C49" s="744"/>
      <c r="D49" s="738"/>
      <c r="E49" s="739"/>
      <c r="F49" s="635"/>
      <c r="G49" s="707"/>
      <c r="H49" s="707"/>
      <c r="I49" s="726"/>
    </row>
    <row r="50" spans="1:9" ht="21" thickBot="1">
      <c r="A50" s="701" t="s">
        <v>104</v>
      </c>
      <c r="B50" s="730">
        <f>NSG_Supplies!N7/1000</f>
        <v>0</v>
      </c>
      <c r="C50" s="743"/>
      <c r="D50" s="728"/>
      <c r="E50" s="711"/>
      <c r="F50" s="635"/>
      <c r="G50" s="707"/>
      <c r="H50" s="707"/>
      <c r="I50" s="726"/>
    </row>
    <row r="51" spans="1:9" ht="23.4" thickBot="1">
      <c r="A51" s="714"/>
      <c r="B51" s="715"/>
      <c r="C51" s="716" t="s">
        <v>490</v>
      </c>
      <c r="D51" s="715"/>
      <c r="E51" s="717"/>
      <c r="F51" s="635"/>
      <c r="G51" s="707"/>
      <c r="H51" s="707"/>
      <c r="I51" s="726"/>
    </row>
    <row r="52" spans="1:9" ht="20.399999999999999">
      <c r="A52" s="745" t="s">
        <v>491</v>
      </c>
      <c r="B52" s="746"/>
      <c r="C52" s="635"/>
      <c r="D52" s="736"/>
      <c r="E52" s="737"/>
      <c r="F52" s="635"/>
      <c r="G52" s="707"/>
      <c r="H52" s="707"/>
      <c r="I52" s="726"/>
    </row>
    <row r="53" spans="1:9" ht="21.6" thickBot="1">
      <c r="A53" s="748" t="s">
        <v>492</v>
      </c>
      <c r="B53" s="757"/>
      <c r="C53" s="758"/>
      <c r="D53" s="759"/>
      <c r="E53" s="760"/>
      <c r="F53" s="749"/>
      <c r="G53" s="761"/>
      <c r="H53" s="1028"/>
      <c r="I53" s="1027"/>
    </row>
    <row r="54" spans="1:9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ColWidth="8.90625" defaultRowHeight="11.4"/>
  <cols>
    <col min="1" max="1" width="24.81640625" style="2" customWidth="1"/>
    <col min="2" max="8" width="12.81640625" style="2" customWidth="1"/>
    <col min="9" max="9" width="14.08984375" style="2" customWidth="1"/>
    <col min="10" max="11" width="8.90625" style="2"/>
    <col min="12" max="12" width="24.81640625" style="2" customWidth="1"/>
    <col min="13" max="20" width="12.81640625" style="2" customWidth="1"/>
    <col min="21" max="16384" width="8.90625" style="2"/>
  </cols>
  <sheetData>
    <row r="1" spans="1:9" ht="17.100000000000001" customHeight="1">
      <c r="A1" s="484" t="s">
        <v>9</v>
      </c>
      <c r="B1" s="249"/>
      <c r="C1" s="249"/>
      <c r="D1" s="249"/>
      <c r="E1" s="250" t="s">
        <v>159</v>
      </c>
      <c r="F1" s="457">
        <f>Weather_Input!A5</f>
        <v>37095</v>
      </c>
      <c r="G1" s="251" t="s">
        <v>9</v>
      </c>
      <c r="H1" s="249"/>
      <c r="I1" s="252"/>
    </row>
    <row r="2" spans="1:9" ht="17.100000000000001" customHeight="1">
      <c r="A2" s="253" t="s">
        <v>9</v>
      </c>
      <c r="B2" s="254"/>
      <c r="C2" s="254"/>
      <c r="D2" s="254" t="s">
        <v>9</v>
      </c>
      <c r="E2" s="254"/>
      <c r="F2" s="254"/>
      <c r="G2" s="254"/>
      <c r="H2" s="254" t="s">
        <v>9</v>
      </c>
      <c r="I2" s="255"/>
    </row>
    <row r="3" spans="1:9" ht="17.100000000000001" customHeight="1" thickBot="1">
      <c r="A3" s="253"/>
      <c r="B3" s="452" t="s">
        <v>510</v>
      </c>
      <c r="C3" s="448">
        <v>44</v>
      </c>
      <c r="D3" s="254"/>
      <c r="E3" s="254"/>
      <c r="F3" s="448" t="s">
        <v>374</v>
      </c>
      <c r="G3" s="448"/>
      <c r="H3" s="256" t="s">
        <v>160</v>
      </c>
      <c r="I3" s="255"/>
    </row>
    <row r="4" spans="1:9" ht="17.100000000000001" customHeight="1">
      <c r="A4" s="257" t="s">
        <v>161</v>
      </c>
      <c r="B4" s="257" t="s">
        <v>161</v>
      </c>
      <c r="C4" s="258" t="s">
        <v>162</v>
      </c>
      <c r="D4" s="258" t="s">
        <v>21</v>
      </c>
      <c r="E4" s="258" t="s">
        <v>162</v>
      </c>
      <c r="F4" s="258" t="s">
        <v>21</v>
      </c>
      <c r="G4" s="258" t="s">
        <v>162</v>
      </c>
      <c r="H4" s="258" t="s">
        <v>21</v>
      </c>
      <c r="I4" s="259" t="s">
        <v>162</v>
      </c>
    </row>
    <row r="5" spans="1:9" ht="17.100000000000001" customHeight="1">
      <c r="A5" s="260" t="s">
        <v>163</v>
      </c>
      <c r="B5" s="261">
        <f>Weather_Input!B5</f>
        <v>91</v>
      </c>
      <c r="C5" s="261">
        <f>Weather_Input!C5</f>
        <v>70</v>
      </c>
      <c r="D5" s="261"/>
      <c r="E5" s="261"/>
      <c r="F5" s="261"/>
      <c r="G5" s="261"/>
      <c r="H5" s="261"/>
      <c r="I5" s="262"/>
    </row>
    <row r="6" spans="1:9" ht="17.100000000000001" customHeight="1">
      <c r="A6" s="260" t="s">
        <v>164</v>
      </c>
      <c r="B6" s="263"/>
      <c r="C6" s="264"/>
      <c r="D6" s="264"/>
      <c r="E6" s="264"/>
      <c r="F6" s="264"/>
      <c r="G6" s="264"/>
      <c r="H6" s="264"/>
      <c r="I6" s="262"/>
    </row>
    <row r="7" spans="1:9" ht="17.100000000000001" customHeight="1" thickBot="1">
      <c r="A7" s="253" t="s">
        <v>165</v>
      </c>
      <c r="B7" s="265"/>
      <c r="C7" s="266"/>
      <c r="D7" s="254"/>
      <c r="E7" s="265"/>
      <c r="F7" s="266"/>
      <c r="G7" s="266"/>
      <c r="H7" s="266"/>
      <c r="I7" s="255"/>
    </row>
    <row r="8" spans="1:9" ht="17.100000000000001" customHeight="1" thickBot="1">
      <c r="A8" s="267" t="s">
        <v>166</v>
      </c>
      <c r="B8" s="268">
        <f>PGL_Deliveries!C5/1000</f>
        <v>190</v>
      </c>
      <c r="C8" s="269">
        <f>NSG_Deliveries!C5/1000</f>
        <v>33</v>
      </c>
      <c r="D8" s="268" t="s">
        <v>9</v>
      </c>
      <c r="E8" s="270"/>
      <c r="F8" s="271"/>
      <c r="G8" s="271"/>
      <c r="H8" s="271"/>
      <c r="I8" s="252"/>
    </row>
    <row r="9" spans="1:9" ht="17.100000000000001" customHeight="1" thickTop="1" thickBot="1">
      <c r="A9" s="272"/>
      <c r="B9" s="451" t="s">
        <v>53</v>
      </c>
      <c r="C9" s="273" t="s">
        <v>81</v>
      </c>
      <c r="D9" s="274"/>
      <c r="E9" s="274"/>
      <c r="F9" s="274"/>
      <c r="G9" s="274"/>
      <c r="H9" s="274"/>
      <c r="I9" s="275"/>
    </row>
    <row r="10" spans="1:9" ht="17.100000000000001" customHeight="1" thickTop="1">
      <c r="A10" s="276" t="s">
        <v>66</v>
      </c>
      <c r="B10" s="277" t="e">
        <f>B62</f>
        <v>#REF!</v>
      </c>
      <c r="C10" s="263"/>
      <c r="D10" s="261"/>
      <c r="E10" s="263"/>
      <c r="F10" s="263"/>
      <c r="G10" s="263"/>
      <c r="H10" s="263"/>
      <c r="I10" s="262" t="s">
        <v>9</v>
      </c>
    </row>
    <row r="11" spans="1:9" ht="17.100000000000001" customHeight="1">
      <c r="A11" s="278" t="s">
        <v>167</v>
      </c>
      <c r="B11" s="277">
        <f>+B54</f>
        <v>114.94</v>
      </c>
      <c r="C11" s="279" t="s">
        <v>9</v>
      </c>
      <c r="D11" s="261"/>
      <c r="E11" s="279" t="str">
        <f>+C11</f>
        <v xml:space="preserve"> </v>
      </c>
      <c r="F11" s="263"/>
      <c r="G11" s="279" t="str">
        <f>+C11</f>
        <v xml:space="preserve"> </v>
      </c>
      <c r="H11" s="263"/>
      <c r="I11" s="280" t="str">
        <f>+C11</f>
        <v xml:space="preserve"> </v>
      </c>
    </row>
    <row r="12" spans="1:9" ht="17.100000000000001" customHeight="1">
      <c r="A12" s="253" t="s">
        <v>168</v>
      </c>
      <c r="B12" s="277">
        <f>PGL_Supplies!J7/1000</f>
        <v>0</v>
      </c>
      <c r="C12" s="279"/>
      <c r="D12" s="261"/>
      <c r="E12" s="263"/>
      <c r="F12" s="263"/>
      <c r="G12" s="263"/>
      <c r="H12" s="263"/>
      <c r="I12" s="262"/>
    </row>
    <row r="13" spans="1:9" ht="17.100000000000001" customHeight="1">
      <c r="A13" s="278" t="s">
        <v>72</v>
      </c>
      <c r="B13" s="277">
        <f>PGL_Supplies!H7/1000</f>
        <v>27.905999999999999</v>
      </c>
      <c r="C13" s="263"/>
      <c r="D13" s="456"/>
      <c r="E13" s="263"/>
      <c r="F13" s="263"/>
      <c r="G13" s="263"/>
      <c r="H13" s="263"/>
      <c r="I13" s="262"/>
    </row>
    <row r="14" spans="1:9" ht="17.100000000000001" customHeight="1">
      <c r="A14" s="278" t="s">
        <v>169</v>
      </c>
      <c r="B14" s="281">
        <f>+B72</f>
        <v>59.091999999999999</v>
      </c>
      <c r="C14" s="263"/>
      <c r="D14" s="261"/>
      <c r="E14" s="263"/>
      <c r="F14" s="263"/>
      <c r="G14" s="263"/>
      <c r="H14" s="263"/>
      <c r="I14" s="262"/>
    </row>
    <row r="15" spans="1:9" ht="17.100000000000001" customHeight="1">
      <c r="A15" s="278" t="s">
        <v>170</v>
      </c>
      <c r="B15" s="277">
        <f>+B46</f>
        <v>2.508</v>
      </c>
      <c r="C15" s="263" t="s">
        <v>9</v>
      </c>
      <c r="D15" s="261" t="s">
        <v>9</v>
      </c>
      <c r="E15" s="263"/>
      <c r="F15" s="456"/>
      <c r="G15" s="263"/>
      <c r="H15" s="263"/>
      <c r="I15" s="262"/>
    </row>
    <row r="16" spans="1:9" ht="17.100000000000001" customHeight="1">
      <c r="A16" s="253" t="s">
        <v>171</v>
      </c>
      <c r="B16" s="277">
        <f>PGL_Requirements!F7/1000</f>
        <v>0</v>
      </c>
      <c r="C16" s="263"/>
      <c r="D16" s="261"/>
      <c r="E16" s="263"/>
      <c r="F16" s="301" t="s">
        <v>9</v>
      </c>
      <c r="G16" s="263"/>
      <c r="H16" s="263"/>
      <c r="I16" s="262"/>
    </row>
    <row r="17" spans="1:9" ht="17.100000000000001" customHeight="1" thickBot="1">
      <c r="A17" s="278" t="s">
        <v>172</v>
      </c>
      <c r="B17" s="277">
        <f>PGL_Supplies!B7/1000</f>
        <v>41.36</v>
      </c>
      <c r="C17" s="263"/>
      <c r="D17" s="254"/>
      <c r="E17" s="263"/>
      <c r="F17" s="263"/>
      <c r="G17" s="263"/>
      <c r="H17" s="263"/>
      <c r="I17" s="282"/>
    </row>
    <row r="18" spans="1:9" ht="17.100000000000001" customHeight="1" thickBot="1">
      <c r="A18" s="283" t="s">
        <v>377</v>
      </c>
      <c r="B18" s="453" t="e">
        <f>-B10-B11-B12-B13-B14-B15+B16-B17</f>
        <v>#REF!</v>
      </c>
      <c r="C18" s="284">
        <f>-I63</f>
        <v>0</v>
      </c>
      <c r="D18" s="285" t="s">
        <v>9</v>
      </c>
      <c r="E18" s="284">
        <f>-I63</f>
        <v>0</v>
      </c>
      <c r="F18" s="285" t="s">
        <v>9</v>
      </c>
      <c r="G18" s="284">
        <f>-I63</f>
        <v>0</v>
      </c>
      <c r="H18" s="285" t="s">
        <v>9</v>
      </c>
      <c r="I18" s="286"/>
    </row>
    <row r="19" spans="1:9" ht="17.100000000000001" customHeight="1">
      <c r="A19" s="287" t="s">
        <v>59</v>
      </c>
      <c r="B19" s="288">
        <f>-PGL_Supplies!I7/1000</f>
        <v>0</v>
      </c>
      <c r="C19" s="289">
        <f>-NSG_Supplies!T7/1000</f>
        <v>0</v>
      </c>
      <c r="D19" s="249"/>
      <c r="E19" s="270"/>
      <c r="F19" s="249"/>
      <c r="G19" s="270"/>
      <c r="H19" s="271"/>
      <c r="I19" s="262"/>
    </row>
    <row r="20" spans="1:9" ht="17.100000000000001" customHeight="1">
      <c r="A20" s="287" t="s">
        <v>173</v>
      </c>
      <c r="B20" s="277" t="e">
        <f>B8+B18+B19</f>
        <v>#REF!</v>
      </c>
      <c r="C20" s="290">
        <f>C8+C18+C19</f>
        <v>33</v>
      </c>
      <c r="D20" s="261"/>
      <c r="E20" s="263"/>
      <c r="F20" s="261"/>
      <c r="G20" s="263"/>
      <c r="H20" s="264"/>
      <c r="I20" s="255"/>
    </row>
    <row r="21" spans="1:9" ht="17.100000000000001" customHeight="1">
      <c r="A21" s="287" t="s">
        <v>174</v>
      </c>
      <c r="B21" s="277">
        <v>0</v>
      </c>
      <c r="C21" s="263"/>
      <c r="D21" s="261"/>
      <c r="E21" s="263"/>
      <c r="F21" s="261"/>
      <c r="G21" s="263"/>
      <c r="H21" s="264"/>
      <c r="I21" s="291"/>
    </row>
    <row r="22" spans="1:9" ht="17.100000000000001" customHeight="1">
      <c r="A22" s="287" t="s">
        <v>175</v>
      </c>
      <c r="B22" s="277">
        <f>+B44</f>
        <v>0.73619999999999997</v>
      </c>
      <c r="C22" s="263"/>
      <c r="D22" s="261"/>
      <c r="E22" s="263"/>
      <c r="F22" s="292" t="s">
        <v>9</v>
      </c>
      <c r="G22" s="301"/>
      <c r="H22" s="293" t="s">
        <v>9</v>
      </c>
      <c r="I22" s="255"/>
    </row>
    <row r="23" spans="1:9" ht="17.100000000000001" customHeight="1">
      <c r="A23" s="294" t="s">
        <v>176</v>
      </c>
      <c r="B23" s="295" t="e">
        <f>B20+B21+B22</f>
        <v>#REF!</v>
      </c>
      <c r="C23" s="296">
        <f>C20</f>
        <v>33</v>
      </c>
      <c r="D23" s="261"/>
      <c r="E23" s="263"/>
      <c r="F23" s="297"/>
      <c r="G23" s="263"/>
      <c r="H23" s="298" t="s">
        <v>9</v>
      </c>
      <c r="I23" s="299" t="s">
        <v>9</v>
      </c>
    </row>
    <row r="24" spans="1:9" ht="17.100000000000001" customHeight="1" thickBot="1">
      <c r="A24" s="300" t="s">
        <v>177</v>
      </c>
      <c r="B24" s="301">
        <f>-NSG_Requirements!$L$7/1000</f>
        <v>0</v>
      </c>
      <c r="C24" s="301">
        <f>NSG_Requirements!$L$7/1000</f>
        <v>0</v>
      </c>
      <c r="D24" s="302">
        <f>B24</f>
        <v>0</v>
      </c>
      <c r="E24" s="301">
        <f>C24</f>
        <v>0</v>
      </c>
      <c r="F24" s="302">
        <f>B24</f>
        <v>0</v>
      </c>
      <c r="G24" s="301">
        <f>C24</f>
        <v>0</v>
      </c>
      <c r="H24" s="447">
        <f>B24</f>
        <v>0</v>
      </c>
      <c r="I24" s="303">
        <f>C24</f>
        <v>0</v>
      </c>
    </row>
    <row r="25" spans="1:9" ht="17.100000000000001" customHeight="1" thickTop="1" thickBot="1">
      <c r="A25" s="272"/>
      <c r="B25" s="274"/>
      <c r="C25" s="483" t="s">
        <v>9</v>
      </c>
      <c r="D25" s="274"/>
      <c r="E25" s="274"/>
      <c r="F25" s="274"/>
      <c r="G25" s="274"/>
      <c r="H25" s="274"/>
      <c r="I25" s="275"/>
    </row>
    <row r="26" spans="1:9" ht="17.25" customHeight="1" thickTop="1">
      <c r="A26" s="304" t="s">
        <v>178</v>
      </c>
      <c r="B26" s="305">
        <f>PGL_Requirements!K7/1000</f>
        <v>0</v>
      </c>
      <c r="C26" s="305">
        <f>NSG_Requirements!C7/1000</f>
        <v>0</v>
      </c>
      <c r="D26" s="305">
        <f>B26</f>
        <v>0</v>
      </c>
      <c r="E26" s="305">
        <f>+C26</f>
        <v>0</v>
      </c>
      <c r="F26" s="305">
        <f>B26</f>
        <v>0</v>
      </c>
      <c r="G26" s="305">
        <f>+C26</f>
        <v>0</v>
      </c>
      <c r="H26" s="306">
        <f>B26</f>
        <v>0</v>
      </c>
      <c r="I26" s="307">
        <f>+C26</f>
        <v>0</v>
      </c>
    </row>
    <row r="27" spans="1:9" ht="17.25" customHeight="1">
      <c r="A27" s="304" t="s">
        <v>179</v>
      </c>
      <c r="B27" s="305">
        <f>PGL_Requirements!Q7/1000</f>
        <v>0.21</v>
      </c>
      <c r="C27" s="305">
        <f>NSG_Requirements!P7/1000</f>
        <v>0</v>
      </c>
      <c r="D27" s="305">
        <f>PGL_Requirements!Q7/1000</f>
        <v>0.21</v>
      </c>
      <c r="E27" s="305">
        <f>NSG_Requirements!P7/1000</f>
        <v>0</v>
      </c>
      <c r="F27" s="305">
        <f>PGL_Requirements!Q7/1000</f>
        <v>0.21</v>
      </c>
      <c r="G27" s="305">
        <f>NSG_Requirements!P7/1000</f>
        <v>0</v>
      </c>
      <c r="H27" s="306">
        <f>+B27</f>
        <v>0.21</v>
      </c>
      <c r="I27" s="307">
        <f>+C27</f>
        <v>0</v>
      </c>
    </row>
    <row r="28" spans="1:9" ht="17.100000000000001" customHeight="1">
      <c r="A28" s="317" t="s">
        <v>180</v>
      </c>
      <c r="B28" s="310">
        <v>0</v>
      </c>
      <c r="C28" s="310">
        <v>0</v>
      </c>
      <c r="D28" s="310">
        <v>0</v>
      </c>
      <c r="E28" s="310">
        <v>0</v>
      </c>
      <c r="F28" s="310">
        <v>0</v>
      </c>
      <c r="G28" s="310">
        <f>C28</f>
        <v>0</v>
      </c>
      <c r="H28" s="315">
        <f>B28</f>
        <v>0</v>
      </c>
      <c r="I28" s="316">
        <f>C28</f>
        <v>0</v>
      </c>
    </row>
    <row r="29" spans="1:9" ht="17.100000000000001" customHeight="1">
      <c r="A29" s="317" t="s">
        <v>181</v>
      </c>
      <c r="B29" s="414">
        <f>-PGL_Supplies!M7/1000</f>
        <v>0</v>
      </c>
      <c r="C29" s="414">
        <f>-NSG_Supplies!H7/1000</f>
        <v>0</v>
      </c>
      <c r="D29" s="310">
        <f>-PGL_Supplies!M7/1000</f>
        <v>0</v>
      </c>
      <c r="E29" s="310">
        <f>-NSG_Supplies!H7/1000</f>
        <v>0</v>
      </c>
      <c r="F29" s="310">
        <f>-PGL_Supplies!M7/1000</f>
        <v>0</v>
      </c>
      <c r="G29" s="310">
        <f>-NSG_Supplies!H7/1000</f>
        <v>0</v>
      </c>
      <c r="H29" s="315">
        <f>-PGL_Supplies!M7/1000</f>
        <v>0</v>
      </c>
      <c r="I29" s="316">
        <f>-NSG_Supplies!H7/1000</f>
        <v>0</v>
      </c>
    </row>
    <row r="30" spans="1:9" ht="17.100000000000001" customHeight="1">
      <c r="A30" s="314" t="s">
        <v>383</v>
      </c>
      <c r="B30" s="310">
        <f>-PGL_Supplies!N7/1000</f>
        <v>0</v>
      </c>
      <c r="C30" s="310">
        <f>-NSG_Supplies!I7/1000</f>
        <v>0</v>
      </c>
      <c r="D30" s="310">
        <f>-PGL_Supplies!N7/1000</f>
        <v>0</v>
      </c>
      <c r="E30" s="310">
        <f>-NSG_Supplies!I7/1000</f>
        <v>0</v>
      </c>
      <c r="F30" s="310">
        <f>-PGL_Supplies!N7/1000</f>
        <v>0</v>
      </c>
      <c r="G30" s="310">
        <f>-NSG_Supplies!I7/1000</f>
        <v>0</v>
      </c>
      <c r="H30" s="315">
        <f>-PGL_Supplies!N7/1000</f>
        <v>0</v>
      </c>
      <c r="I30" s="316">
        <f>-NSG_Supplies!I7/1000</f>
        <v>0</v>
      </c>
    </row>
    <row r="31" spans="1:9" ht="17.100000000000001" customHeight="1">
      <c r="A31" s="309" t="s">
        <v>182</v>
      </c>
      <c r="B31" s="415" t="e">
        <f>(PGL_Requirements!#REF!+PGL_Requirements!$Y$7+PGL_Requirements!$Z$7)/1000+(NSG_Requirements!$Y$7+NSG_Requirements!$Z$7+NSG_Requirements!$AA$7)/1000</f>
        <v>#REF!</v>
      </c>
      <c r="C31" s="415" t="e">
        <f>-(PGL_Requirements!#REF!+PGL_Requirements!$Y$7+PGL_Requirements!$Z$7)/1000+(NSG_Requirements!$Y$7+NSG_Requirements!$Z$7+NSG_Requirements!$AA$7)/1000</f>
        <v>#REF!</v>
      </c>
      <c r="D31" s="305" t="e">
        <f>+B31</f>
        <v>#REF!</v>
      </c>
      <c r="E31" s="310" t="e">
        <f>+C31</f>
        <v>#REF!</v>
      </c>
      <c r="F31" s="305" t="e">
        <f>+B31</f>
        <v>#REF!</v>
      </c>
      <c r="G31" s="310" t="e">
        <f>+E31</f>
        <v>#REF!</v>
      </c>
      <c r="H31" s="306" t="e">
        <f>+B31</f>
        <v>#REF!</v>
      </c>
      <c r="I31" s="307" t="e">
        <f>+C31</f>
        <v>#REF!</v>
      </c>
    </row>
    <row r="32" spans="1:9" ht="17.100000000000001" customHeight="1">
      <c r="A32" s="317" t="s">
        <v>183</v>
      </c>
      <c r="B32" s="310">
        <f>-PGL_Supplies!AB7/1000</f>
        <v>-20.352</v>
      </c>
      <c r="C32" s="310">
        <f>-NSG_Supplies!Q7/1000</f>
        <v>-25.234999999999999</v>
      </c>
      <c r="D32" s="310">
        <f>B32</f>
        <v>-20.352</v>
      </c>
      <c r="E32" s="310">
        <f>C32</f>
        <v>-25.234999999999999</v>
      </c>
      <c r="F32" s="310">
        <f>B32</f>
        <v>-20.352</v>
      </c>
      <c r="G32" s="310">
        <f>C32</f>
        <v>-25.234999999999999</v>
      </c>
      <c r="H32" s="315">
        <f>B32</f>
        <v>-20.352</v>
      </c>
      <c r="I32" s="316">
        <f>C32</f>
        <v>-25.234999999999999</v>
      </c>
    </row>
    <row r="33" spans="1:9" ht="17.100000000000001" customHeight="1">
      <c r="A33" s="314" t="s">
        <v>371</v>
      </c>
      <c r="B33" s="310">
        <f>-PGL_Supplies!W7/1000</f>
        <v>0</v>
      </c>
      <c r="C33" s="310">
        <f>-NSG_Supplies!R7/1000</f>
        <v>-13.901999999999999</v>
      </c>
      <c r="D33" s="310">
        <f>B33</f>
        <v>0</v>
      </c>
      <c r="E33" s="310">
        <f>C33</f>
        <v>-13.901999999999999</v>
      </c>
      <c r="F33" s="310">
        <f>B33</f>
        <v>0</v>
      </c>
      <c r="G33" s="310">
        <f>C33</f>
        <v>-13.901999999999999</v>
      </c>
      <c r="H33" s="315">
        <f>B33</f>
        <v>0</v>
      </c>
      <c r="I33" s="316">
        <f>C33</f>
        <v>-13.901999999999999</v>
      </c>
    </row>
    <row r="34" spans="1:9" ht="17.100000000000001" customHeight="1">
      <c r="A34" s="304" t="s">
        <v>184</v>
      </c>
      <c r="B34" s="305">
        <f>PGL_Requirements!R7/1000</f>
        <v>0</v>
      </c>
      <c r="C34" s="305" t="s">
        <v>9</v>
      </c>
      <c r="D34" s="305">
        <f>+B34</f>
        <v>0</v>
      </c>
      <c r="E34" s="308"/>
      <c r="F34" s="305">
        <f>+D34</f>
        <v>0</v>
      </c>
      <c r="G34" s="308"/>
      <c r="H34" s="306">
        <f>+B34</f>
        <v>0</v>
      </c>
      <c r="I34" s="307" t="str">
        <f>+C34</f>
        <v xml:space="preserve"> </v>
      </c>
    </row>
    <row r="35" spans="1:9" ht="17.100000000000001" customHeight="1">
      <c r="A35" s="311" t="s">
        <v>185</v>
      </c>
      <c r="B35" s="305">
        <f>PGL_Requirements!N7/1000</f>
        <v>0</v>
      </c>
      <c r="C35" s="305">
        <f>NSG_Requirements!H7/1000</f>
        <v>0</v>
      </c>
      <c r="D35" s="308"/>
      <c r="E35" s="308"/>
      <c r="F35" s="308"/>
      <c r="G35" s="308"/>
      <c r="H35" s="312"/>
      <c r="I35" s="313"/>
    </row>
    <row r="36" spans="1:9" ht="17.100000000000001" customHeight="1">
      <c r="A36" s="311" t="s">
        <v>186</v>
      </c>
      <c r="B36" s="310">
        <f>-PGL_Supplies!K7/1000</f>
        <v>-12.505000000000001</v>
      </c>
      <c r="C36" s="310">
        <f>-NSG_Supplies!F7/1000</f>
        <v>-7.1230000000000002</v>
      </c>
      <c r="D36" s="308"/>
      <c r="E36" s="308"/>
      <c r="F36" s="308"/>
      <c r="G36" s="308"/>
      <c r="H36" s="312"/>
      <c r="I36" s="313"/>
    </row>
    <row r="37" spans="1:9" ht="17.100000000000001" customHeight="1">
      <c r="A37" s="314" t="s">
        <v>384</v>
      </c>
      <c r="B37" s="305">
        <f>PGL_Requirements!L7/1000</f>
        <v>0</v>
      </c>
      <c r="C37" s="318" t="s">
        <v>9</v>
      </c>
      <c r="D37" s="305">
        <f>PGL_Requirements!L7/1000</f>
        <v>0</v>
      </c>
      <c r="E37" s="308"/>
      <c r="F37" s="305">
        <f>PGL_Requirements!L7/1000</f>
        <v>0</v>
      </c>
      <c r="G37" s="305" t="s">
        <v>9</v>
      </c>
      <c r="H37" s="312"/>
      <c r="I37" s="328"/>
    </row>
    <row r="38" spans="1:9" ht="17.100000000000001" customHeight="1" thickBot="1">
      <c r="A38" s="320" t="s">
        <v>187</v>
      </c>
      <c r="B38" s="305" t="e">
        <f>PGL_Requirements!#REF!/1000</f>
        <v>#REF!</v>
      </c>
      <c r="C38" s="310">
        <f>NSG_Supplies!J7/1000</f>
        <v>0</v>
      </c>
      <c r="D38" s="308"/>
      <c r="E38" s="308"/>
      <c r="F38" s="308"/>
      <c r="G38" s="308"/>
      <c r="H38" s="319" t="e">
        <f>B38</f>
        <v>#REF!</v>
      </c>
      <c r="I38" s="328"/>
    </row>
    <row r="39" spans="1:9" ht="17.100000000000001" customHeight="1" thickBot="1">
      <c r="A39" s="321" t="s">
        <v>9</v>
      </c>
      <c r="B39" s="482" t="s">
        <v>391</v>
      </c>
      <c r="C39" s="480"/>
      <c r="D39" s="481"/>
      <c r="E39" s="323"/>
      <c r="F39" s="324" t="s">
        <v>188</v>
      </c>
      <c r="G39" s="323"/>
      <c r="H39" s="325"/>
      <c r="I39" s="326"/>
    </row>
    <row r="40" spans="1:9" ht="17.100000000000001" customHeight="1">
      <c r="A40" s="327" t="s">
        <v>189</v>
      </c>
      <c r="B40" s="310">
        <f>PGL_Requirements!O7/1000</f>
        <v>49.08</v>
      </c>
      <c r="C40" s="310" t="s">
        <v>9</v>
      </c>
      <c r="D40" s="391"/>
      <c r="E40" s="328"/>
      <c r="F40" s="329" t="s">
        <v>190</v>
      </c>
      <c r="G40" s="308"/>
      <c r="H40" s="330"/>
      <c r="I40" s="331"/>
    </row>
    <row r="41" spans="1:9" ht="17.100000000000001" customHeight="1">
      <c r="A41" s="327" t="s">
        <v>191</v>
      </c>
      <c r="B41" s="319">
        <f>PGL_Supplies!L7/1000</f>
        <v>0</v>
      </c>
      <c r="C41" s="310" t="s">
        <v>9</v>
      </c>
      <c r="D41" s="308"/>
      <c r="E41" s="328"/>
      <c r="F41" s="332" t="s">
        <v>192</v>
      </c>
      <c r="G41" s="308"/>
      <c r="H41" s="312"/>
      <c r="I41" s="331"/>
    </row>
    <row r="42" spans="1:9" ht="17.100000000000001" customHeight="1">
      <c r="A42" s="327" t="s">
        <v>193</v>
      </c>
      <c r="B42" s="310">
        <f>PGL_Requirements!B7/1000</f>
        <v>0</v>
      </c>
      <c r="C42" s="310" t="s">
        <v>9</v>
      </c>
      <c r="D42" s="308"/>
      <c r="E42" s="328"/>
      <c r="F42" s="332" t="s">
        <v>194</v>
      </c>
      <c r="G42" s="308"/>
      <c r="H42" s="312"/>
      <c r="I42" s="331"/>
    </row>
    <row r="43" spans="1:9" ht="17.100000000000001" customHeight="1">
      <c r="A43" s="327" t="s">
        <v>195</v>
      </c>
      <c r="B43" s="310">
        <f>PGL_Supplies!G7/1000</f>
        <v>2.508</v>
      </c>
      <c r="C43" s="308"/>
      <c r="D43" s="308"/>
      <c r="E43" s="328"/>
      <c r="F43" s="333" t="s">
        <v>196</v>
      </c>
      <c r="G43" s="308"/>
      <c r="H43" s="312"/>
      <c r="I43" s="331"/>
    </row>
    <row r="44" spans="1:9" ht="17.100000000000001" customHeight="1">
      <c r="A44" s="327" t="s">
        <v>175</v>
      </c>
      <c r="B44" s="334">
        <f>+B48+B47+B45</f>
        <v>0.73619999999999997</v>
      </c>
      <c r="C44" s="335"/>
      <c r="D44" s="308"/>
      <c r="E44" s="328"/>
      <c r="F44" s="332" t="s">
        <v>197</v>
      </c>
      <c r="G44" s="308"/>
      <c r="H44" s="312"/>
      <c r="I44" s="331"/>
    </row>
    <row r="45" spans="1:9" ht="17.100000000000001" customHeight="1">
      <c r="A45" s="327" t="s">
        <v>198</v>
      </c>
      <c r="B45" s="310">
        <f>PGL_Requirements!P7/1000</f>
        <v>0.73619999999999997</v>
      </c>
      <c r="C45" s="308"/>
      <c r="D45" s="308"/>
      <c r="E45" s="328"/>
      <c r="F45" s="337" t="s">
        <v>199</v>
      </c>
      <c r="G45" s="308"/>
      <c r="H45" s="312"/>
      <c r="I45" s="331"/>
    </row>
    <row r="46" spans="1:9" ht="17.100000000000001" customHeight="1">
      <c r="A46" s="317" t="s">
        <v>200</v>
      </c>
      <c r="B46" s="310">
        <f>+B47+B43+B41</f>
        <v>2.508</v>
      </c>
      <c r="C46" s="308"/>
      <c r="D46" s="308"/>
      <c r="E46" s="328"/>
      <c r="F46" s="332" t="s">
        <v>201</v>
      </c>
      <c r="G46" s="308"/>
      <c r="H46" s="312"/>
      <c r="I46" s="331"/>
    </row>
    <row r="47" spans="1:9" ht="17.100000000000001" customHeight="1">
      <c r="A47" s="327" t="s">
        <v>202</v>
      </c>
      <c r="B47" s="336">
        <v>0</v>
      </c>
      <c r="C47" s="308"/>
      <c r="D47" s="308"/>
      <c r="E47" s="328"/>
      <c r="F47" s="332" t="s">
        <v>203</v>
      </c>
      <c r="G47" s="308"/>
      <c r="H47" s="312"/>
      <c r="I47" s="331"/>
    </row>
    <row r="48" spans="1:9" ht="17.100000000000001" customHeight="1" thickBot="1">
      <c r="A48" s="420" t="s">
        <v>204</v>
      </c>
      <c r="B48" s="338">
        <v>0</v>
      </c>
      <c r="C48" s="339"/>
      <c r="D48" s="339"/>
      <c r="E48" s="340"/>
      <c r="F48" s="333" t="s">
        <v>205</v>
      </c>
      <c r="G48" s="308"/>
      <c r="H48" s="312"/>
      <c r="I48" s="331"/>
    </row>
    <row r="49" spans="1:9" ht="17.100000000000001" customHeight="1" thickTop="1" thickBot="1">
      <c r="A49" s="341" t="s">
        <v>9</v>
      </c>
      <c r="B49" s="322" t="s">
        <v>350</v>
      </c>
      <c r="C49" s="342"/>
      <c r="D49" s="342"/>
      <c r="E49" s="342" t="s">
        <v>9</v>
      </c>
      <c r="F49" s="343" t="s">
        <v>206</v>
      </c>
      <c r="G49" s="344"/>
      <c r="H49" s="345"/>
      <c r="I49" s="331"/>
    </row>
    <row r="50" spans="1:9" ht="17.100000000000001" customHeight="1">
      <c r="A50" s="327" t="s">
        <v>388</v>
      </c>
      <c r="B50" s="319">
        <f>PGL_Supplies!U7/1000+PGL_Supplies!C7/1000</f>
        <v>114.94</v>
      </c>
      <c r="C50" s="308"/>
      <c r="D50" s="308"/>
      <c r="E50" s="308"/>
      <c r="F50" s="314" t="s">
        <v>380</v>
      </c>
      <c r="G50" s="346"/>
      <c r="H50" s="347"/>
      <c r="I50" s="331"/>
    </row>
    <row r="51" spans="1:9" ht="17.100000000000001" customHeight="1">
      <c r="A51" s="327" t="s">
        <v>207</v>
      </c>
      <c r="B51" s="319">
        <f>PGL_Supplies!Z7/1000</f>
        <v>0</v>
      </c>
      <c r="C51" s="335"/>
      <c r="D51" s="308"/>
      <c r="E51" s="308"/>
      <c r="F51" s="348" t="s">
        <v>208</v>
      </c>
      <c r="G51" s="346"/>
      <c r="H51" s="312"/>
      <c r="I51" s="331"/>
    </row>
    <row r="52" spans="1:9" ht="17.100000000000001" customHeight="1" thickBot="1">
      <c r="A52" s="327" t="s">
        <v>351</v>
      </c>
      <c r="B52" s="319">
        <f>NSG_Supplies!N7/1000+PGL_Supplies!P7/1000</f>
        <v>0</v>
      </c>
      <c r="C52" s="308"/>
      <c r="D52" s="308"/>
      <c r="E52" s="308"/>
      <c r="F52" s="349" t="s">
        <v>209</v>
      </c>
      <c r="G52" s="350"/>
      <c r="H52" s="351"/>
      <c r="I52" s="331"/>
    </row>
    <row r="53" spans="1:9" ht="17.100000000000001" customHeight="1">
      <c r="A53" s="365" t="s">
        <v>219</v>
      </c>
      <c r="B53" s="319">
        <f>PGL_Requirements!I7/1000+NSG_Requirements!E7/1000</f>
        <v>0</v>
      </c>
      <c r="C53" s="308"/>
      <c r="D53" s="308"/>
      <c r="E53" s="308"/>
      <c r="F53" s="343" t="s">
        <v>210</v>
      </c>
      <c r="G53" s="352"/>
      <c r="H53" s="335"/>
      <c r="I53" s="331"/>
    </row>
    <row r="54" spans="1:9" ht="17.100000000000001" customHeight="1" thickBot="1">
      <c r="A54" s="317" t="s">
        <v>211</v>
      </c>
      <c r="B54" s="371">
        <f>SUM(B50+B51+B52-B53)</f>
        <v>114.94</v>
      </c>
      <c r="C54" s="319"/>
      <c r="D54" s="308"/>
      <c r="E54" s="308"/>
      <c r="F54" s="353" t="s">
        <v>212</v>
      </c>
      <c r="G54" s="354"/>
      <c r="H54" s="354"/>
      <c r="I54" s="355"/>
    </row>
    <row r="55" spans="1:9" ht="17.100000000000001" customHeight="1" thickBot="1">
      <c r="A55" s="341" t="s">
        <v>9</v>
      </c>
      <c r="B55" s="324" t="s">
        <v>66</v>
      </c>
      <c r="C55" s="342"/>
      <c r="D55" s="342"/>
      <c r="E55" s="342"/>
      <c r="F55" s="356" t="s">
        <v>213</v>
      </c>
      <c r="G55" s="308"/>
      <c r="H55" s="357"/>
      <c r="I55" s="316">
        <f>NSG_Supplies!O7/1000</f>
        <v>0</v>
      </c>
    </row>
    <row r="56" spans="1:9" ht="17.100000000000001" customHeight="1">
      <c r="A56" s="420" t="s">
        <v>371</v>
      </c>
      <c r="B56" s="319">
        <f>PGL_Supplies!T7/1000</f>
        <v>0</v>
      </c>
      <c r="C56" s="308"/>
      <c r="D56" s="308"/>
      <c r="E56" s="308"/>
      <c r="F56" s="356" t="s">
        <v>214</v>
      </c>
      <c r="G56" s="308"/>
      <c r="H56" s="358">
        <f>NSG_Requirements!B7/1000</f>
        <v>0</v>
      </c>
      <c r="I56" s="316">
        <f>NSG_Supplies!B7/1000</f>
        <v>0</v>
      </c>
    </row>
    <row r="57" spans="1:9" ht="17.100000000000001" customHeight="1">
      <c r="A57" s="327" t="s">
        <v>472</v>
      </c>
      <c r="B57" s="319" t="e">
        <f>PGL_Supplies!Y7/1000+PGL_Supplies!#REF!/1000-PGL_Requirements!#REF!/1000</f>
        <v>#REF!</v>
      </c>
      <c r="C57" s="308"/>
      <c r="D57" s="308"/>
      <c r="E57" s="308"/>
      <c r="F57" s="356" t="s">
        <v>215</v>
      </c>
      <c r="G57" s="308"/>
      <c r="H57" s="358">
        <f>NSG_Requirements!S7/1000</f>
        <v>0</v>
      </c>
      <c r="I57" s="359"/>
    </row>
    <row r="58" spans="1:9" ht="17.100000000000001" customHeight="1">
      <c r="A58" s="327" t="s">
        <v>216</v>
      </c>
      <c r="B58" s="319">
        <f>PGL_Requirements!T7/1000</f>
        <v>0.2</v>
      </c>
      <c r="C58" s="308"/>
      <c r="D58" s="308"/>
      <c r="E58" s="308"/>
      <c r="F58" s="356" t="s">
        <v>217</v>
      </c>
      <c r="G58" s="308"/>
      <c r="H58" s="360"/>
      <c r="I58" s="361">
        <f>PGL_Requirements!V7/1000</f>
        <v>0</v>
      </c>
    </row>
    <row r="59" spans="1:9" ht="17.100000000000001" customHeight="1">
      <c r="A59" s="327" t="s">
        <v>218</v>
      </c>
      <c r="B59" s="319">
        <f>PGL_Supplies!Q7/1000</f>
        <v>0</v>
      </c>
      <c r="C59" s="308"/>
      <c r="D59" s="308"/>
      <c r="E59" s="308"/>
      <c r="F59" s="362" t="s">
        <v>219</v>
      </c>
      <c r="G59" s="308"/>
      <c r="H59" s="363">
        <f>NSG_Requirements!D7/1000</f>
        <v>0</v>
      </c>
      <c r="I59" s="364"/>
    </row>
    <row r="60" spans="1:9" ht="17.100000000000001" customHeight="1">
      <c r="A60" s="365" t="s">
        <v>219</v>
      </c>
      <c r="B60" s="319">
        <f>PGL_Requirements!H7/1000</f>
        <v>0</v>
      </c>
      <c r="C60" s="308"/>
      <c r="D60" s="308"/>
      <c r="E60" s="308"/>
      <c r="F60" s="366" t="s">
        <v>220</v>
      </c>
      <c r="G60" s="346"/>
      <c r="H60" s="363">
        <f>NSG_Requirements!O7/1000</f>
        <v>0</v>
      </c>
      <c r="I60" s="316">
        <f>+NSG_Supplies!K7/1000</f>
        <v>0</v>
      </c>
    </row>
    <row r="61" spans="1:9" ht="17.100000000000001" customHeight="1" thickBot="1">
      <c r="A61" s="420" t="s">
        <v>393</v>
      </c>
      <c r="B61" s="367">
        <f>(NSG_Requirements!$S$7+NSG_Requirements!$T$7+NSG_Requirements!$U$7+NSG_Requirements!$N$7)/1000</f>
        <v>0</v>
      </c>
      <c r="C61" s="308"/>
      <c r="D61" s="308"/>
      <c r="E61" s="308"/>
      <c r="F61" s="368" t="s">
        <v>221</v>
      </c>
      <c r="G61" s="339"/>
      <c r="H61" s="369"/>
      <c r="I61" s="370">
        <f>NSG_Supplies!L7/1000</f>
        <v>0</v>
      </c>
    </row>
    <row r="62" spans="1:9" ht="17.100000000000001" customHeight="1" thickTop="1">
      <c r="A62" s="317" t="s">
        <v>211</v>
      </c>
      <c r="B62" s="371" t="e">
        <f>B56+B57-B58+B59-B60+B61</f>
        <v>#REF!</v>
      </c>
      <c r="C62" s="372"/>
      <c r="D62" s="372"/>
      <c r="E62" s="372"/>
      <c r="F62" s="373" t="s">
        <v>222</v>
      </c>
      <c r="G62" s="308"/>
      <c r="H62" s="360"/>
      <c r="I62" s="374">
        <v>0</v>
      </c>
    </row>
    <row r="63" spans="1:9" ht="17.100000000000001" customHeight="1" thickBot="1">
      <c r="A63" s="341" t="s">
        <v>9</v>
      </c>
      <c r="B63" s="322"/>
      <c r="C63" s="322" t="s">
        <v>390</v>
      </c>
      <c r="D63" s="342"/>
      <c r="E63" s="478" t="s">
        <v>9</v>
      </c>
      <c r="F63" s="343" t="s">
        <v>223</v>
      </c>
      <c r="G63" s="308"/>
      <c r="H63" s="360"/>
      <c r="I63" s="307">
        <f>I58+I60+I56-H56</f>
        <v>0</v>
      </c>
    </row>
    <row r="64" spans="1:9" ht="17.100000000000001" customHeight="1" thickBot="1">
      <c r="A64" s="420" t="s">
        <v>371</v>
      </c>
      <c r="B64" s="319">
        <f>PGL_Supplies!X7/1000</f>
        <v>108.172</v>
      </c>
      <c r="C64" s="308"/>
      <c r="D64" s="308"/>
      <c r="E64" s="375"/>
      <c r="F64" s="353" t="s">
        <v>224</v>
      </c>
      <c r="G64" s="354"/>
      <c r="H64" s="354"/>
      <c r="I64" s="355"/>
    </row>
    <row r="65" spans="1:10" ht="17.100000000000001" customHeight="1">
      <c r="A65" s="327" t="s">
        <v>471</v>
      </c>
      <c r="B65" s="319">
        <f>PGL_Supplies!AC7/1000+PGL_Supplies!F7/1000-PGL_Requirements!E7/1000</f>
        <v>0</v>
      </c>
      <c r="C65" s="376" t="s">
        <v>9</v>
      </c>
      <c r="D65" s="308"/>
      <c r="E65" s="377"/>
      <c r="F65" s="378" t="s">
        <v>225</v>
      </c>
      <c r="G65" s="379"/>
      <c r="H65" s="380"/>
      <c r="I65" s="381">
        <f>NSG_Supplies!N7/1000</f>
        <v>0</v>
      </c>
    </row>
    <row r="66" spans="1:10" ht="17.100000000000001" customHeight="1">
      <c r="A66" s="327" t="s">
        <v>226</v>
      </c>
      <c r="B66" s="319">
        <f>PGL_Supplies!AD7/1000</f>
        <v>0</v>
      </c>
      <c r="C66" s="376" t="s">
        <v>9</v>
      </c>
      <c r="D66" s="308"/>
      <c r="E66" s="377"/>
      <c r="F66" s="379" t="s">
        <v>227</v>
      </c>
      <c r="G66" s="379"/>
      <c r="H66" s="382">
        <f>NSG_Requirements!M7/1000</f>
        <v>0</v>
      </c>
      <c r="I66" s="359"/>
    </row>
    <row r="67" spans="1:10" ht="17.100000000000001" customHeight="1">
      <c r="A67" s="327" t="s">
        <v>228</v>
      </c>
      <c r="B67" s="383">
        <f>PGL_Requirements!S7/1000</f>
        <v>0</v>
      </c>
      <c r="C67" s="384" t="s">
        <v>9</v>
      </c>
      <c r="D67" s="308"/>
      <c r="E67" s="377"/>
      <c r="F67" s="379" t="s">
        <v>229</v>
      </c>
      <c r="G67" s="379"/>
      <c r="H67" s="385">
        <f>(NSG_Requirements!$Y$7+NSG_Requirements!$Z$7+NSG_Requirements!$AA$7)/1000</f>
        <v>0</v>
      </c>
      <c r="I67" s="386">
        <f>(PGL_Requirements!$AB$7+PGL_Requirements!$AC$7+PGL_Requirements!$AD$7)/1000</f>
        <v>0</v>
      </c>
    </row>
    <row r="68" spans="1:10" ht="17.100000000000001" customHeight="1" thickBot="1">
      <c r="A68" s="327" t="s">
        <v>230</v>
      </c>
      <c r="B68" s="319">
        <f>PGL_Supplies!O7/1000</f>
        <v>0</v>
      </c>
      <c r="C68" s="376" t="s">
        <v>9</v>
      </c>
      <c r="D68" s="308"/>
      <c r="E68" s="377"/>
      <c r="F68" s="387"/>
      <c r="G68" s="387"/>
      <c r="H68" s="388"/>
      <c r="I68" s="389"/>
    </row>
    <row r="69" spans="1:10" ht="17.100000000000001" customHeight="1">
      <c r="A69" s="365" t="s">
        <v>219</v>
      </c>
      <c r="B69" s="383">
        <f>PGL_Requirements!M7/1000</f>
        <v>0</v>
      </c>
      <c r="C69" s="384" t="s">
        <v>9</v>
      </c>
      <c r="D69" s="308"/>
      <c r="E69" s="486"/>
      <c r="F69" s="390" t="s">
        <v>231</v>
      </c>
      <c r="G69" s="380" t="s">
        <v>9</v>
      </c>
      <c r="H69" s="391" t="s">
        <v>376</v>
      </c>
      <c r="I69" s="377"/>
    </row>
    <row r="70" spans="1:10" ht="17.100000000000001" customHeight="1">
      <c r="A70" s="327" t="s">
        <v>232</v>
      </c>
      <c r="B70" s="383">
        <f>PGL_Requirements!O7/1000</f>
        <v>49.08</v>
      </c>
      <c r="C70" s="384" t="s">
        <v>9</v>
      </c>
      <c r="D70" s="308"/>
      <c r="E70" s="377"/>
      <c r="F70" s="390" t="s">
        <v>233</v>
      </c>
      <c r="G70" s="380" t="s">
        <v>9</v>
      </c>
      <c r="H70" s="419" t="s">
        <v>234</v>
      </c>
      <c r="I70" s="418"/>
    </row>
    <row r="71" spans="1:10" ht="17.100000000000001" customHeight="1">
      <c r="A71" s="327" t="s">
        <v>235</v>
      </c>
      <c r="B71" s="383">
        <f>PGL_Requirements!E7/1000</f>
        <v>4.4989999999999997</v>
      </c>
      <c r="C71" s="376" t="s">
        <v>9</v>
      </c>
      <c r="D71" s="308"/>
      <c r="E71" s="377"/>
      <c r="F71" s="379" t="s">
        <v>236</v>
      </c>
      <c r="G71" s="380" t="s">
        <v>9</v>
      </c>
      <c r="H71" s="393"/>
      <c r="I71" s="377" t="s">
        <v>9</v>
      </c>
    </row>
    <row r="72" spans="1:10" ht="17.100000000000001" customHeight="1" thickBot="1">
      <c r="A72" s="394" t="s">
        <v>211</v>
      </c>
      <c r="B72" s="395">
        <f>+B65+B64+B66+B68-B67-B69-B70</f>
        <v>59.091999999999999</v>
      </c>
      <c r="C72" s="395" t="s">
        <v>9</v>
      </c>
      <c r="D72" s="396"/>
      <c r="E72" s="397"/>
      <c r="F72" s="392"/>
      <c r="G72" s="487"/>
      <c r="H72" s="398"/>
      <c r="I72" s="399"/>
    </row>
    <row r="73" spans="1:10" ht="17.100000000000001" customHeight="1" thickBot="1">
      <c r="A73" s="353" t="s">
        <v>237</v>
      </c>
      <c r="B73" s="354"/>
      <c r="C73" s="355"/>
      <c r="D73" s="335"/>
      <c r="E73" s="335"/>
      <c r="F73" s="417" t="s">
        <v>238</v>
      </c>
      <c r="G73" s="400" t="str">
        <f>CHOOSE(WEEKDAY(H73),"SUN","MON","TUE","WED","THU","FRI","SAT")</f>
        <v>MON</v>
      </c>
      <c r="H73" s="401">
        <f>Weather_Input!A5</f>
        <v>37095</v>
      </c>
      <c r="I73" s="402"/>
    </row>
    <row r="74" spans="1:10" ht="17.100000000000001" customHeight="1">
      <c r="A74" s="378" t="s">
        <v>239</v>
      </c>
      <c r="B74" s="308" t="s">
        <v>9</v>
      </c>
      <c r="C74" s="328"/>
      <c r="D74" s="403"/>
      <c r="E74" s="335"/>
      <c r="F74" s="335"/>
      <c r="G74" s="335"/>
      <c r="H74" s="335"/>
      <c r="I74" s="402"/>
    </row>
    <row r="75" spans="1:10" ht="17.100000000000001" customHeight="1">
      <c r="A75" s="356" t="s">
        <v>240</v>
      </c>
      <c r="B75" s="308"/>
      <c r="C75" s="328"/>
      <c r="D75" s="404"/>
      <c r="E75" s="379"/>
      <c r="F75" s="379"/>
      <c r="G75" s="379"/>
      <c r="H75" s="335"/>
      <c r="I75" s="402"/>
    </row>
    <row r="76" spans="1:10" ht="17.100000000000001" customHeight="1" thickBot="1">
      <c r="A76" s="405" t="s">
        <v>241</v>
      </c>
      <c r="B76" s="339"/>
      <c r="C76" s="340"/>
      <c r="D76" s="406" t="s">
        <v>242</v>
      </c>
      <c r="E76" s="407"/>
      <c r="F76" s="408" t="s">
        <v>243</v>
      </c>
      <c r="G76" s="409"/>
      <c r="H76" s="410" t="s">
        <v>244</v>
      </c>
      <c r="I76" s="411" t="s">
        <v>244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9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" thickBot="1">
      <c r="B89" s="8"/>
      <c r="C89" s="8"/>
      <c r="D89" s="8"/>
      <c r="E89" s="8"/>
      <c r="F89" s="8"/>
      <c r="G89" s="8"/>
    </row>
    <row r="90" spans="1:9" ht="16.2" thickTop="1">
      <c r="A90" s="582" t="s">
        <v>398</v>
      </c>
      <c r="B90" s="583"/>
      <c r="C90" s="583"/>
      <c r="D90" s="583"/>
      <c r="E90" s="584" t="s">
        <v>159</v>
      </c>
      <c r="F90" s="585">
        <f>Weather_Input!L5</f>
        <v>1</v>
      </c>
      <c r="G90" s="586" t="s">
        <v>9</v>
      </c>
      <c r="H90" s="587"/>
      <c r="I90" s="588"/>
    </row>
    <row r="91" spans="1:9" ht="15.6">
      <c r="A91" s="253"/>
      <c r="B91" s="604" t="s">
        <v>395</v>
      </c>
      <c r="C91" s="264" t="s">
        <v>9</v>
      </c>
      <c r="D91" s="596" t="s">
        <v>466</v>
      </c>
      <c r="E91" s="603"/>
      <c r="F91" s="601" t="s">
        <v>467</v>
      </c>
      <c r="G91" s="602"/>
      <c r="H91" s="600" t="s">
        <v>160</v>
      </c>
      <c r="I91" s="255"/>
    </row>
    <row r="92" spans="1:9" ht="15">
      <c r="A92" s="488" t="s">
        <v>396</v>
      </c>
      <c r="B92" s="595" t="s">
        <v>387</v>
      </c>
      <c r="C92" s="256" t="s">
        <v>162</v>
      </c>
      <c r="D92" s="595" t="s">
        <v>21</v>
      </c>
      <c r="E92" s="256" t="s">
        <v>162</v>
      </c>
      <c r="F92" s="598" t="s">
        <v>21</v>
      </c>
      <c r="G92" s="256" t="s">
        <v>162</v>
      </c>
      <c r="H92" s="595" t="s">
        <v>21</v>
      </c>
      <c r="I92" s="489" t="s">
        <v>162</v>
      </c>
    </row>
    <row r="93" spans="1:9" ht="15.6">
      <c r="A93" s="253" t="s">
        <v>9</v>
      </c>
      <c r="B93" s="263"/>
      <c r="C93" s="261"/>
      <c r="D93" s="597"/>
      <c r="E93" s="597"/>
      <c r="F93" s="599"/>
      <c r="G93" s="264"/>
      <c r="H93" s="264"/>
      <c r="I93" s="262"/>
    </row>
    <row r="94" spans="1:9" ht="16.2" thickBot="1">
      <c r="A94" s="253" t="s">
        <v>397</v>
      </c>
      <c r="B94" s="496" t="s">
        <v>9</v>
      </c>
      <c r="C94" s="495" t="s">
        <v>9</v>
      </c>
      <c r="D94" s="490" t="s">
        <v>9</v>
      </c>
      <c r="E94" s="497"/>
      <c r="F94" s="498"/>
      <c r="G94" s="266"/>
      <c r="H94" s="498"/>
      <c r="I94" s="255"/>
    </row>
    <row r="95" spans="1:9" ht="16.2" thickBot="1">
      <c r="A95" s="491"/>
      <c r="B95" s="492" t="s">
        <v>9</v>
      </c>
      <c r="C95" s="492" t="s">
        <v>9</v>
      </c>
      <c r="D95" s="493"/>
      <c r="E95" s="493"/>
      <c r="F95" s="493"/>
      <c r="G95" s="493"/>
      <c r="H95" s="493"/>
      <c r="I95" s="494"/>
    </row>
    <row r="96" spans="1:9" ht="15">
      <c r="A96" s="488" t="s">
        <v>168</v>
      </c>
      <c r="B96" s="288" t="s">
        <v>9</v>
      </c>
      <c r="C96" s="618" t="e">
        <f>I150</f>
        <v>#REF!</v>
      </c>
      <c r="D96" s="614"/>
      <c r="E96" s="264"/>
      <c r="F96" s="614"/>
      <c r="G96" s="264"/>
      <c r="H96" s="614"/>
      <c r="I96" s="262" t="s">
        <v>9</v>
      </c>
    </row>
    <row r="97" spans="1:9" ht="15">
      <c r="A97" s="488" t="s">
        <v>66</v>
      </c>
      <c r="B97" s="277" t="s">
        <v>9</v>
      </c>
      <c r="C97" s="618" t="e">
        <f>B133</f>
        <v>#REF!</v>
      </c>
      <c r="D97" s="597"/>
      <c r="E97" s="609" t="e">
        <f>+C97</f>
        <v>#REF!</v>
      </c>
      <c r="F97" s="597"/>
      <c r="G97" s="609" t="e">
        <f>+C97</f>
        <v>#REF!</v>
      </c>
      <c r="H97" s="597"/>
      <c r="I97" s="280" t="e">
        <f>+C97</f>
        <v>#REF!</v>
      </c>
    </row>
    <row r="98" spans="1:9" ht="15">
      <c r="A98" s="488" t="s">
        <v>58</v>
      </c>
      <c r="B98" s="277" t="s">
        <v>9</v>
      </c>
      <c r="C98" s="618">
        <f>B149</f>
        <v>2.508</v>
      </c>
      <c r="D98" s="597"/>
      <c r="E98" s="264"/>
      <c r="F98" s="597"/>
      <c r="G98" s="264"/>
      <c r="H98" s="597"/>
      <c r="I98" s="262"/>
    </row>
    <row r="99" spans="1:9" ht="15">
      <c r="A99" s="488" t="s">
        <v>67</v>
      </c>
      <c r="B99" s="277" t="s">
        <v>9</v>
      </c>
      <c r="C99" s="618">
        <f>B141</f>
        <v>114.94</v>
      </c>
      <c r="D99" s="615"/>
      <c r="E99" s="264"/>
      <c r="F99" s="597"/>
      <c r="G99" s="264"/>
      <c r="H99" s="597"/>
      <c r="I99" s="262"/>
    </row>
    <row r="100" spans="1:9" ht="15">
      <c r="A100" s="488" t="s">
        <v>399</v>
      </c>
      <c r="B100" s="281" t="s">
        <v>9</v>
      </c>
      <c r="C100" s="618">
        <f>I157+I158</f>
        <v>0</v>
      </c>
      <c r="D100" s="597"/>
      <c r="E100" s="264"/>
      <c r="F100" s="597"/>
      <c r="G100" s="264"/>
      <c r="H100" s="597"/>
      <c r="I100" s="262"/>
    </row>
    <row r="101" spans="1:9" ht="15">
      <c r="A101" s="488" t="s">
        <v>400</v>
      </c>
      <c r="B101" s="277" t="s">
        <v>9</v>
      </c>
      <c r="C101" s="618" t="e">
        <f>I146</f>
        <v>#REF!</v>
      </c>
      <c r="D101" s="597" t="s">
        <v>9</v>
      </c>
      <c r="E101" s="264"/>
      <c r="F101" s="597"/>
      <c r="G101" s="264"/>
      <c r="H101" s="597"/>
      <c r="I101" s="262"/>
    </row>
    <row r="102" spans="1:9" ht="15">
      <c r="A102" s="488" t="s">
        <v>35</v>
      </c>
      <c r="B102" s="277" t="s">
        <v>158</v>
      </c>
      <c r="C102" s="618">
        <f>B162</f>
        <v>108.172</v>
      </c>
      <c r="D102" s="597"/>
      <c r="E102" s="264"/>
      <c r="F102" s="597"/>
      <c r="G102" s="264"/>
      <c r="H102" s="597"/>
      <c r="I102" s="262"/>
    </row>
    <row r="103" spans="1:9" ht="15">
      <c r="A103" s="488" t="s">
        <v>95</v>
      </c>
      <c r="B103" s="277" t="s">
        <v>9</v>
      </c>
      <c r="C103" s="618">
        <f>PGL_Requirements!F7/1000</f>
        <v>0</v>
      </c>
      <c r="D103" s="615"/>
      <c r="E103" s="264"/>
      <c r="F103" s="597"/>
      <c r="G103" s="264"/>
      <c r="H103" s="597"/>
      <c r="I103" s="262"/>
    </row>
    <row r="104" spans="1:9" ht="15.6" thickBot="1">
      <c r="A104" s="287" t="s">
        <v>105</v>
      </c>
      <c r="B104" s="610" t="s">
        <v>9</v>
      </c>
      <c r="C104" s="618">
        <f>PGL_Supplies!B7/1000</f>
        <v>41.36</v>
      </c>
      <c r="D104" s="596"/>
      <c r="E104" s="264"/>
      <c r="F104" s="597"/>
      <c r="G104" s="264"/>
      <c r="H104" s="597"/>
      <c r="I104" s="262"/>
    </row>
    <row r="105" spans="1:9" ht="16.2" thickBot="1">
      <c r="A105" s="611" t="s">
        <v>401</v>
      </c>
      <c r="B105" s="612" t="s">
        <v>9</v>
      </c>
      <c r="C105" s="506" t="s">
        <v>9</v>
      </c>
      <c r="D105" s="616" t="s">
        <v>9</v>
      </c>
      <c r="E105" s="613" t="s">
        <v>9</v>
      </c>
      <c r="F105" s="616" t="s">
        <v>9</v>
      </c>
      <c r="G105" s="613" t="s">
        <v>9</v>
      </c>
      <c r="H105" s="616" t="s">
        <v>9</v>
      </c>
      <c r="I105" s="617"/>
    </row>
    <row r="106" spans="1:9" ht="16.2" thickBot="1">
      <c r="A106" s="499" t="s">
        <v>36</v>
      </c>
      <c r="B106" s="500">
        <f>-PGL_Supplies!T7/1000</f>
        <v>0</v>
      </c>
      <c r="C106" s="501">
        <f>-NSG_Supplies!AE7/1000</f>
        <v>0</v>
      </c>
      <c r="D106" s="502"/>
      <c r="E106" s="503"/>
      <c r="F106" s="502"/>
      <c r="G106" s="503"/>
      <c r="H106" s="504"/>
      <c r="I106" s="505"/>
    </row>
    <row r="107" spans="1:9" ht="15">
      <c r="A107" s="488" t="s">
        <v>402</v>
      </c>
      <c r="B107" s="277" t="e">
        <f>B94+B105+B106</f>
        <v>#VALUE!</v>
      </c>
      <c r="C107" s="290" t="e">
        <f>C94+C105+C106</f>
        <v>#VALUE!</v>
      </c>
      <c r="D107" s="261"/>
      <c r="E107" s="263"/>
      <c r="F107" s="261"/>
      <c r="G107" s="263"/>
      <c r="H107" s="264"/>
      <c r="I107" s="255"/>
    </row>
    <row r="108" spans="1:9" ht="15">
      <c r="A108" s="488" t="s">
        <v>403</v>
      </c>
      <c r="B108" s="277">
        <v>0</v>
      </c>
      <c r="C108" s="263"/>
      <c r="D108" s="261"/>
      <c r="E108" s="263"/>
      <c r="F108" s="261"/>
      <c r="G108" s="263"/>
      <c r="H108" s="264"/>
      <c r="I108" s="291"/>
    </row>
    <row r="109" spans="1:9" ht="15">
      <c r="A109" s="488" t="s">
        <v>404</v>
      </c>
      <c r="B109" s="277" t="e">
        <f>+B129</f>
        <v>#REF!</v>
      </c>
      <c r="C109" s="263"/>
      <c r="D109" s="261"/>
      <c r="E109" s="263"/>
      <c r="F109" s="292" t="s">
        <v>9</v>
      </c>
      <c r="G109" s="301"/>
      <c r="H109" s="293" t="s">
        <v>9</v>
      </c>
      <c r="I109" s="255"/>
    </row>
    <row r="110" spans="1:9" ht="15.6">
      <c r="A110" s="507" t="s">
        <v>405</v>
      </c>
      <c r="B110" s="295" t="e">
        <f>B107+B108+B109</f>
        <v>#VALUE!</v>
      </c>
      <c r="C110" s="296" t="e">
        <f>C107</f>
        <v>#VALUE!</v>
      </c>
      <c r="D110" s="261"/>
      <c r="E110" s="263"/>
      <c r="F110" s="297"/>
      <c r="G110" s="263"/>
      <c r="H110" s="298" t="s">
        <v>9</v>
      </c>
      <c r="I110" s="299" t="s">
        <v>9</v>
      </c>
    </row>
    <row r="111" spans="1:9" ht="16.2" thickBot="1">
      <c r="A111" s="508" t="s">
        <v>406</v>
      </c>
      <c r="B111" s="301">
        <f>-NSG_Requirements!$L$7/1000</f>
        <v>0</v>
      </c>
      <c r="C111" s="301">
        <f>NSG_Requirements!$L$7/1000</f>
        <v>0</v>
      </c>
      <c r="D111" s="302">
        <f>B111</f>
        <v>0</v>
      </c>
      <c r="E111" s="301">
        <f>C111</f>
        <v>0</v>
      </c>
      <c r="F111" s="302">
        <f>B111</f>
        <v>0</v>
      </c>
      <c r="G111" s="301">
        <f>C111</f>
        <v>0</v>
      </c>
      <c r="H111" s="447">
        <f>B111</f>
        <v>0</v>
      </c>
      <c r="I111" s="303">
        <f>C111</f>
        <v>0</v>
      </c>
    </row>
    <row r="112" spans="1:9" ht="15">
      <c r="A112" s="488" t="s">
        <v>407</v>
      </c>
      <c r="B112" s="301"/>
      <c r="C112" s="301"/>
      <c r="D112" s="302"/>
      <c r="E112" s="301"/>
      <c r="F112" s="302"/>
      <c r="G112" s="301"/>
      <c r="H112" s="509"/>
      <c r="I112" s="510"/>
    </row>
    <row r="113" spans="1:9" ht="15.6">
      <c r="A113" s="420" t="s">
        <v>408</v>
      </c>
      <c r="B113" s="305">
        <f>PGL_Requirements!V7/1000</f>
        <v>0</v>
      </c>
      <c r="C113" s="305">
        <f>NSG_Requirements!Q7/1000</f>
        <v>0</v>
      </c>
      <c r="D113" s="305">
        <f>B113</f>
        <v>0</v>
      </c>
      <c r="E113" s="305">
        <f>+C113</f>
        <v>0</v>
      </c>
      <c r="F113" s="305">
        <f>B113</f>
        <v>0</v>
      </c>
      <c r="G113" s="305">
        <f>+C113</f>
        <v>0</v>
      </c>
      <c r="H113" s="306">
        <f>B113</f>
        <v>0</v>
      </c>
      <c r="I113" s="307">
        <f>+C113</f>
        <v>0</v>
      </c>
    </row>
    <row r="114" spans="1:9" ht="15.6">
      <c r="A114" s="327" t="s">
        <v>409</v>
      </c>
      <c r="B114" s="305">
        <f>PGL_Requirements!AB7/1000</f>
        <v>0</v>
      </c>
      <c r="C114" s="305">
        <f>NSG_Requirements!AA7/1000</f>
        <v>0</v>
      </c>
      <c r="D114" s="305">
        <f>PGL_Requirements!AB7/1000</f>
        <v>0</v>
      </c>
      <c r="E114" s="305">
        <f>NSG_Requirements!AA7/1000</f>
        <v>0</v>
      </c>
      <c r="F114" s="305">
        <f>PGL_Requirements!AB7/1000</f>
        <v>0</v>
      </c>
      <c r="G114" s="305">
        <f>NSG_Requirements!AA7/1000</f>
        <v>0</v>
      </c>
      <c r="H114" s="306">
        <f>+B114</f>
        <v>0</v>
      </c>
      <c r="I114" s="307">
        <f>+C114</f>
        <v>0</v>
      </c>
    </row>
    <row r="115" spans="1:9" ht="15">
      <c r="A115" s="420" t="s">
        <v>410</v>
      </c>
      <c r="B115" s="310">
        <v>0</v>
      </c>
      <c r="C115" s="310">
        <v>0</v>
      </c>
      <c r="D115" s="310">
        <v>0</v>
      </c>
      <c r="E115" s="310">
        <v>0</v>
      </c>
      <c r="F115" s="310">
        <v>0</v>
      </c>
      <c r="G115" s="310">
        <f>C115</f>
        <v>0</v>
      </c>
      <c r="H115" s="315">
        <f>B115</f>
        <v>0</v>
      </c>
      <c r="I115" s="316">
        <f>C115</f>
        <v>0</v>
      </c>
    </row>
    <row r="116" spans="1:9" ht="15">
      <c r="A116" s="420" t="s">
        <v>411</v>
      </c>
      <c r="B116" s="414">
        <f>-PGL_Supplies!Y7/1000</f>
        <v>-0.2</v>
      </c>
      <c r="C116" s="414">
        <f>-NSG_Supplies!V7/1000</f>
        <v>0</v>
      </c>
      <c r="D116" s="310">
        <f>-PGL_Supplies!Y7/1000</f>
        <v>-0.2</v>
      </c>
      <c r="E116" s="310">
        <f>-NSG_Supplies!V7/1000</f>
        <v>0</v>
      </c>
      <c r="F116" s="310">
        <f>-PGL_Supplies!Y7/1000</f>
        <v>-0.2</v>
      </c>
      <c r="G116" s="310">
        <f>-NSG_Supplies!V7/1000</f>
        <v>0</v>
      </c>
      <c r="H116" s="315">
        <f>-PGL_Supplies!Y7/1000</f>
        <v>-0.2</v>
      </c>
      <c r="I116" s="316">
        <f>-NSG_Supplies!V7/1000</f>
        <v>0</v>
      </c>
    </row>
    <row r="117" spans="1:9" ht="15">
      <c r="A117" s="420" t="s">
        <v>412</v>
      </c>
      <c r="B117" s="310">
        <f>-PGL_Supplies!Z7/1000</f>
        <v>0</v>
      </c>
      <c r="C117" s="310">
        <f>-NSG_Supplies!W7/1000</f>
        <v>0</v>
      </c>
      <c r="D117" s="310">
        <f>-PGL_Supplies!Z7/1000</f>
        <v>0</v>
      </c>
      <c r="E117" s="310">
        <f>-NSG_Supplies!W7/1000</f>
        <v>0</v>
      </c>
      <c r="F117" s="310">
        <f>-PGL_Supplies!Z7/1000</f>
        <v>0</v>
      </c>
      <c r="G117" s="310">
        <f>-NSG_Supplies!W7/1000</f>
        <v>0</v>
      </c>
      <c r="H117" s="315">
        <f>-PGL_Supplies!Z7/1000</f>
        <v>0</v>
      </c>
      <c r="I117" s="316">
        <f>-NSG_Supplies!W7/1000</f>
        <v>0</v>
      </c>
    </row>
    <row r="118" spans="1:9" ht="15.6">
      <c r="A118" s="420" t="s">
        <v>414</v>
      </c>
      <c r="B118" s="415" t="e">
        <f>(PGL_Requirements!#REF!+PGL_Requirements!$Y$7+PGL_Requirements!$Z$7)/1000+(NSG_Requirements!$V$7+NSG_Requirements!$W$7+NSG_Requirements!$X$7)/1000</f>
        <v>#REF!</v>
      </c>
      <c r="C118" s="415" t="e">
        <f>-(PGL_Requirements!#REF!+PGL_Requirements!$Y$7+PGL_Requirements!$Z$7)/1000+(NSG_Requirements!$V$7+NSG_Requirements!$W$7+NSG_Requirements!$X$7)/1000</f>
        <v>#REF!</v>
      </c>
      <c r="D118" s="305" t="e">
        <f>+B118</f>
        <v>#REF!</v>
      </c>
      <c r="E118" s="310" t="e">
        <f>+C118</f>
        <v>#REF!</v>
      </c>
      <c r="F118" s="305" t="e">
        <f>+B118</f>
        <v>#REF!</v>
      </c>
      <c r="G118" s="310" t="e">
        <f>+E118</f>
        <v>#REF!</v>
      </c>
      <c r="H118" s="306" t="e">
        <f>+B118</f>
        <v>#REF!</v>
      </c>
      <c r="I118" s="307" t="e">
        <f>+C118</f>
        <v>#REF!</v>
      </c>
    </row>
    <row r="119" spans="1:9" ht="15">
      <c r="A119" s="420" t="s">
        <v>415</v>
      </c>
      <c r="B119" s="310">
        <f>-PGL_Supplies!AM7/1000</f>
        <v>0</v>
      </c>
      <c r="C119" s="310">
        <f>-NSG_Supplies!AC7/1000</f>
        <v>0</v>
      </c>
      <c r="D119" s="310">
        <f>B119</f>
        <v>0</v>
      </c>
      <c r="E119" s="310">
        <f>C119</f>
        <v>0</v>
      </c>
      <c r="F119" s="310">
        <f>B119</f>
        <v>0</v>
      </c>
      <c r="G119" s="310">
        <f>C119</f>
        <v>0</v>
      </c>
      <c r="H119" s="315">
        <f>B119</f>
        <v>0</v>
      </c>
      <c r="I119" s="316">
        <f>C119</f>
        <v>0</v>
      </c>
    </row>
    <row r="120" spans="1:9" ht="15">
      <c r="A120" s="420" t="s">
        <v>183</v>
      </c>
      <c r="B120" s="310">
        <f>-PGL_Supplies!AI7/1000</f>
        <v>0</v>
      </c>
      <c r="C120" s="310">
        <f>-NSG_Supplies!AD7/1000</f>
        <v>0</v>
      </c>
      <c r="D120" s="310">
        <f>B120</f>
        <v>0</v>
      </c>
      <c r="E120" s="310">
        <f>C120</f>
        <v>0</v>
      </c>
      <c r="F120" s="310">
        <f>B120</f>
        <v>0</v>
      </c>
      <c r="G120" s="310">
        <f>C120</f>
        <v>0</v>
      </c>
      <c r="H120" s="315">
        <f>B120</f>
        <v>0</v>
      </c>
      <c r="I120" s="316">
        <f>C120</f>
        <v>0</v>
      </c>
    </row>
    <row r="121" spans="1:9" ht="15.6">
      <c r="A121" s="420" t="s">
        <v>413</v>
      </c>
      <c r="B121" s="305">
        <f>PGL_Requirements!AC7/1000</f>
        <v>0</v>
      </c>
      <c r="C121" s="305" t="s">
        <v>9</v>
      </c>
      <c r="D121" s="305">
        <f>+B121</f>
        <v>0</v>
      </c>
      <c r="E121" s="308"/>
      <c r="F121" s="305">
        <f>+D121</f>
        <v>0</v>
      </c>
      <c r="G121" s="308"/>
      <c r="H121" s="306">
        <f>+B121</f>
        <v>0</v>
      </c>
      <c r="I121" s="307" t="str">
        <f>+C121</f>
        <v xml:space="preserve"> </v>
      </c>
    </row>
    <row r="122" spans="1:9" ht="15.6">
      <c r="A122" s="420" t="s">
        <v>416</v>
      </c>
      <c r="B122" s="305" t="e">
        <f>PGL_Requirements!#REF!/1000</f>
        <v>#REF!</v>
      </c>
      <c r="C122" s="305">
        <f>NSG_Requirements!U7/1000</f>
        <v>0</v>
      </c>
      <c r="D122" s="308"/>
      <c r="E122" s="308"/>
      <c r="F122" s="308"/>
      <c r="G122" s="308"/>
      <c r="H122" s="312"/>
      <c r="I122" s="313"/>
    </row>
    <row r="123" spans="1:9" ht="15">
      <c r="A123" s="420" t="s">
        <v>417</v>
      </c>
      <c r="B123" s="310">
        <f>-PGL_Supplies!W7/1000</f>
        <v>0</v>
      </c>
      <c r="C123" s="310">
        <f>-NSG_Supplies!R7/1000</f>
        <v>-13.901999999999999</v>
      </c>
      <c r="D123" s="308"/>
      <c r="E123" s="308"/>
      <c r="F123" s="308"/>
      <c r="G123" s="308"/>
      <c r="H123" s="312"/>
      <c r="I123" s="313"/>
    </row>
    <row r="124" spans="1:9" ht="16.2" thickBot="1">
      <c r="A124" s="321" t="s">
        <v>9</v>
      </c>
      <c r="B124" s="482" t="s">
        <v>9</v>
      </c>
      <c r="C124" s="511" t="s">
        <v>66</v>
      </c>
      <c r="D124" s="481"/>
      <c r="E124" s="323"/>
      <c r="F124" s="324" t="s">
        <v>188</v>
      </c>
      <c r="G124" s="323"/>
      <c r="H124" s="325"/>
      <c r="I124" s="326"/>
    </row>
    <row r="125" spans="1:9" ht="15">
      <c r="A125" s="420" t="s">
        <v>418</v>
      </c>
      <c r="B125" s="310">
        <f>PGL_Requirements!T7/1000</f>
        <v>0.2</v>
      </c>
      <c r="F125" s="537" t="s">
        <v>9</v>
      </c>
      <c r="G125" s="538"/>
      <c r="H125" s="605"/>
      <c r="I125" s="331"/>
    </row>
    <row r="126" spans="1:9" ht="15">
      <c r="A126" s="420" t="s">
        <v>375</v>
      </c>
      <c r="B126" s="319">
        <f>PGL_Supplies!Q7/1000</f>
        <v>0</v>
      </c>
      <c r="C126" s="310" t="s">
        <v>9</v>
      </c>
      <c r="D126" s="308"/>
      <c r="E126" s="328"/>
      <c r="F126" s="420" t="s">
        <v>438</v>
      </c>
      <c r="G126" s="539"/>
      <c r="H126" s="544"/>
      <c r="I126" s="331"/>
    </row>
    <row r="127" spans="1:9" ht="15">
      <c r="A127" s="420" t="s">
        <v>468</v>
      </c>
      <c r="B127" s="310">
        <f>PGL_Requirements!N7/1000</f>
        <v>0</v>
      </c>
      <c r="C127" s="310" t="s">
        <v>9</v>
      </c>
      <c r="D127" s="308"/>
      <c r="E127" s="328"/>
      <c r="F127" s="420" t="s">
        <v>439</v>
      </c>
      <c r="G127" s="539"/>
      <c r="H127" s="312"/>
      <c r="I127" s="331"/>
    </row>
    <row r="128" spans="1:9" ht="15">
      <c r="A128" s="420" t="s">
        <v>408</v>
      </c>
      <c r="B128" s="310">
        <f>PGL_Requirements!H7/1000</f>
        <v>0</v>
      </c>
      <c r="C128" s="310" t="s">
        <v>9</v>
      </c>
      <c r="D128" s="308"/>
      <c r="E128" s="328"/>
      <c r="F128" s="420" t="s">
        <v>440</v>
      </c>
      <c r="G128" s="539"/>
      <c r="H128" s="312"/>
      <c r="I128" s="331"/>
    </row>
    <row r="129" spans="1:9" ht="15">
      <c r="A129" s="420" t="s">
        <v>419</v>
      </c>
      <c r="B129" s="310" t="e">
        <f>PGL_Requirements!#REF!/1000</f>
        <v>#REF!</v>
      </c>
      <c r="C129" s="308"/>
      <c r="D129" s="308"/>
      <c r="E129" s="328"/>
      <c r="F129" s="420" t="s">
        <v>441</v>
      </c>
      <c r="G129" s="539"/>
      <c r="H129" s="312"/>
      <c r="I129" s="331"/>
    </row>
    <row r="130" spans="1:9" ht="15">
      <c r="A130" s="420" t="s">
        <v>420</v>
      </c>
      <c r="B130" s="310">
        <f>PGL_Requirements!Z7/1000</f>
        <v>0</v>
      </c>
      <c r="C130" s="589"/>
      <c r="D130" s="308"/>
      <c r="E130" s="328"/>
      <c r="F130" s="420" t="s">
        <v>442</v>
      </c>
      <c r="G130" s="539"/>
      <c r="H130" s="312"/>
      <c r="I130" s="331"/>
    </row>
    <row r="131" spans="1:9" ht="15">
      <c r="A131" s="412" t="s">
        <v>104</v>
      </c>
      <c r="B131" s="319">
        <f>PGL_Supplies!Y7/1000</f>
        <v>0.2</v>
      </c>
      <c r="C131" s="308"/>
      <c r="D131" s="308"/>
      <c r="E131" s="328"/>
      <c r="F131" s="365" t="s">
        <v>443</v>
      </c>
      <c r="G131" s="539"/>
      <c r="H131" s="312"/>
      <c r="I131" s="331"/>
    </row>
    <row r="132" spans="1:9" ht="15.6" thickBot="1">
      <c r="A132" s="420" t="s">
        <v>371</v>
      </c>
      <c r="B132" s="319">
        <f>PGL_Supplies!T7/1000</f>
        <v>0</v>
      </c>
      <c r="C132" s="344"/>
      <c r="D132" s="344"/>
      <c r="E132" s="549"/>
      <c r="F132" s="420" t="s">
        <v>444</v>
      </c>
      <c r="G132" s="539"/>
      <c r="H132" s="312"/>
      <c r="I132" s="331"/>
    </row>
    <row r="133" spans="1:9" ht="16.2" thickBot="1">
      <c r="A133" s="554" t="s">
        <v>421</v>
      </c>
      <c r="B133" s="561" t="e">
        <f>B126+B127+B130+B131+B132-B125-B128-B129</f>
        <v>#REF!</v>
      </c>
      <c r="C133" s="526"/>
      <c r="D133" s="526"/>
      <c r="E133" s="516"/>
      <c r="F133" s="420" t="s">
        <v>445</v>
      </c>
      <c r="G133" s="539"/>
      <c r="H133" s="312"/>
      <c r="I133" s="331"/>
    </row>
    <row r="134" spans="1:9" ht="16.2" thickBot="1">
      <c r="A134" s="550" t="s">
        <v>9</v>
      </c>
      <c r="B134" s="551" t="s">
        <v>9</v>
      </c>
      <c r="C134" s="552" t="s">
        <v>67</v>
      </c>
      <c r="D134" s="553"/>
      <c r="E134" s="553" t="s">
        <v>9</v>
      </c>
      <c r="F134" s="541" t="s">
        <v>446</v>
      </c>
      <c r="G134" s="540"/>
      <c r="H134" s="312"/>
      <c r="I134" s="331"/>
    </row>
    <row r="135" spans="1:9" ht="15">
      <c r="A135" s="420" t="s">
        <v>408</v>
      </c>
      <c r="B135" s="132">
        <f>PGL_Requirements!I7</f>
        <v>0</v>
      </c>
      <c r="C135" s="8"/>
      <c r="D135" s="8"/>
      <c r="E135" s="8"/>
      <c r="F135" s="542" t="s">
        <v>447</v>
      </c>
      <c r="G135" s="540"/>
      <c r="H135" s="345"/>
      <c r="I135" s="331"/>
    </row>
    <row r="136" spans="1:9" ht="15">
      <c r="A136" s="420" t="s">
        <v>422</v>
      </c>
      <c r="B136" s="319">
        <f>NSG_Supplies!N7/1011</f>
        <v>0</v>
      </c>
      <c r="C136" s="308"/>
      <c r="D136" s="308"/>
      <c r="E136" s="308"/>
      <c r="F136" s="420" t="s">
        <v>448</v>
      </c>
      <c r="G136" s="539"/>
      <c r="H136" s="347"/>
      <c r="I136" s="331"/>
    </row>
    <row r="137" spans="1:9" ht="15">
      <c r="A137" s="420" t="s">
        <v>423</v>
      </c>
      <c r="B137" s="319">
        <f>PGL_Supplies!Z7/1000</f>
        <v>0</v>
      </c>
      <c r="C137" s="589"/>
      <c r="D137" s="308"/>
      <c r="E137" s="308"/>
      <c r="F137" s="420" t="s">
        <v>449</v>
      </c>
      <c r="G137" s="539"/>
      <c r="H137" s="312"/>
      <c r="I137" s="331"/>
    </row>
    <row r="138" spans="1:9" ht="15">
      <c r="A138" s="420" t="s">
        <v>424</v>
      </c>
      <c r="B138" s="132">
        <f>PGL_Requirements!C7</f>
        <v>0</v>
      </c>
      <c r="C138" s="308"/>
      <c r="D138" s="308"/>
      <c r="E138" s="308"/>
      <c r="F138" s="420" t="s">
        <v>381</v>
      </c>
      <c r="G138" s="539"/>
      <c r="H138" s="347"/>
      <c r="I138" s="331"/>
    </row>
    <row r="139" spans="1:9" ht="15">
      <c r="A139" s="420" t="s">
        <v>425</v>
      </c>
      <c r="B139" s="319">
        <f>PGL_Supplies!C7/1000</f>
        <v>0</v>
      </c>
      <c r="C139" s="308"/>
      <c r="D139" s="308"/>
      <c r="E139" s="308"/>
      <c r="F139" s="365" t="s">
        <v>450</v>
      </c>
      <c r="G139" s="543"/>
      <c r="H139" s="534"/>
      <c r="I139" s="331"/>
    </row>
    <row r="140" spans="1:9" ht="15.6" thickBot="1">
      <c r="A140" s="420" t="s">
        <v>371</v>
      </c>
      <c r="B140" s="319">
        <f>PGL_Supplies!U7/1000</f>
        <v>114.94</v>
      </c>
      <c r="C140" s="344"/>
      <c r="D140" s="344"/>
      <c r="E140" s="344"/>
      <c r="F140" s="365" t="s">
        <v>451</v>
      </c>
      <c r="G140" s="543"/>
      <c r="H140" s="545"/>
      <c r="I140" s="331"/>
    </row>
    <row r="141" spans="1:9" ht="16.2" thickBot="1">
      <c r="A141" s="554" t="s">
        <v>421</v>
      </c>
      <c r="B141" s="556">
        <f>-B135+B136+B137-B138+B139+B140</f>
        <v>114.94</v>
      </c>
      <c r="C141" s="557"/>
      <c r="D141" s="526"/>
      <c r="E141" s="527"/>
      <c r="F141" s="546" t="s">
        <v>210</v>
      </c>
      <c r="G141" s="547"/>
      <c r="H141" s="548"/>
      <c r="I141" s="331"/>
    </row>
    <row r="142" spans="1:9" ht="16.2" thickBot="1">
      <c r="A142" s="550" t="s">
        <v>9</v>
      </c>
      <c r="B142" s="555" t="s">
        <v>9</v>
      </c>
      <c r="C142" s="552" t="s">
        <v>58</v>
      </c>
      <c r="D142" s="553"/>
      <c r="E142" s="553"/>
      <c r="F142" s="523" t="s">
        <v>9</v>
      </c>
      <c r="G142" s="524" t="s">
        <v>452</v>
      </c>
      <c r="H142" s="524" t="s">
        <v>9</v>
      </c>
      <c r="I142" s="355"/>
    </row>
    <row r="143" spans="1:9" ht="15">
      <c r="A143" s="420" t="s">
        <v>70</v>
      </c>
      <c r="B143" s="319">
        <f>PGL_Requirements!O7/1000</f>
        <v>49.08</v>
      </c>
      <c r="C143" s="308"/>
      <c r="D143" s="308"/>
      <c r="E143" s="308"/>
      <c r="F143" s="563" t="s">
        <v>404</v>
      </c>
      <c r="G143" s="536"/>
      <c r="H143" s="558" t="s">
        <v>9</v>
      </c>
      <c r="I143" s="361">
        <f>NSG_Supplies!AB7/1000</f>
        <v>0</v>
      </c>
    </row>
    <row r="144" spans="1:9" ht="15">
      <c r="A144" s="420" t="s">
        <v>426</v>
      </c>
      <c r="B144" s="319">
        <f>PGL_Supplies!L7/1000</f>
        <v>0</v>
      </c>
      <c r="C144" s="308"/>
      <c r="D144" s="308"/>
      <c r="E144" s="308"/>
      <c r="F144" s="356" t="s">
        <v>453</v>
      </c>
      <c r="G144" s="308"/>
      <c r="H144" s="383" t="s">
        <v>9</v>
      </c>
      <c r="I144" s="361">
        <f>NSG_Supplies!N7/1000</f>
        <v>0</v>
      </c>
    </row>
    <row r="145" spans="1:9" ht="15.6" thickBot="1">
      <c r="A145" s="420" t="s">
        <v>427</v>
      </c>
      <c r="B145" s="319">
        <f>PGL_Requirements!B7/1000</f>
        <v>0</v>
      </c>
      <c r="C145" s="308"/>
      <c r="D145" s="308"/>
      <c r="E145" s="308"/>
      <c r="F145" s="532" t="s">
        <v>454</v>
      </c>
      <c r="G145" s="350"/>
      <c r="H145" s="521" t="s">
        <v>9</v>
      </c>
      <c r="I145" s="402"/>
    </row>
    <row r="146" spans="1:9" ht="15.6" thickBot="1">
      <c r="A146" s="420" t="s">
        <v>428</v>
      </c>
      <c r="B146" s="319">
        <f>PGL_Supplies!G7/1000</f>
        <v>2.508</v>
      </c>
      <c r="C146" s="308"/>
      <c r="D146" s="308"/>
      <c r="E146" s="308"/>
      <c r="F146" s="560" t="s">
        <v>430</v>
      </c>
      <c r="G146" s="526"/>
      <c r="H146" s="561" t="s">
        <v>9</v>
      </c>
      <c r="I146" s="562" t="e">
        <f>PGL_Requirements!#REF!/1000</f>
        <v>#REF!</v>
      </c>
    </row>
    <row r="147" spans="1:9" ht="16.2" thickBot="1">
      <c r="A147" s="365" t="s">
        <v>405</v>
      </c>
      <c r="B147" s="319" t="s">
        <v>9</v>
      </c>
      <c r="C147" s="308"/>
      <c r="D147" s="308"/>
      <c r="E147" s="308"/>
      <c r="F147" s="353" t="s">
        <v>455</v>
      </c>
      <c r="G147" s="354"/>
      <c r="H147" s="354"/>
      <c r="I147" s="355"/>
    </row>
    <row r="148" spans="1:9" ht="15.6" thickBot="1">
      <c r="A148" s="420" t="s">
        <v>429</v>
      </c>
      <c r="B148" s="319">
        <f>PGL_Requirements!P7/1000</f>
        <v>0.73619999999999997</v>
      </c>
      <c r="C148" s="344"/>
      <c r="D148" s="344"/>
      <c r="E148" s="344"/>
      <c r="F148" s="537" t="s">
        <v>456</v>
      </c>
      <c r="G148" s="538"/>
      <c r="H148" s="564" t="s">
        <v>9</v>
      </c>
      <c r="I148" s="565">
        <f>+NSG_Supplies!Y7/1000</f>
        <v>0</v>
      </c>
    </row>
    <row r="149" spans="1:9" ht="16.2" thickBot="1">
      <c r="A149" s="513" t="s">
        <v>430</v>
      </c>
      <c r="B149" s="514">
        <f>B144+B146</f>
        <v>2.508</v>
      </c>
      <c r="C149" s="515"/>
      <c r="D149" s="515"/>
      <c r="E149" s="516"/>
      <c r="F149" s="420" t="s">
        <v>9</v>
      </c>
      <c r="G149" s="539"/>
      <c r="H149" s="566" t="s">
        <v>9</v>
      </c>
      <c r="I149" s="567">
        <f>NSG_Supplies!Z7/1000</f>
        <v>0</v>
      </c>
    </row>
    <row r="150" spans="1:9" ht="15.6" thickBot="1">
      <c r="A150" s="420" t="s">
        <v>204</v>
      </c>
      <c r="B150" s="517">
        <f>PGL_Deliveries!AE5</f>
        <v>12116</v>
      </c>
      <c r="C150" s="518"/>
      <c r="D150" s="518"/>
      <c r="E150" s="519"/>
      <c r="F150" s="560" t="s">
        <v>430</v>
      </c>
      <c r="G150" s="526"/>
      <c r="H150" s="561" t="s">
        <v>9</v>
      </c>
      <c r="I150" s="562" t="e">
        <f>PGL_Requirements!#REF!/1000</f>
        <v>#REF!</v>
      </c>
    </row>
    <row r="151" spans="1:9" ht="16.2" thickBot="1">
      <c r="A151" s="420" t="s">
        <v>202</v>
      </c>
      <c r="B151" s="517">
        <f>PGL_Deliveries!AG5</f>
        <v>0</v>
      </c>
      <c r="C151" s="372"/>
      <c r="D151" s="372"/>
      <c r="E151" s="372"/>
      <c r="F151" s="353" t="s">
        <v>399</v>
      </c>
      <c r="G151" s="354"/>
      <c r="H151" s="354"/>
      <c r="I151" s="355"/>
    </row>
    <row r="152" spans="1:9" ht="16.2" thickBot="1">
      <c r="A152" s="341" t="s">
        <v>9</v>
      </c>
      <c r="B152" s="322"/>
      <c r="C152" s="512" t="s">
        <v>35</v>
      </c>
      <c r="D152" s="342"/>
      <c r="E152" s="478" t="s">
        <v>9</v>
      </c>
      <c r="F152" s="537" t="s">
        <v>457</v>
      </c>
      <c r="G152" s="538"/>
      <c r="H152" s="569"/>
      <c r="I152" s="383">
        <f>PGL_Requirements!S7/1000</f>
        <v>0</v>
      </c>
    </row>
    <row r="153" spans="1:9" ht="15">
      <c r="A153" s="420" t="s">
        <v>431</v>
      </c>
      <c r="B153" s="383">
        <f>PGL_Requirements!M7/1000</f>
        <v>0</v>
      </c>
      <c r="C153" s="308"/>
      <c r="D153" s="308"/>
      <c r="E153" s="375"/>
      <c r="F153" s="533" t="s">
        <v>458</v>
      </c>
      <c r="G153" s="540"/>
      <c r="H153" s="535"/>
      <c r="I153" s="383">
        <f>PGL_Requirements!S7/1000</f>
        <v>0</v>
      </c>
    </row>
    <row r="154" spans="1:9" ht="15">
      <c r="A154" s="420" t="s">
        <v>432</v>
      </c>
      <c r="B154" s="319">
        <f>PGL_Supplies!AD7/1000</f>
        <v>0</v>
      </c>
      <c r="C154" s="376" t="s">
        <v>9</v>
      </c>
      <c r="D154" s="308"/>
      <c r="E154" s="377"/>
      <c r="F154" s="532" t="s">
        <v>459</v>
      </c>
      <c r="G154" s="539"/>
      <c r="H154" s="535"/>
      <c r="I154" s="319">
        <f>PGL_Supplies!AK7/1000</f>
        <v>0</v>
      </c>
    </row>
    <row r="155" spans="1:9" ht="15">
      <c r="A155" s="420" t="s">
        <v>433</v>
      </c>
      <c r="B155" s="383">
        <f>PGL_Requirements!E7/1000</f>
        <v>4.4989999999999997</v>
      </c>
      <c r="C155" s="376" t="s">
        <v>9</v>
      </c>
      <c r="D155" s="308"/>
      <c r="E155" s="377"/>
      <c r="F155" s="420" t="s">
        <v>104</v>
      </c>
      <c r="G155" s="568"/>
      <c r="H155" s="535"/>
      <c r="I155" s="319">
        <f>PGL_Supplies!AK8/1000</f>
        <v>0</v>
      </c>
    </row>
    <row r="156" spans="1:9" ht="15.6" thickBot="1">
      <c r="A156" s="420" t="s">
        <v>434</v>
      </c>
      <c r="B156" s="319">
        <f>PGL_Supplies!F7/1000</f>
        <v>0</v>
      </c>
      <c r="C156" s="384" t="s">
        <v>9</v>
      </c>
      <c r="D156" s="308"/>
      <c r="E156" s="377"/>
      <c r="F156" s="365" t="s">
        <v>371</v>
      </c>
      <c r="G156" s="568"/>
      <c r="H156" s="545"/>
      <c r="I156" s="319">
        <f>PGL_Supplies!AK9/1000</f>
        <v>0</v>
      </c>
    </row>
    <row r="157" spans="1:9" ht="15.6">
      <c r="A157" s="420" t="s">
        <v>435</v>
      </c>
      <c r="B157" s="383">
        <f>PGL_Requirements!S7/1000</f>
        <v>0</v>
      </c>
      <c r="C157" s="376" t="s">
        <v>9</v>
      </c>
      <c r="D157" s="308"/>
      <c r="E157" s="377"/>
      <c r="F157" s="570" t="s">
        <v>460</v>
      </c>
      <c r="G157" s="571"/>
      <c r="H157" s="569"/>
      <c r="I157" s="572">
        <v>0</v>
      </c>
    </row>
    <row r="158" spans="1:9" ht="15.6" thickBot="1">
      <c r="A158" s="420" t="s">
        <v>436</v>
      </c>
      <c r="B158" s="319">
        <f>PGL_Supplies!O7/1000</f>
        <v>0</v>
      </c>
      <c r="C158" s="384" t="s">
        <v>9</v>
      </c>
      <c r="D158" s="308"/>
      <c r="E158" s="486"/>
      <c r="F158" s="573" t="s">
        <v>461</v>
      </c>
      <c r="G158" s="387"/>
      <c r="H158" s="574"/>
      <c r="I158" s="575">
        <v>0</v>
      </c>
    </row>
    <row r="159" spans="1:9" ht="16.2" thickBot="1">
      <c r="A159" s="420" t="s">
        <v>104</v>
      </c>
      <c r="B159" s="319">
        <f>PGL_Supplies!AC7/1000</f>
        <v>4.4989999999999997</v>
      </c>
      <c r="C159" s="384" t="s">
        <v>9</v>
      </c>
      <c r="D159" s="308"/>
      <c r="E159" s="377"/>
      <c r="F159" s="523" t="s">
        <v>237</v>
      </c>
      <c r="G159" s="524"/>
      <c r="H159" s="525"/>
      <c r="I159" s="355"/>
    </row>
    <row r="160" spans="1:9" ht="15.6" thickBot="1">
      <c r="A160" s="420" t="s">
        <v>371</v>
      </c>
      <c r="B160" s="606">
        <f>PGL_Supplies!X7/1000</f>
        <v>108.172</v>
      </c>
      <c r="C160" s="522" t="s">
        <v>9</v>
      </c>
      <c r="D160" s="344"/>
      <c r="E160" s="520"/>
      <c r="F160" s="576" t="s">
        <v>462</v>
      </c>
      <c r="G160" s="536" t="s">
        <v>9</v>
      </c>
      <c r="H160" s="518"/>
      <c r="I160" s="581"/>
    </row>
    <row r="161" spans="1:9" ht="16.2" thickBot="1">
      <c r="A161" s="590" t="s">
        <v>437</v>
      </c>
      <c r="B161" s="608"/>
      <c r="C161" s="528" t="s">
        <v>9</v>
      </c>
      <c r="D161" s="529"/>
      <c r="E161" s="530"/>
      <c r="F161" s="559" t="s">
        <v>463</v>
      </c>
      <c r="G161" s="344"/>
      <c r="H161" s="579"/>
      <c r="I161" s="580" t="s">
        <v>9</v>
      </c>
    </row>
    <row r="162" spans="1:9" ht="16.2" thickBot="1">
      <c r="A162" s="394" t="s">
        <v>430</v>
      </c>
      <c r="B162" s="607">
        <f>B154+B156+B158+B159+B160-B153-B155-B157-B161</f>
        <v>108.172</v>
      </c>
      <c r="C162" s="395"/>
      <c r="D162" s="396"/>
      <c r="E162" s="531"/>
      <c r="F162" s="577" t="s">
        <v>241</v>
      </c>
      <c r="G162" s="526"/>
      <c r="H162" s="515"/>
      <c r="I162" s="578"/>
    </row>
    <row r="163" spans="1:9" ht="12" thickBot="1">
      <c r="A163" s="591"/>
      <c r="B163" s="592" t="s">
        <v>464</v>
      </c>
      <c r="C163" s="592"/>
      <c r="D163" s="592" t="s">
        <v>465</v>
      </c>
      <c r="E163" s="592"/>
      <c r="F163" s="592"/>
      <c r="G163" s="592"/>
      <c r="H163" s="593" t="s">
        <v>244</v>
      </c>
      <c r="I163" s="594"/>
    </row>
    <row r="164" spans="1:9" ht="12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3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2" spans="1:10" ht="30">
      <c r="A2" s="193" t="s">
        <v>245</v>
      </c>
      <c r="B2" s="193" t="s">
        <v>245</v>
      </c>
      <c r="C2" s="193" t="s">
        <v>245</v>
      </c>
      <c r="D2" s="193" t="s">
        <v>245</v>
      </c>
      <c r="E2" s="193" t="s">
        <v>245</v>
      </c>
      <c r="F2" s="193" t="s">
        <v>245</v>
      </c>
      <c r="G2" s="193" t="s">
        <v>245</v>
      </c>
      <c r="H2" s="193" t="s">
        <v>245</v>
      </c>
      <c r="I2" s="193" t="s">
        <v>245</v>
      </c>
      <c r="J2" s="6"/>
    </row>
    <row r="14" spans="1:10" ht="30">
      <c r="A14" s="193" t="s">
        <v>252</v>
      </c>
      <c r="B14" s="193" t="s">
        <v>252</v>
      </c>
      <c r="C14" s="193" t="s">
        <v>252</v>
      </c>
      <c r="D14" s="193" t="s">
        <v>252</v>
      </c>
      <c r="E14" s="193" t="s">
        <v>252</v>
      </c>
      <c r="F14" s="193" t="s">
        <v>252</v>
      </c>
      <c r="G14" s="193" t="s">
        <v>252</v>
      </c>
      <c r="H14" s="193" t="s">
        <v>252</v>
      </c>
      <c r="I14" s="193" t="s">
        <v>252</v>
      </c>
      <c r="J14" s="6"/>
    </row>
    <row r="32" spans="1:9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1" spans="1:10">
      <c r="A1" t="s">
        <v>9</v>
      </c>
    </row>
    <row r="2" spans="1:10" ht="30">
      <c r="A2" s="193" t="s">
        <v>245</v>
      </c>
      <c r="B2" s="6"/>
      <c r="C2" s="6"/>
      <c r="D2" s="6"/>
      <c r="E2" s="6"/>
      <c r="F2" s="6"/>
      <c r="G2" s="6"/>
      <c r="H2" s="6"/>
      <c r="I2" s="6"/>
      <c r="J2" s="6"/>
    </row>
    <row r="5" spans="1:10" ht="15.6">
      <c r="C5" s="194" t="s">
        <v>246</v>
      </c>
      <c r="D5" s="122" t="s">
        <v>360</v>
      </c>
      <c r="F5" s="194" t="s">
        <v>247</v>
      </c>
      <c r="G5" s="122" t="s">
        <v>361</v>
      </c>
    </row>
    <row r="6" spans="1:10">
      <c r="D6" s="161" t="s">
        <v>248</v>
      </c>
      <c r="G6" s="161" t="s">
        <v>249</v>
      </c>
    </row>
    <row r="7" spans="1:10">
      <c r="D7" s="161" t="s">
        <v>249</v>
      </c>
    </row>
    <row r="8" spans="1:10">
      <c r="G8" s="122" t="s">
        <v>362</v>
      </c>
    </row>
    <row r="9" spans="1:10">
      <c r="D9" s="122" t="s">
        <v>364</v>
      </c>
      <c r="G9" s="122" t="s">
        <v>363</v>
      </c>
    </row>
    <row r="10" spans="1:10">
      <c r="D10" s="122" t="s">
        <v>365</v>
      </c>
    </row>
    <row r="11" spans="1:10" ht="15.6">
      <c r="D11" s="194" t="s">
        <v>250</v>
      </c>
    </row>
    <row r="12" spans="1:10" ht="15.6">
      <c r="D12" s="194" t="s">
        <v>251</v>
      </c>
    </row>
    <row r="14" spans="1:10" ht="30">
      <c r="A14" s="193" t="s">
        <v>252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253</v>
      </c>
      <c r="C16" s="6"/>
      <c r="D16" s="6"/>
      <c r="E16" s="6"/>
      <c r="F16" s="6"/>
      <c r="G16" s="6"/>
      <c r="H16" s="6"/>
      <c r="I16" s="6"/>
    </row>
    <row r="17" spans="2:9" ht="15.6">
      <c r="B17" s="6" t="s">
        <v>254</v>
      </c>
      <c r="C17" s="192"/>
      <c r="D17" s="6"/>
      <c r="E17" s="6"/>
      <c r="F17" s="6"/>
      <c r="G17" s="6"/>
      <c r="H17" s="6"/>
      <c r="I17" s="6"/>
    </row>
    <row r="18" spans="2:9" ht="15.6">
      <c r="B18" s="192" t="s">
        <v>255</v>
      </c>
      <c r="C18" s="192"/>
      <c r="D18" s="6"/>
      <c r="E18" s="6"/>
      <c r="F18" s="6"/>
      <c r="G18" s="6"/>
      <c r="H18" s="6"/>
      <c r="I18" s="6"/>
    </row>
    <row r="19" spans="2:9" ht="15.6" thickBot="1"/>
    <row r="20" spans="2:9" ht="21" thickBot="1">
      <c r="B20" s="191" t="s">
        <v>369</v>
      </c>
      <c r="C20" s="190"/>
      <c r="D20" s="190"/>
      <c r="E20" s="190"/>
      <c r="F20" s="190"/>
      <c r="G20" s="190"/>
      <c r="H20" s="190"/>
      <c r="I20" s="189"/>
    </row>
    <row r="22" spans="2:9">
      <c r="B22" s="161" t="s">
        <v>256</v>
      </c>
      <c r="D22" s="163">
        <f ca="1">NOW()</f>
        <v>37096.475442361108</v>
      </c>
      <c r="F22" s="161" t="s">
        <v>257</v>
      </c>
      <c r="G22" s="188">
        <f ca="1">NOW()</f>
        <v>37096.475442361108</v>
      </c>
    </row>
    <row r="24" spans="2:9">
      <c r="B24" s="161" t="s">
        <v>258</v>
      </c>
      <c r="D24" s="225" t="s">
        <v>385</v>
      </c>
      <c r="E24" t="s">
        <v>9</v>
      </c>
      <c r="F24" s="161" t="s">
        <v>259</v>
      </c>
      <c r="G24" s="162" t="s">
        <v>260</v>
      </c>
    </row>
    <row r="25" spans="2:9" ht="15.6" thickBot="1"/>
    <row r="26" spans="2:9" ht="15.6" thickBot="1">
      <c r="B26" s="206" t="s">
        <v>9</v>
      </c>
      <c r="C26" s="161" t="s">
        <v>261</v>
      </c>
    </row>
    <row r="27" spans="2:9" ht="15.6" thickBot="1">
      <c r="B27" s="206" t="s">
        <v>9</v>
      </c>
      <c r="C27" s="161" t="s">
        <v>262</v>
      </c>
    </row>
    <row r="28" spans="2:9" ht="15.6" thickBot="1">
      <c r="B28" s="206" t="s">
        <v>386</v>
      </c>
      <c r="C28" s="122" t="s">
        <v>366</v>
      </c>
    </row>
    <row r="29" spans="2:9">
      <c r="B29" t="s">
        <v>9</v>
      </c>
      <c r="C29" s="161" t="s">
        <v>367</v>
      </c>
    </row>
    <row r="30" spans="2:9">
      <c r="C30" s="161" t="s">
        <v>9</v>
      </c>
    </row>
    <row r="32" spans="2:9">
      <c r="B32" s="161" t="s">
        <v>263</v>
      </c>
      <c r="E32" s="444">
        <v>35915</v>
      </c>
    </row>
    <row r="34" spans="2:8" ht="15.6">
      <c r="B34" s="161" t="s">
        <v>264</v>
      </c>
      <c r="E34" s="187">
        <v>0</v>
      </c>
      <c r="F34" t="s">
        <v>265</v>
      </c>
    </row>
    <row r="36" spans="2:8" ht="15.6">
      <c r="B36" s="161" t="s">
        <v>266</v>
      </c>
      <c r="E36" s="187">
        <v>0</v>
      </c>
      <c r="F36" t="s">
        <v>265</v>
      </c>
    </row>
    <row r="38" spans="2:8" ht="15.6">
      <c r="B38" t="s">
        <v>267</v>
      </c>
      <c r="E38" s="163">
        <f>+E32+1</f>
        <v>35916</v>
      </c>
      <c r="F38" s="187">
        <v>0</v>
      </c>
      <c r="G38" t="s">
        <v>265</v>
      </c>
    </row>
    <row r="39" spans="2:8" ht="15.6">
      <c r="E39" s="163">
        <f>+E38+1</f>
        <v>35917</v>
      </c>
      <c r="F39" s="187">
        <v>0</v>
      </c>
      <c r="G39" t="s">
        <v>265</v>
      </c>
    </row>
    <row r="40" spans="2:8" ht="15.6">
      <c r="E40" s="163">
        <f>+E39+1</f>
        <v>35918</v>
      </c>
      <c r="F40" s="187">
        <v>0</v>
      </c>
      <c r="G40" t="s">
        <v>265</v>
      </c>
    </row>
    <row r="41" spans="2:8" ht="15.6">
      <c r="E41" s="163">
        <f>+E40+1</f>
        <v>35919</v>
      </c>
      <c r="F41" s="187">
        <v>0</v>
      </c>
      <c r="G41" t="s">
        <v>265</v>
      </c>
    </row>
    <row r="42" spans="2:8" ht="15.6">
      <c r="E42" s="163">
        <f>+E41+1</f>
        <v>35920</v>
      </c>
      <c r="F42" s="187">
        <v>0</v>
      </c>
      <c r="G42" t="s">
        <v>265</v>
      </c>
    </row>
    <row r="44" spans="2:8">
      <c r="B44" s="161" t="s">
        <v>268</v>
      </c>
      <c r="D44" s="103"/>
      <c r="E44" s="103"/>
      <c r="F44" s="103"/>
      <c r="G44" s="103"/>
      <c r="H44" s="103"/>
    </row>
    <row r="45" spans="2:8">
      <c r="D45" s="103"/>
      <c r="E45" s="103"/>
      <c r="F45" s="103"/>
      <c r="G45" s="103"/>
      <c r="H45" s="103"/>
    </row>
    <row r="47" spans="2:8">
      <c r="B47" s="184" t="s">
        <v>269</v>
      </c>
      <c r="C47" s="184" t="s">
        <v>9</v>
      </c>
      <c r="D47" s="186"/>
    </row>
    <row r="48" spans="2:8">
      <c r="B48" s="185"/>
      <c r="C48" s="184" t="s">
        <v>9</v>
      </c>
      <c r="D48" s="186"/>
    </row>
    <row r="49" spans="2:4">
      <c r="B49" s="185"/>
      <c r="C49" s="437" t="s">
        <v>368</v>
      </c>
      <c r="D49" s="186"/>
    </row>
    <row r="50" spans="2:4">
      <c r="B50" s="185"/>
      <c r="C50" s="184" t="s">
        <v>270</v>
      </c>
    </row>
    <row r="51" spans="2:4">
      <c r="B51" s="185"/>
      <c r="C51" s="184" t="s">
        <v>271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76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328125" defaultRowHeight="15.6"/>
  <cols>
    <col min="1" max="1" width="13.6328125" style="14" customWidth="1"/>
    <col min="2" max="2" width="12.6328125" style="46" customWidth="1"/>
    <col min="3" max="4" width="12.6328125" style="14" customWidth="1"/>
    <col min="5" max="5" width="8.1796875" style="14" customWidth="1"/>
    <col min="6" max="6" width="13.6328125" style="47" customWidth="1"/>
    <col min="7" max="7" width="8.1796875" style="14" customWidth="1"/>
    <col min="8" max="8" width="12.6328125" style="48" customWidth="1"/>
    <col min="9" max="9" width="6.81640625" style="14" customWidth="1"/>
    <col min="10" max="16384" width="12.6328125" style="14"/>
  </cols>
  <sheetData>
    <row r="1" spans="1:109" ht="15">
      <c r="A1" s="13" t="s">
        <v>9</v>
      </c>
      <c r="B1" s="14"/>
      <c r="C1" s="15"/>
      <c r="D1" s="114" t="s">
        <v>9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11</v>
      </c>
      <c r="B3" s="20" t="s">
        <v>9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88" t="s">
        <v>272</v>
      </c>
      <c r="E4" s="88"/>
      <c r="F4" s="88" t="s">
        <v>273</v>
      </c>
      <c r="G4" s="88"/>
      <c r="H4" s="91"/>
      <c r="I4" s="90" t="s">
        <v>274</v>
      </c>
    </row>
    <row r="5" spans="1:109" ht="15">
      <c r="A5" s="18" t="str">
        <f>CHOOSE(WEEKDAY(B5),"Sunday","Monday","Tuesday","Wednesday","Thursday","Friday","Saturday")</f>
        <v>Monday</v>
      </c>
      <c r="B5" s="21">
        <f>Weather_Input!A5</f>
        <v>37095</v>
      </c>
      <c r="C5" s="15"/>
      <c r="D5" s="22" t="s">
        <v>275</v>
      </c>
      <c r="E5" s="23">
        <f>Weather_Input!B5</f>
        <v>91</v>
      </c>
      <c r="F5" s="24" t="s">
        <v>276</v>
      </c>
      <c r="G5" s="25">
        <f>Weather_Input!H5</f>
        <v>5</v>
      </c>
      <c r="H5" s="26" t="s">
        <v>277</v>
      </c>
      <c r="I5" s="27">
        <f ca="1">G5-(VLOOKUP(B5,DD_Normal_Data,CELL("Col",B6),FALSE))</f>
        <v>5</v>
      </c>
    </row>
    <row r="6" spans="1:109" ht="15">
      <c r="A6" s="18"/>
      <c r="B6" s="21"/>
      <c r="C6" s="15"/>
      <c r="D6" s="22" t="s">
        <v>162</v>
      </c>
      <c r="E6" s="23">
        <f>Weather_Input!C5</f>
        <v>70</v>
      </c>
      <c r="F6" s="24" t="s">
        <v>278</v>
      </c>
      <c r="G6" s="25">
        <f>Weather_Input!F5</f>
        <v>5</v>
      </c>
      <c r="H6" s="26" t="s">
        <v>279</v>
      </c>
      <c r="I6" s="27">
        <f ca="1">G6-(VLOOKUP(B5,DD_Normal_Data,CELL("Col",C7),FALSE))</f>
        <v>5</v>
      </c>
      <c r="J6" s="28"/>
      <c r="DE6" s="14" t="s">
        <v>14</v>
      </c>
    </row>
    <row r="7" spans="1:109" ht="15">
      <c r="A7" s="18"/>
      <c r="B7" s="21"/>
      <c r="C7" s="15"/>
      <c r="D7" s="22" t="s">
        <v>280</v>
      </c>
      <c r="E7" s="29">
        <f>IF(Weather_Input!E5="N/A",(Weather_Input!C5+Weather_Input!B5)/2,Weather_Input!E5)</f>
        <v>78.5</v>
      </c>
      <c r="F7" s="24" t="s">
        <v>281</v>
      </c>
      <c r="G7" s="25">
        <f>Weather_Input!G5</f>
        <v>6704</v>
      </c>
      <c r="H7" s="26" t="s">
        <v>281</v>
      </c>
      <c r="I7" s="120">
        <f ca="1">G7-(VLOOKUP(B5,DD_Normal_Data,CELL("Col",D4),FALSE))</f>
        <v>282</v>
      </c>
      <c r="J7" s="120"/>
    </row>
    <row r="8" spans="1:109" ht="15">
      <c r="A8" s="18"/>
      <c r="B8" s="20"/>
      <c r="C8" s="15"/>
      <c r="D8" s="32" t="str">
        <f>IF(Weather_Input!I5=""," ",Weather_Input!I5)</f>
        <v xml:space="preserve">PARTLY CLOUDY. 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Tuesday</v>
      </c>
      <c r="B10" s="21">
        <f>Weather_Input!A6</f>
        <v>37096</v>
      </c>
      <c r="C10" s="15"/>
      <c r="D10" s="150" t="s">
        <v>275</v>
      </c>
      <c r="E10" s="23">
        <f>Weather_Input!B6</f>
        <v>89</v>
      </c>
      <c r="F10" s="24" t="s">
        <v>276</v>
      </c>
      <c r="G10" s="25">
        <f>IF(E12&lt;65,65-(Weather_Input!B6+Weather_Input!C6)/2,0)</f>
        <v>0</v>
      </c>
      <c r="H10" s="26" t="s">
        <v>277</v>
      </c>
      <c r="I10" s="27">
        <f ca="1">G10-(VLOOKUP(B10,DD_Normal_Data,CELL("Col",B11),FALSE))</f>
        <v>0</v>
      </c>
    </row>
    <row r="11" spans="1:109" ht="15">
      <c r="A11" s="18"/>
      <c r="B11" s="21"/>
      <c r="C11" s="15"/>
      <c r="D11" s="22" t="s">
        <v>162</v>
      </c>
      <c r="E11" s="23">
        <f>Weather_Input!C6</f>
        <v>66</v>
      </c>
      <c r="F11" s="24" t="s">
        <v>278</v>
      </c>
      <c r="G11" s="25">
        <f>IF(DAY(B10)=1,G10,G6+G10)</f>
        <v>5</v>
      </c>
      <c r="H11" s="30" t="s">
        <v>279</v>
      </c>
      <c r="I11" s="27">
        <f ca="1">G11-(VLOOKUP(B10,DD_Normal_Data,CELL("Col",C12),FALSE))</f>
        <v>5</v>
      </c>
      <c r="DE11" s="14" t="s">
        <v>282</v>
      </c>
    </row>
    <row r="12" spans="1:109" ht="15">
      <c r="A12" s="18"/>
      <c r="B12" s="20"/>
      <c r="C12" s="15"/>
      <c r="D12" s="22" t="s">
        <v>280</v>
      </c>
      <c r="E12" s="23">
        <f>(Weather_Input!C6+Weather_Input!B6)/2</f>
        <v>77.5</v>
      </c>
      <c r="F12" s="24" t="s">
        <v>281</v>
      </c>
      <c r="G12" s="25">
        <f>IF(AND(DAY(B10)=1,MONTH(B10)=8),G10,G7+G10)</f>
        <v>6704</v>
      </c>
      <c r="H12" s="26" t="s">
        <v>281</v>
      </c>
      <c r="I12" s="27">
        <f ca="1">G12-(VLOOKUP(B10,DD_Normal_Data,CELL("Col",D9),FALSE))</f>
        <v>282</v>
      </c>
    </row>
    <row r="13" spans="1:109" ht="15">
      <c r="A13" s="18"/>
      <c r="B13" s="21"/>
      <c r="C13" s="15"/>
      <c r="D13" s="32" t="str">
        <f>IF(Weather_Input!I6=""," ",Weather_Input!I6)</f>
        <v>SUNNY LESS HUMID. HIGH NEAR 90 INLAND, LOW 80S NEAR THE LAKE. TONIGHT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>INCREASING CLOUDS WITH A 40% CHANCE OF SHOWERS. LOW IN THE 60S.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Wednesday</v>
      </c>
      <c r="B15" s="21">
        <f>Weather_Input!A7</f>
        <v>37097</v>
      </c>
      <c r="C15" s="15"/>
      <c r="D15" s="22" t="s">
        <v>275</v>
      </c>
      <c r="E15" s="23">
        <f>Weather_Input!B7</f>
        <v>73</v>
      </c>
      <c r="F15" s="24" t="s">
        <v>276</v>
      </c>
      <c r="G15" s="25">
        <f>IF(E17&lt;65,65-(Weather_Input!B7+Weather_Input!C7)/2,0)</f>
        <v>0</v>
      </c>
      <c r="H15" s="26" t="s">
        <v>277</v>
      </c>
      <c r="I15" s="27">
        <f ca="1">G15-(VLOOKUP(B15,DD_Normal_Data,CELL("Col",B16),FALSE))</f>
        <v>0</v>
      </c>
    </row>
    <row r="16" spans="1:109" ht="15">
      <c r="A16" s="18"/>
      <c r="B16" s="20"/>
      <c r="C16" s="15"/>
      <c r="D16" s="22" t="s">
        <v>162</v>
      </c>
      <c r="E16" s="23">
        <f>Weather_Input!C7</f>
        <v>60</v>
      </c>
      <c r="F16" s="24" t="s">
        <v>278</v>
      </c>
      <c r="G16" s="25">
        <f>IF(DAY(B15)=1,G15,G11+G15)</f>
        <v>5</v>
      </c>
      <c r="H16" s="30" t="s">
        <v>279</v>
      </c>
      <c r="I16" s="27">
        <f ca="1">G16-(VLOOKUP(B15,DD_Normal_Data,CELL("Col",C17),FALSE))</f>
        <v>5</v>
      </c>
      <c r="DE16" s="14" t="s">
        <v>32</v>
      </c>
    </row>
    <row r="17" spans="1:109" ht="15">
      <c r="A17" s="18"/>
      <c r="B17" s="21"/>
      <c r="C17" s="15"/>
      <c r="D17" s="22" t="s">
        <v>280</v>
      </c>
      <c r="E17" s="23">
        <f>(Weather_Input!C7+Weather_Input!B7)/2</f>
        <v>66.5</v>
      </c>
      <c r="F17" s="24" t="s">
        <v>281</v>
      </c>
      <c r="G17" s="25">
        <f>IF(AND(DAY(B15)=1,MONTH(B15)=8),G15,G12+G15)</f>
        <v>6704</v>
      </c>
      <c r="H17" s="26" t="s">
        <v>281</v>
      </c>
      <c r="I17" s="27">
        <f ca="1">G17-(VLOOKUP(B15,DD_Normal_Data,CELL("Col",D14),FALSE))</f>
        <v>282</v>
      </c>
    </row>
    <row r="18" spans="1:109" ht="15">
      <c r="A18" s="18"/>
      <c r="B18" s="20"/>
      <c r="C18" s="15"/>
      <c r="D18" s="32" t="str">
        <f>IF(Weather_Input!I7=""," ",Weather_Input!I7)</f>
        <v xml:space="preserve">COOLER.. WITH SHOWERS AND T-STORMS POSSIBLE. HIGH AROUND 70. BUT 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>COOLER NEAR THE LAKE. CHANCE OF RAIN 70%.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Thursday</v>
      </c>
      <c r="B20" s="21">
        <f>Weather_Input!A8</f>
        <v>37098</v>
      </c>
      <c r="C20" s="15"/>
      <c r="D20" s="22" t="s">
        <v>275</v>
      </c>
      <c r="E20" s="23">
        <f>Weather_Input!B8</f>
        <v>72</v>
      </c>
      <c r="F20" s="24" t="s">
        <v>276</v>
      </c>
      <c r="G20" s="25">
        <f>IF(E22&lt;65,65-(Weather_Input!B8+Weather_Input!C8)/2,0)</f>
        <v>0</v>
      </c>
      <c r="H20" s="26" t="s">
        <v>277</v>
      </c>
      <c r="I20" s="27">
        <f ca="1">G20-(VLOOKUP(B20,DD_Normal_Data,CELL("Col",B21),FALSE))</f>
        <v>0</v>
      </c>
    </row>
    <row r="21" spans="1:109" ht="15">
      <c r="A21" s="18"/>
      <c r="B21" s="21"/>
      <c r="C21" s="15"/>
      <c r="D21" s="22" t="s">
        <v>162</v>
      </c>
      <c r="E21" s="23">
        <f>Weather_Input!C8</f>
        <v>58</v>
      </c>
      <c r="F21" s="24" t="s">
        <v>278</v>
      </c>
      <c r="G21" s="25">
        <f>IF(DAY(B20)=1,G20,G16+G20)</f>
        <v>5</v>
      </c>
      <c r="H21" s="30" t="s">
        <v>279</v>
      </c>
      <c r="I21" s="27">
        <f ca="1">G21-(VLOOKUP(B20,DD_Normal_Data,CELL("Col",C22),FALSE))</f>
        <v>5</v>
      </c>
      <c r="DE21" s="14" t="s">
        <v>283</v>
      </c>
    </row>
    <row r="22" spans="1:109" ht="15">
      <c r="A22" s="18"/>
      <c r="B22" s="21"/>
      <c r="C22" s="15"/>
      <c r="D22" s="22" t="s">
        <v>280</v>
      </c>
      <c r="E22" s="23">
        <f>(Weather_Input!C8+Weather_Input!B8)/2</f>
        <v>65</v>
      </c>
      <c r="F22" s="24" t="s">
        <v>281</v>
      </c>
      <c r="G22" s="25">
        <f>IF(AND(DAY(B20)=1,MONTH(B20)=8),G20,G17+G20)</f>
        <v>6704</v>
      </c>
      <c r="H22" s="26" t="s">
        <v>281</v>
      </c>
      <c r="I22" s="27">
        <f ca="1">G22-(VLOOKUP(B20,DD_Normal_Data,CELL("Col",D19),FALSE))</f>
        <v>282</v>
      </c>
    </row>
    <row r="23" spans="1:109" ht="15">
      <c r="A23" s="18"/>
      <c r="B23" s="21"/>
      <c r="C23" s="15"/>
      <c r="D23" s="32" t="str">
        <f>IF(Weather_Input!I8=""," ",Weather_Input!I8)</f>
        <v>FAIR.,,,, HIGH IN THE MIDDLE 70S,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Friday</v>
      </c>
      <c r="B25" s="21">
        <f>Weather_Input!A9</f>
        <v>37099</v>
      </c>
      <c r="C25" s="15"/>
      <c r="D25" s="22" t="s">
        <v>275</v>
      </c>
      <c r="E25" s="23">
        <f>Weather_Input!B9</f>
        <v>79</v>
      </c>
      <c r="F25" s="24" t="s">
        <v>276</v>
      </c>
      <c r="G25" s="25">
        <f>IF(E27&lt;65,65-(Weather_Input!B9+Weather_Input!C9)/2,0)</f>
        <v>0</v>
      </c>
      <c r="H25" s="26" t="s">
        <v>277</v>
      </c>
      <c r="I25" s="27">
        <f ca="1">G25-(VLOOKUP(B25,DD_Normal_Data,CELL("Col",B26),FALSE))</f>
        <v>-1</v>
      </c>
    </row>
    <row r="26" spans="1:109" ht="15">
      <c r="A26" s="18"/>
      <c r="B26" s="21"/>
      <c r="C26" s="15"/>
      <c r="D26" s="22" t="s">
        <v>162</v>
      </c>
      <c r="E26" s="23">
        <f>Weather_Input!C9</f>
        <v>60</v>
      </c>
      <c r="F26" s="24" t="s">
        <v>278</v>
      </c>
      <c r="G26" s="25">
        <f>IF(DAY(B25)=1,G25,G21+G25)</f>
        <v>5</v>
      </c>
      <c r="H26" s="30" t="s">
        <v>279</v>
      </c>
      <c r="I26" s="27">
        <f ca="1">G26-(VLOOKUP(B25,DD_Normal_Data,CELL("Col",C27),FALSE))</f>
        <v>4</v>
      </c>
      <c r="DE26" s="14" t="s">
        <v>284</v>
      </c>
    </row>
    <row r="27" spans="1:109" ht="15">
      <c r="A27" s="18"/>
      <c r="B27" s="20"/>
      <c r="C27" s="15"/>
      <c r="D27" s="22" t="s">
        <v>280</v>
      </c>
      <c r="E27" s="23">
        <f>(Weather_Input!C9+Weather_Input!B9)/2</f>
        <v>69.5</v>
      </c>
      <c r="F27" s="24" t="s">
        <v>281</v>
      </c>
      <c r="G27" s="25">
        <f>IF(AND(DAY(B25)=1,MONTH(B25)=8),G25,G22+G25)</f>
        <v>6704</v>
      </c>
      <c r="H27" s="26" t="s">
        <v>281</v>
      </c>
      <c r="I27" s="27">
        <f ca="1">G27-(VLOOKUP(B25,DD_Normal_Data,CELL("Col",D24),FALSE))</f>
        <v>281</v>
      </c>
    </row>
    <row r="28" spans="1:109" ht="15">
      <c r="A28" s="18"/>
      <c r="B28" s="20"/>
      <c r="C28" s="15"/>
      <c r="D28" s="32" t="str">
        <f>IF(Weather_Input!I9=""," ",Weather_Input!I9)</f>
        <v>FAIR…..LOW AROUND 60. HIGH IN THE 80S.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Saturday</v>
      </c>
      <c r="B30" s="21">
        <f>Weather_Input!A10</f>
        <v>37100</v>
      </c>
      <c r="C30" s="15"/>
      <c r="D30" s="22" t="s">
        <v>275</v>
      </c>
      <c r="E30" s="23">
        <f>Weather_Input!B10</f>
        <v>82</v>
      </c>
      <c r="F30" s="24" t="s">
        <v>276</v>
      </c>
      <c r="G30" s="25">
        <f>IF(E32&lt;65,65-(Weather_Input!B10+Weather_Input!C10)/2,0)</f>
        <v>0</v>
      </c>
      <c r="H30" s="26" t="s">
        <v>277</v>
      </c>
      <c r="I30" s="27">
        <f ca="1">G30-(VLOOKUP(B30,DD_Normal_Data,CELL("Col",B31),FALSE))</f>
        <v>-1</v>
      </c>
    </row>
    <row r="31" spans="1:109" ht="15">
      <c r="A31" s="15"/>
      <c r="B31" s="15"/>
      <c r="C31" s="15"/>
      <c r="D31" s="22" t="s">
        <v>162</v>
      </c>
      <c r="E31" s="23">
        <f>Weather_Input!C10</f>
        <v>65</v>
      </c>
      <c r="F31" s="24" t="s">
        <v>278</v>
      </c>
      <c r="G31" s="25">
        <f>IF(DAY(B30)=1,G30,G26+G30)</f>
        <v>5</v>
      </c>
      <c r="H31" s="30" t="s">
        <v>279</v>
      </c>
      <c r="I31" s="27">
        <f ca="1">G31-(VLOOKUP(B30,DD_Normal_Data,CELL("Col",C32),FALSE))</f>
        <v>3</v>
      </c>
      <c r="DE31" s="14" t="s">
        <v>31</v>
      </c>
    </row>
    <row r="32" spans="1:109" ht="15">
      <c r="A32" s="15"/>
      <c r="B32" s="15"/>
      <c r="C32" s="15"/>
      <c r="D32" s="22" t="s">
        <v>280</v>
      </c>
      <c r="E32" s="23">
        <f>(Weather_Input!C10+Weather_Input!B10)/2</f>
        <v>73.5</v>
      </c>
      <c r="F32" s="24" t="s">
        <v>281</v>
      </c>
      <c r="G32" s="25">
        <f>IF(AND(DAY(B30)=1,MONTH(B30)=8),G30,G27+G30)</f>
        <v>6704</v>
      </c>
      <c r="H32" s="26" t="s">
        <v>281</v>
      </c>
      <c r="I32" s="27">
        <f ca="1">G32-(VLOOKUP(B30,DD_Normal_Data,CELL("Col",D29),FALSE))</f>
        <v>280</v>
      </c>
    </row>
    <row r="33" spans="1:9" ht="15">
      <c r="A33" s="15"/>
      <c r="B33" s="34"/>
      <c r="C33" s="15"/>
      <c r="D33" s="32" t="str">
        <f>IF(Weather_Input!I10=""," ",Weather_Input!I10)</f>
        <v xml:space="preserve">PARTLY CLOUDY.CHANCE OF T-STORMS LATE. LOW IN THE MIDDLE 60S. HIGH IN 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48" t="str">
        <f>IF(Weather_Input!J10=""," ",Weather_Input!J10)</f>
        <v>THE MIDDLE 80S.</v>
      </c>
      <c r="E34" s="36"/>
      <c r="F34" s="38"/>
      <c r="G34" s="36"/>
      <c r="H34" s="39"/>
      <c r="I34" s="37"/>
    </row>
    <row r="35" spans="1:9" ht="15">
      <c r="A35" s="19" t="s">
        <v>285</v>
      </c>
      <c r="B35" s="18" t="s">
        <v>152</v>
      </c>
      <c r="C35" s="15"/>
      <c r="D35" s="15"/>
      <c r="E35" s="15"/>
      <c r="F35" s="16"/>
      <c r="G35" s="40"/>
      <c r="H35" s="40"/>
      <c r="I35" s="15"/>
    </row>
    <row r="36" spans="1:9" ht="15">
      <c r="A36" s="82" t="s">
        <v>53</v>
      </c>
      <c r="B36" s="89">
        <f>B5</f>
        <v>37095</v>
      </c>
      <c r="C36" s="89">
        <f>B10</f>
        <v>37096</v>
      </c>
      <c r="D36" s="89">
        <f>B15</f>
        <v>37097</v>
      </c>
      <c r="E36" s="89">
        <f xml:space="preserve">       B20</f>
        <v>37098</v>
      </c>
      <c r="F36" s="89">
        <f>B25</f>
        <v>37099</v>
      </c>
      <c r="G36" s="89">
        <f>B30</f>
        <v>37100</v>
      </c>
      <c r="H36" s="14"/>
      <c r="I36" s="15"/>
    </row>
    <row r="37" spans="1:9" ht="15">
      <c r="A37" s="15" t="s">
        <v>54</v>
      </c>
      <c r="B37" s="41">
        <f ca="1">(VLOOKUP(B36,PGL_Sendouts,(CELL("COL",PGL_Deliveries!C6))))/1000</f>
        <v>190</v>
      </c>
      <c r="C37" s="41">
        <f ca="1">(VLOOKUP(C36,PGL_Sendouts,(CELL("COL",PGL_Deliveries!C7))))/1000</f>
        <v>195</v>
      </c>
      <c r="D37" s="41">
        <f ca="1">(VLOOKUP(D36,PGL_Sendouts,(CELL("COL",PGL_Deliveries!C8))))/1000</f>
        <v>195</v>
      </c>
      <c r="E37" s="41">
        <f ca="1">(VLOOKUP(E36,PGL_Sendouts,(CELL("COL",PGL_Deliveries!C9))))/1000</f>
        <v>195</v>
      </c>
      <c r="F37" s="41">
        <f ca="1">(VLOOKUP(F36,PGL_Sendouts,(CELL("COL",PGL_Deliveries!C10))))/1000</f>
        <v>185</v>
      </c>
      <c r="G37" s="41">
        <f ca="1">(VLOOKUP(G36,PGL_Sendouts,(CELL("COL",PGL_Deliveries!C10))))/1000</f>
        <v>175</v>
      </c>
      <c r="H37" s="14"/>
      <c r="I37" s="15"/>
    </row>
    <row r="38" spans="1:9" ht="15">
      <c r="A38" s="15" t="s">
        <v>286</v>
      </c>
      <c r="B38" s="41">
        <f>PGL_6_Day_Report!D25</f>
        <v>411.0652</v>
      </c>
      <c r="C38" s="41">
        <f>PGL_6_Day_Report!E25</f>
        <v>419.89700000000005</v>
      </c>
      <c r="D38" s="41">
        <f>PGL_6_Day_Report!F25</f>
        <v>336.00400000000002</v>
      </c>
      <c r="E38" s="41">
        <f>PGL_6_Day_Report!G25</f>
        <v>301.81900000000002</v>
      </c>
      <c r="F38" s="41">
        <f>PGL_6_Day_Report!H25</f>
        <v>291.81900000000002</v>
      </c>
      <c r="G38" s="41">
        <f>PGL_6_Day_Report!I25</f>
        <v>281.81900000000002</v>
      </c>
      <c r="H38" s="14"/>
      <c r="I38" s="15"/>
    </row>
    <row r="39" spans="1:9" ht="15">
      <c r="A39" s="42" t="s">
        <v>104</v>
      </c>
      <c r="B39" s="41">
        <f>SUM(PGL_Supplies!Y7:AD7)/1000</f>
        <v>217.93100000000001</v>
      </c>
      <c r="C39" s="41">
        <f>SUM(PGL_Supplies!Y8:AD8)/1000</f>
        <v>213.935</v>
      </c>
      <c r="D39" s="41">
        <f>SUM(PGL_Supplies!Y9:AD9)/1000</f>
        <v>213.935</v>
      </c>
      <c r="E39" s="41">
        <f>SUM(PGL_Supplies!Y10:AD10)/1000</f>
        <v>213.935</v>
      </c>
      <c r="F39" s="41">
        <f>SUM(PGL_Supplies!Y11:AD11)/1000</f>
        <v>213.935</v>
      </c>
      <c r="G39" s="41">
        <f>SUM(PGL_Supplies!Y12:AD12)/1000</f>
        <v>213.935</v>
      </c>
      <c r="H39" s="14"/>
      <c r="I39" s="15"/>
    </row>
    <row r="40" spans="1:9" ht="15">
      <c r="A40" s="42" t="s">
        <v>287</v>
      </c>
      <c r="B40" s="41">
        <f>(PGL_Supplies!M7+PGL_Supplies!N7+PGL_Supplies!O7+PGL_Supplies!Q7+PGL_Supplies!R7)/1000</f>
        <v>0</v>
      </c>
      <c r="C40" s="41">
        <f>(PGL_Supplies!M8+PGL_Supplies!N8+PGL_Supplies!O8+PGL_Supplies!Q8+PGL_Supplies!R8)/1000</f>
        <v>0</v>
      </c>
      <c r="D40" s="41">
        <f>(PGL_Supplies!M9+PGL_Supplies!N9+PGL_Supplies!O9+PGL_Supplies!Q9+PGL_Supplies!R9)/1000</f>
        <v>0</v>
      </c>
      <c r="E40" s="41">
        <f>(PGL_Supplies!M10+PGL_Supplies!N10+PGL_Supplies!O10+PGL_Supplies!Q10+PGL_Supplies!R10)/1000</f>
        <v>0</v>
      </c>
      <c r="F40" s="41">
        <f>(PGL_Supplies!M11+PGL_Supplies!N11+PGL_Supplies!O11+PGL_Supplies!Q11+PGL_Supplies!R11)/1000</f>
        <v>0</v>
      </c>
      <c r="G40" s="41">
        <f>(PGL_Supplies!M12+PGL_Supplies!N12+PGL_Supplies!O12+PGL_Supplies!Q12+PGL_Supplies!R12)/1000</f>
        <v>0</v>
      </c>
      <c r="H40" s="14"/>
      <c r="I40" s="15"/>
    </row>
    <row r="41" spans="1:9" ht="15">
      <c r="A41" s="45" t="s">
        <v>288</v>
      </c>
      <c r="B41" s="41">
        <f>SUM(PGL_Requirements!Q7:T7)/1000</f>
        <v>0.41</v>
      </c>
      <c r="C41" s="41">
        <f>SUM(PGL_Requirements!Q7:T7)/1000</f>
        <v>0.41</v>
      </c>
      <c r="D41" s="41">
        <f>SUM(PGL_Requirements!Q7:T7)/1000</f>
        <v>0.41</v>
      </c>
      <c r="E41" s="41">
        <f>SUM(PGL_Requirements!Q7:T7)/1000</f>
        <v>0.41</v>
      </c>
      <c r="F41" s="41">
        <f>SUM(PGL_Requirements!Q7:T7)/1000</f>
        <v>0.41</v>
      </c>
      <c r="G41" s="41">
        <f>SUM(PGL_Requirements!Q7:T7)/1000</f>
        <v>0.41</v>
      </c>
      <c r="H41" s="14"/>
      <c r="I41" s="15"/>
    </row>
    <row r="42" spans="1:9" ht="15">
      <c r="A42" s="15" t="s">
        <v>127</v>
      </c>
      <c r="B42" s="41">
        <f>PGL_Supplies!U7/1000</f>
        <v>114.94</v>
      </c>
      <c r="C42" s="41">
        <f>PGL_Supplies!U8/1000</f>
        <v>127.611</v>
      </c>
      <c r="D42" s="41">
        <f>PGL_Supplies!U9/1000</f>
        <v>127.611</v>
      </c>
      <c r="E42" s="41">
        <f>PGL_Supplies!U10/1000</f>
        <v>127.611</v>
      </c>
      <c r="F42" s="41">
        <f>PGL_Supplies!U11/1000</f>
        <v>127.611</v>
      </c>
      <c r="G42" s="41">
        <f>PGL_Supplies!U12/1000</f>
        <v>127.611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2" t="s">
        <v>81</v>
      </c>
      <c r="B44" s="89">
        <f t="shared" ref="B44:G44" si="0">B36</f>
        <v>37095</v>
      </c>
      <c r="C44" s="89">
        <f t="shared" si="0"/>
        <v>37096</v>
      </c>
      <c r="D44" s="89">
        <f t="shared" si="0"/>
        <v>37097</v>
      </c>
      <c r="E44" s="89">
        <f t="shared" si="0"/>
        <v>37098</v>
      </c>
      <c r="F44" s="89">
        <f t="shared" si="0"/>
        <v>37099</v>
      </c>
      <c r="G44" s="89">
        <f t="shared" si="0"/>
        <v>37100</v>
      </c>
      <c r="H44" s="14"/>
      <c r="I44" s="15"/>
    </row>
    <row r="45" spans="1:9" ht="15">
      <c r="A45" s="15" t="s">
        <v>54</v>
      </c>
      <c r="B45" s="41">
        <f ca="1">NSG_6_Day_Report!D6</f>
        <v>33</v>
      </c>
      <c r="C45" s="41">
        <f ca="1">NSG_6_Day_Report!E6</f>
        <v>34</v>
      </c>
      <c r="D45" s="41">
        <f ca="1">NSG_6_Day_Report!F6</f>
        <v>34</v>
      </c>
      <c r="E45" s="41">
        <f ca="1">NSG_6_Day_Report!G6</f>
        <v>34</v>
      </c>
      <c r="F45" s="41">
        <f ca="1">NSG_6_Day_Report!H6</f>
        <v>32</v>
      </c>
      <c r="G45" s="41">
        <f ca="1">NSG_6_Day_Report!I6</f>
        <v>29</v>
      </c>
      <c r="H45" s="14"/>
      <c r="I45" s="15"/>
    </row>
    <row r="46" spans="1:9" ht="15">
      <c r="A46" s="42" t="s">
        <v>286</v>
      </c>
      <c r="B46" s="41">
        <f ca="1">NSG_6_Day_Report!D11</f>
        <v>44.625999999999998</v>
      </c>
      <c r="C46" s="41">
        <f ca="1">NSG_6_Day_Report!E11</f>
        <v>46</v>
      </c>
      <c r="D46" s="41">
        <f ca="1">NSG_6_Day_Report!F11</f>
        <v>34</v>
      </c>
      <c r="E46" s="41">
        <f ca="1">NSG_6_Day_Report!G11</f>
        <v>34</v>
      </c>
      <c r="F46" s="41">
        <f ca="1">NSG_6_Day_Report!H11</f>
        <v>32</v>
      </c>
      <c r="G46" s="41">
        <f ca="1">NSG_6_Day_Report!I11</f>
        <v>29</v>
      </c>
      <c r="H46" s="14"/>
      <c r="I46" s="15"/>
    </row>
    <row r="47" spans="1:9" ht="15">
      <c r="A47" s="42" t="s">
        <v>104</v>
      </c>
      <c r="B47" s="41">
        <f>SUM(NSG_Supplies!O7:Q7)/1000</f>
        <v>37.234999999999999</v>
      </c>
      <c r="C47" s="41">
        <f>SUM(NSG_Supplies!O8:Q8)/1000</f>
        <v>39.284999999999997</v>
      </c>
      <c r="D47" s="41">
        <f>SUM(NSG_Supplies!O9:Q9)/1000</f>
        <v>39.284999999999997</v>
      </c>
      <c r="E47" s="41">
        <f>SUM(NSG_Supplies!O10:Q10)/1000</f>
        <v>39.284999999999997</v>
      </c>
      <c r="F47" s="41">
        <f>SUM(NSG_Supplies!O11:Q11)/1000</f>
        <v>39.284999999999997</v>
      </c>
      <c r="G47" s="41">
        <f>SUM(NSG_Supplies!O12:Q12)/1000</f>
        <v>39.284999999999997</v>
      </c>
      <c r="H47" s="14"/>
      <c r="I47" s="15"/>
    </row>
    <row r="48" spans="1:9" ht="15">
      <c r="A48" s="42" t="s">
        <v>287</v>
      </c>
      <c r="B48" s="41">
        <f>SUM(NSG_Supplies!H7:L7)/1000</f>
        <v>0</v>
      </c>
      <c r="C48" s="41">
        <f>SUM(NSG_Supplies!H8:L8)/1000</f>
        <v>0</v>
      </c>
      <c r="D48" s="41">
        <f>SUM(NSG_Supplies!H9:L9)/1000</f>
        <v>0</v>
      </c>
      <c r="E48" s="41">
        <f>SUM(NSG_Supplies!H10:L10)/1000</f>
        <v>0</v>
      </c>
      <c r="F48" s="41">
        <f>SUM(NSG_Supplies!H11:L11)/1000</f>
        <v>0</v>
      </c>
      <c r="G48" s="41">
        <f>SUM(NSG_Supplies!H12:L12)/1000</f>
        <v>0</v>
      </c>
      <c r="H48" s="14"/>
      <c r="I48" s="15"/>
    </row>
    <row r="49" spans="1:9" ht="15">
      <c r="A49" s="45" t="s">
        <v>288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127</v>
      </c>
      <c r="B50" s="41">
        <f>NSG_Supplies!R7/1000</f>
        <v>13.901999999999999</v>
      </c>
      <c r="C50" s="41">
        <f>NSG_Supplies!R8/1000</f>
        <v>15.952</v>
      </c>
      <c r="D50" s="41">
        <f>NSG_Supplies!R9/1000</f>
        <v>15.952</v>
      </c>
      <c r="E50" s="41">
        <f>NSG_Supplies!R10/1000</f>
        <v>15.952</v>
      </c>
      <c r="F50" s="41">
        <f>NSG_Supplies!R11/1000</f>
        <v>15.952</v>
      </c>
      <c r="G50" s="41">
        <f>NSG_Supplies!R12/1000</f>
        <v>15.952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2" t="s">
        <v>289</v>
      </c>
      <c r="B52" s="89">
        <f t="shared" ref="B52:G52" si="1">B36</f>
        <v>37095</v>
      </c>
      <c r="C52" s="89">
        <f t="shared" si="1"/>
        <v>37096</v>
      </c>
      <c r="D52" s="89">
        <f t="shared" si="1"/>
        <v>37097</v>
      </c>
      <c r="E52" s="89">
        <f t="shared" si="1"/>
        <v>37098</v>
      </c>
      <c r="F52" s="89">
        <f t="shared" si="1"/>
        <v>37099</v>
      </c>
      <c r="G52" s="89">
        <f t="shared" si="1"/>
        <v>37100</v>
      </c>
      <c r="H52" s="14"/>
      <c r="I52" s="15"/>
    </row>
    <row r="53" spans="1:9" ht="15">
      <c r="A53" s="92" t="s">
        <v>290</v>
      </c>
      <c r="B53" s="41">
        <f>PGL_Requirements!O7/1000</f>
        <v>49.08</v>
      </c>
      <c r="C53" s="41">
        <f>PGL_Requirements!O8/1000</f>
        <v>90</v>
      </c>
      <c r="D53" s="41">
        <f>PGL_Requirements!O9/1000</f>
        <v>100</v>
      </c>
      <c r="E53" s="41">
        <f>PGL_Requirements!O10/1000</f>
        <v>100</v>
      </c>
      <c r="F53" s="41">
        <f>PGL_Requirements!O11/1000</f>
        <v>100</v>
      </c>
      <c r="G53" s="41">
        <f>PGL_Requirements!O12/1000</f>
        <v>100</v>
      </c>
      <c r="H53" s="14"/>
      <c r="I53" s="15"/>
    </row>
    <row r="54" spans="1:9" ht="15">
      <c r="A54" s="15" t="s">
        <v>291</v>
      </c>
      <c r="B54" s="41">
        <f>PGL_Supplies!L7/1000</f>
        <v>0</v>
      </c>
      <c r="C54" s="41">
        <f>PGL_Supplies!L8/1000</f>
        <v>0</v>
      </c>
      <c r="D54" s="41">
        <f>PGL_Supplies!L9/1000</f>
        <v>0</v>
      </c>
      <c r="E54" s="41">
        <f>PGL_Supplies!L10/1000</f>
        <v>0</v>
      </c>
      <c r="F54" s="41">
        <f>PGL_Supplies!L11/1000</f>
        <v>0</v>
      </c>
      <c r="G54" s="41">
        <f>PGL_Supplies!L12/1000</f>
        <v>0</v>
      </c>
      <c r="H54" s="14"/>
      <c r="I54" s="15"/>
    </row>
    <row r="56" spans="1:9">
      <c r="A56" s="1038" t="s">
        <v>687</v>
      </c>
    </row>
    <row r="57" spans="1:9">
      <c r="A57" s="155" t="s">
        <v>292</v>
      </c>
    </row>
    <row r="58" spans="1:9">
      <c r="A58" s="155" t="s">
        <v>293</v>
      </c>
      <c r="G58" s="156"/>
    </row>
    <row r="59" spans="1:9">
      <c r="A59" s="155" t="s">
        <v>294</v>
      </c>
    </row>
    <row r="60" spans="1:9">
      <c r="A60" s="155" t="s">
        <v>295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78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81640625" customWidth="1"/>
    <col min="2" max="2" width="10.36328125" customWidth="1"/>
    <col min="3" max="4" width="10.1796875" customWidth="1"/>
    <col min="5" max="5" width="11" customWidth="1"/>
    <col min="6" max="6" width="10.81640625" customWidth="1"/>
  </cols>
  <sheetData>
    <row r="1" spans="1:8" ht="15.6">
      <c r="A1" s="455" t="s">
        <v>9</v>
      </c>
      <c r="B1" s="95"/>
      <c r="C1" s="95" t="s">
        <v>9</v>
      </c>
      <c r="D1" s="95"/>
      <c r="E1" s="95"/>
      <c r="F1" s="6"/>
    </row>
    <row r="2" spans="1:8" ht="15.6">
      <c r="A2" t="s">
        <v>9</v>
      </c>
      <c r="C2" s="94"/>
      <c r="D2" s="94"/>
      <c r="E2" s="94"/>
      <c r="F2" s="1064"/>
    </row>
    <row r="3" spans="1:8" ht="16.2" thickBot="1">
      <c r="A3" s="96" t="s">
        <v>296</v>
      </c>
    </row>
    <row r="4" spans="1:8">
      <c r="A4" s="97"/>
      <c r="B4" s="1065" t="str">
        <f>Six_Day_Summary!A10</f>
        <v>Tuesday</v>
      </c>
      <c r="C4" s="1066" t="str">
        <f>Six_Day_Summary!A15</f>
        <v>Wednesday</v>
      </c>
      <c r="D4" s="1066" t="str">
        <f>Six_Day_Summary!A20</f>
        <v>Thursday</v>
      </c>
      <c r="E4" s="1066" t="str">
        <f>Six_Day_Summary!A25</f>
        <v>Friday</v>
      </c>
      <c r="F4" s="1067" t="str">
        <f>Six_Day_Summary!A30</f>
        <v>Saturday</v>
      </c>
      <c r="G4" s="98"/>
    </row>
    <row r="5" spans="1:8">
      <c r="A5" s="101" t="s">
        <v>297</v>
      </c>
      <c r="B5" s="1068">
        <f>Weather_Input!A6</f>
        <v>37096</v>
      </c>
      <c r="C5" s="1069">
        <f>Weather_Input!A7</f>
        <v>37097</v>
      </c>
      <c r="D5" s="1069">
        <f>Weather_Input!A8</f>
        <v>37098</v>
      </c>
      <c r="E5" s="1069">
        <f>Weather_Input!A9</f>
        <v>37099</v>
      </c>
      <c r="F5" s="1070">
        <f>Weather_Input!A10</f>
        <v>37100</v>
      </c>
      <c r="G5" s="98"/>
    </row>
    <row r="6" spans="1:8">
      <c r="A6" s="98" t="s">
        <v>298</v>
      </c>
      <c r="B6" s="1071">
        <f>PGL_Supplies!AB8/1000+PGL_Supplies!K8/1000-PGL_Requirements!N8/1000-PGL_Requirements!S8/1000+B8</f>
        <v>94.501000000000005</v>
      </c>
      <c r="C6" s="1071">
        <f>PGL_Supplies!AB9/1000+PGL_Supplies!K9/1000-PGL_Requirements!N9/1000+C15-PGL_Requirements!S9/1000</f>
        <v>40.731000000000002</v>
      </c>
      <c r="D6" s="1071">
        <f>PGL_Supplies!AB10/1000+PGL_Supplies!K10/1000-PGL_Requirements!N10/1000+D15-PGL_Requirements!S10/1000</f>
        <v>40.731000000000002</v>
      </c>
      <c r="E6" s="1071">
        <f>PGL_Supplies!AB11/1000+PGL_Supplies!K11/1000-PGL_Requirements!N11/1000+E15-PGL_Requirements!S11/1000</f>
        <v>40.731000000000002</v>
      </c>
      <c r="F6" s="1072">
        <f>PGL_Supplies!AB12/1000+PGL_Supplies!K12/1000-PGL_Requirements!N12/1000+F15-PGL_Requirements!S12/1000</f>
        <v>40.731000000000002</v>
      </c>
      <c r="G6" s="98"/>
      <c r="H6" t="s">
        <v>9</v>
      </c>
    </row>
    <row r="7" spans="1:8">
      <c r="A7" s="98" t="s">
        <v>299</v>
      </c>
      <c r="B7" s="1071">
        <f>PGL_Supplies!M8/1000</f>
        <v>0</v>
      </c>
      <c r="C7" s="1071">
        <f>PGL_Supplies!M9/1000</f>
        <v>0</v>
      </c>
      <c r="D7" s="1071">
        <f>PGL_Supplies!M10/1000</f>
        <v>0</v>
      </c>
      <c r="E7" s="1071">
        <f>PGL_Supplies!M11/1000</f>
        <v>0</v>
      </c>
      <c r="F7" s="1073">
        <f>PGL_Supplies!M12/1000</f>
        <v>0</v>
      </c>
      <c r="G7" s="98"/>
    </row>
    <row r="8" spans="1:8">
      <c r="A8" s="98" t="s">
        <v>300</v>
      </c>
      <c r="B8" s="1071">
        <f>PGL_Supplies!N8/1000</f>
        <v>0</v>
      </c>
      <c r="C8" s="1071">
        <f>PGL_Supplies!N9/1000</f>
        <v>0</v>
      </c>
      <c r="D8" s="1071">
        <f>PGL_Supplies!N10/1000</f>
        <v>0</v>
      </c>
      <c r="E8" s="1071">
        <f>PGL_Supplies!N11/1000</f>
        <v>0</v>
      </c>
      <c r="F8" s="1073">
        <f>PGL_Supplies!N12/1000</f>
        <v>0</v>
      </c>
      <c r="G8" s="98"/>
    </row>
    <row r="9" spans="1:8">
      <c r="A9" s="98" t="s">
        <v>301</v>
      </c>
      <c r="B9" s="1071">
        <v>0</v>
      </c>
      <c r="C9" s="1071">
        <v>0</v>
      </c>
      <c r="D9" s="1071">
        <v>0</v>
      </c>
      <c r="E9" s="1071">
        <v>0</v>
      </c>
      <c r="F9" s="1073">
        <v>0</v>
      </c>
      <c r="G9" s="98"/>
    </row>
    <row r="10" spans="1:8">
      <c r="A10" s="99"/>
      <c r="B10" s="1074"/>
      <c r="C10" s="1074"/>
      <c r="D10" s="1074"/>
      <c r="E10" s="1074"/>
      <c r="F10" s="1075"/>
      <c r="G10" s="98"/>
    </row>
    <row r="11" spans="1:8">
      <c r="A11" s="98" t="s">
        <v>302</v>
      </c>
      <c r="B11" s="1071">
        <v>0</v>
      </c>
      <c r="C11" s="1071">
        <v>0</v>
      </c>
      <c r="D11" s="1071">
        <v>0</v>
      </c>
      <c r="E11" s="1071">
        <v>0</v>
      </c>
      <c r="F11" s="1073">
        <v>0</v>
      </c>
      <c r="G11" s="98"/>
      <c r="H11" s="119" t="s">
        <v>9</v>
      </c>
    </row>
    <row r="12" spans="1:8">
      <c r="A12" s="98" t="s">
        <v>303</v>
      </c>
      <c r="B12" s="1071">
        <f>PGL_Requirements!R8/1000</f>
        <v>0</v>
      </c>
      <c r="C12" s="1071">
        <f>PGL_Requirements!R9/1000</f>
        <v>0</v>
      </c>
      <c r="D12" s="1071">
        <f>PGL_Requirements!R10/1000</f>
        <v>0</v>
      </c>
      <c r="E12" s="1071">
        <f>PGL_Requirements!R11/1000</f>
        <v>0</v>
      </c>
      <c r="F12" s="1073">
        <f>PGL_Requirements!R12/1000</f>
        <v>0</v>
      </c>
      <c r="G12" s="98"/>
    </row>
    <row r="13" spans="1:8">
      <c r="A13" s="98" t="s">
        <v>304</v>
      </c>
      <c r="B13" s="1071">
        <v>0</v>
      </c>
      <c r="C13" s="1071">
        <v>0</v>
      </c>
      <c r="D13" s="1071">
        <v>0</v>
      </c>
      <c r="E13" s="1071">
        <v>0</v>
      </c>
      <c r="F13" s="1073">
        <v>0</v>
      </c>
      <c r="G13" s="98"/>
    </row>
    <row r="14" spans="1:8">
      <c r="A14" s="98" t="s">
        <v>175</v>
      </c>
      <c r="B14" s="1071">
        <v>0</v>
      </c>
      <c r="C14" s="1077"/>
      <c r="D14" s="1077"/>
      <c r="E14" s="1077"/>
      <c r="F14" s="1073"/>
      <c r="G14" s="98"/>
    </row>
    <row r="15" spans="1:8">
      <c r="A15" s="98" t="s">
        <v>673</v>
      </c>
      <c r="B15" s="1076">
        <v>0</v>
      </c>
      <c r="C15" s="1076">
        <v>0</v>
      </c>
      <c r="D15" s="1076">
        <v>0</v>
      </c>
      <c r="E15" s="1076">
        <v>0</v>
      </c>
      <c r="F15" s="1106">
        <v>0</v>
      </c>
      <c r="G15" s="119"/>
    </row>
    <row r="16" spans="1:8">
      <c r="A16" s="98" t="s">
        <v>305</v>
      </c>
      <c r="B16" s="1076">
        <v>0</v>
      </c>
      <c r="C16" s="1077"/>
      <c r="D16" s="1077"/>
      <c r="E16" s="1077"/>
      <c r="F16" s="1073"/>
      <c r="G16" s="98"/>
    </row>
    <row r="17" spans="1:7" ht="15.6" thickBot="1">
      <c r="A17" s="100" t="s">
        <v>730</v>
      </c>
      <c r="B17" s="1078">
        <v>0</v>
      </c>
      <c r="C17" s="1079"/>
      <c r="D17" s="1079"/>
      <c r="E17" s="1079"/>
      <c r="F17" s="1080"/>
      <c r="G17" s="98"/>
    </row>
    <row r="20" spans="1:7" ht="16.2" thickBot="1">
      <c r="A20" s="104" t="s">
        <v>306</v>
      </c>
      <c r="B20" s="103"/>
      <c r="C20" s="103"/>
      <c r="D20" s="103"/>
      <c r="E20" s="103"/>
      <c r="F20" s="103"/>
    </row>
    <row r="21" spans="1:7">
      <c r="A21" s="97"/>
      <c r="B21" s="1081" t="str">
        <f t="shared" ref="B21:F22" si="0">B4</f>
        <v>Tuesday</v>
      </c>
      <c r="C21" s="1081" t="str">
        <f t="shared" si="0"/>
        <v>Wednesday</v>
      </c>
      <c r="D21" s="1081" t="str">
        <f t="shared" si="0"/>
        <v>Thursday</v>
      </c>
      <c r="E21" s="1081" t="str">
        <f t="shared" si="0"/>
        <v>Friday</v>
      </c>
      <c r="F21" s="1082" t="str">
        <f t="shared" si="0"/>
        <v>Saturday</v>
      </c>
      <c r="G21" s="98"/>
    </row>
    <row r="22" spans="1:7">
      <c r="A22" s="105" t="s">
        <v>297</v>
      </c>
      <c r="B22" s="1083">
        <f t="shared" si="0"/>
        <v>37096</v>
      </c>
      <c r="C22" s="1083">
        <f t="shared" si="0"/>
        <v>37097</v>
      </c>
      <c r="D22" s="1083">
        <f t="shared" si="0"/>
        <v>37098</v>
      </c>
      <c r="E22" s="1083">
        <f t="shared" si="0"/>
        <v>37099</v>
      </c>
      <c r="F22" s="1084">
        <f t="shared" si="0"/>
        <v>37100</v>
      </c>
      <c r="G22" s="98"/>
    </row>
    <row r="23" spans="1:7">
      <c r="A23" s="98" t="s">
        <v>298</v>
      </c>
      <c r="B23" s="1077">
        <f>NSG_Supplies!Q8/1000+NSG_Supplies!F8/1000-NSG_Requirements!H8/1000</f>
        <v>34</v>
      </c>
      <c r="C23" s="1077">
        <f>NSG_Supplies!Q9/1000+NSG_Supplies!F9/1000-NSG_Requirements!H9/1000</f>
        <v>27.285</v>
      </c>
      <c r="D23" s="1077">
        <f>NSG_Supplies!Q10/1000+NSG_Supplies!F10/1000-NSG_Requirements!H10/1000</f>
        <v>27.285</v>
      </c>
      <c r="E23" s="1077">
        <f>NSG_Supplies!Q12/1000+NSG_Supplies!F11/1000-NSG_Requirements!H11/1000</f>
        <v>27.285</v>
      </c>
      <c r="F23" s="1072">
        <f>NSG_Supplies!Q12/1000+NSG_Supplies!F12/1000-NSG_Requirements!H12/1000</f>
        <v>27.285</v>
      </c>
      <c r="G23" s="98"/>
    </row>
    <row r="24" spans="1:7">
      <c r="A24" s="98" t="s">
        <v>307</v>
      </c>
      <c r="B24" s="1077">
        <f>NSG_Supplies!G8/1000</f>
        <v>0</v>
      </c>
      <c r="C24" s="1077">
        <f>NSG_Supplies!G9/1000</f>
        <v>0</v>
      </c>
      <c r="D24" s="1077">
        <f>NSG_Supplies!G10/1000</f>
        <v>0</v>
      </c>
      <c r="E24" s="1077">
        <f>NSG_Supplies!G11/1000</f>
        <v>0</v>
      </c>
      <c r="F24" s="1073">
        <f>NSG_Supplies!G12/1000</f>
        <v>0</v>
      </c>
      <c r="G24" s="98"/>
    </row>
    <row r="25" spans="1:7">
      <c r="A25" s="98" t="s">
        <v>299</v>
      </c>
      <c r="B25" s="1077">
        <f>NSG_Supplies!H8/1000</f>
        <v>0</v>
      </c>
      <c r="C25" s="1077">
        <f>NSG_Supplies!H9/1000</f>
        <v>0</v>
      </c>
      <c r="D25" s="1077">
        <f>NSG_Supplies!H10/1000</f>
        <v>0</v>
      </c>
      <c r="E25" s="1077">
        <f>NSG_Supplies!H11/1000</f>
        <v>0</v>
      </c>
      <c r="F25" s="1073">
        <f>NSG_Supplies!H12/1000</f>
        <v>0</v>
      </c>
      <c r="G25" s="98"/>
    </row>
    <row r="26" spans="1:7">
      <c r="A26" s="102" t="s">
        <v>300</v>
      </c>
      <c r="B26" s="1077">
        <f>NSG_Supplies!I8/1000</f>
        <v>0</v>
      </c>
      <c r="C26" s="1077">
        <f>NSG_Supplies!I9/1000</f>
        <v>0</v>
      </c>
      <c r="D26" s="1077">
        <f>NSG_Supplies!I10/1000</f>
        <v>0</v>
      </c>
      <c r="E26" s="1077">
        <f>NSG_Supplies!I11/1000</f>
        <v>0</v>
      </c>
      <c r="F26" s="1073">
        <f>NSG_Supplies!I12/1000</f>
        <v>0</v>
      </c>
      <c r="G26" s="98"/>
    </row>
    <row r="27" spans="1:7">
      <c r="A27" s="98" t="s">
        <v>301</v>
      </c>
      <c r="B27" s="1077">
        <f>NSG_Supplies!J8/1000</f>
        <v>0</v>
      </c>
      <c r="C27" s="1077">
        <f>NSG_Supplies!J9/1000</f>
        <v>0</v>
      </c>
      <c r="D27" s="1077">
        <f>NSG_Supplies!J10/1000</f>
        <v>0</v>
      </c>
      <c r="E27" s="1077">
        <f>NSG_Supplies!J11/1000</f>
        <v>0</v>
      </c>
      <c r="F27" s="1073">
        <f>NSG_Supplies!J12/1000</f>
        <v>0</v>
      </c>
      <c r="G27" s="98"/>
    </row>
    <row r="28" spans="1:7">
      <c r="A28" s="98" t="s">
        <v>308</v>
      </c>
      <c r="B28" s="1077" t="s">
        <v>9</v>
      </c>
      <c r="C28" s="1077"/>
      <c r="D28" s="1077"/>
      <c r="E28" s="1077"/>
      <c r="F28" s="1073"/>
      <c r="G28" s="98"/>
    </row>
    <row r="29" spans="1:7">
      <c r="A29" s="99"/>
      <c r="B29" s="1074"/>
      <c r="C29" s="1074"/>
      <c r="D29" s="1074"/>
      <c r="E29" s="1074"/>
      <c r="F29" s="1075"/>
      <c r="G29" s="98"/>
    </row>
    <row r="30" spans="1:7">
      <c r="A30" s="98" t="s">
        <v>302</v>
      </c>
      <c r="B30" s="1077">
        <f>NSG_Requirements!P8/1000</f>
        <v>0</v>
      </c>
      <c r="C30" s="1077">
        <f>NSG_Requirements!P9/1000</f>
        <v>0</v>
      </c>
      <c r="D30" s="1077">
        <f>NSG_Requirements!P10/1000</f>
        <v>0</v>
      </c>
      <c r="E30" s="1077">
        <f>NSG_Requirements!P11/1000</f>
        <v>0</v>
      </c>
      <c r="F30" s="1073">
        <f>NSG_Supplies!J12/1000</f>
        <v>0</v>
      </c>
      <c r="G30" s="98"/>
    </row>
    <row r="31" spans="1:7">
      <c r="A31" s="98" t="s">
        <v>303</v>
      </c>
      <c r="B31" s="1077">
        <f>NSG_Requirements!R8/1000</f>
        <v>0</v>
      </c>
      <c r="C31" s="1077">
        <f>NSG_Requirements!R9/1000</f>
        <v>0</v>
      </c>
      <c r="D31" s="1077">
        <f>NSG_Requirements!R10/1000</f>
        <v>0</v>
      </c>
      <c r="E31" s="1077">
        <f>NSG_Requirements!R11/1000</f>
        <v>0</v>
      </c>
      <c r="F31" s="1073">
        <f>NSG_Supplies!L12/1000</f>
        <v>0</v>
      </c>
      <c r="G31" s="98"/>
    </row>
    <row r="32" spans="1:7">
      <c r="A32" s="98" t="s">
        <v>304</v>
      </c>
      <c r="B32" s="1077">
        <f>NSG_Requirements!Q8/1000</f>
        <v>0</v>
      </c>
      <c r="C32" s="1077">
        <f>NSG_Requirements!Q9/1000</f>
        <v>0</v>
      </c>
      <c r="D32" s="1077">
        <f>NSG_Requirements!Q10/1000</f>
        <v>0</v>
      </c>
      <c r="E32" s="1077">
        <f>NSG_Requirements!Q11/1000</f>
        <v>0</v>
      </c>
      <c r="F32" s="1073">
        <f>NSG_Requirements!Q12/1000</f>
        <v>0</v>
      </c>
      <c r="G32" s="98"/>
    </row>
    <row r="33" spans="1:7" ht="15.6" thickBot="1">
      <c r="A33" s="100" t="s">
        <v>309</v>
      </c>
      <c r="B33" s="1079">
        <f>NSG_Requirements!L8/1000</f>
        <v>0</v>
      </c>
      <c r="C33" s="1079">
        <f>NSG_Requirements!L9/1000</f>
        <v>0</v>
      </c>
      <c r="D33" s="1079">
        <f>NSG_Requirements!L10/1000</f>
        <v>0</v>
      </c>
      <c r="E33" s="1079">
        <f>NSG_Requirements!L11/1000</f>
        <v>0</v>
      </c>
      <c r="F33" s="1080">
        <f>NSG_Requirements!L12/1000</f>
        <v>0</v>
      </c>
      <c r="G33" s="98"/>
    </row>
    <row r="37" spans="1:7">
      <c r="A37" s="122"/>
      <c r="B37" s="122"/>
      <c r="C37" s="122"/>
      <c r="D37" s="122"/>
      <c r="E37" s="122"/>
      <c r="F37" s="122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>
      <selection activeCell="B1" sqref="B1"/>
    </sheetView>
  </sheetViews>
  <sheetFormatPr defaultRowHeight="15"/>
  <cols>
    <col min="2" max="2" width="20.81640625" customWidth="1"/>
    <col min="3" max="5" width="8.81640625" customWidth="1"/>
    <col min="6" max="6" width="22.81640625" customWidth="1"/>
    <col min="7" max="7" width="11.453125" bestFit="1" customWidth="1"/>
  </cols>
  <sheetData>
    <row r="1" spans="1:11" ht="23.4" thickBot="1">
      <c r="A1" s="450" t="s">
        <v>9</v>
      </c>
      <c r="B1" s="796" t="s">
        <v>359</v>
      </c>
      <c r="C1" s="892">
        <f>Weather_Input!A6</f>
        <v>37096</v>
      </c>
      <c r="D1" s="893" t="s">
        <v>352</v>
      </c>
      <c r="E1" s="797"/>
      <c r="F1" s="1015"/>
      <c r="G1" s="425"/>
      <c r="H1" s="425"/>
      <c r="I1" s="1016"/>
    </row>
    <row r="2" spans="1:11" ht="15.75" customHeight="1" thickBot="1">
      <c r="A2" s="428"/>
      <c r="B2" s="1013" t="s">
        <v>607</v>
      </c>
      <c r="E2" s="158"/>
      <c r="I2" s="158"/>
    </row>
    <row r="3" spans="1:11" ht="15.75" customHeight="1" thickTop="1">
      <c r="B3" s="169" t="s">
        <v>104</v>
      </c>
      <c r="C3" s="887">
        <f>NSG_Supplies!P8/1000</f>
        <v>12</v>
      </c>
      <c r="E3" s="158"/>
      <c r="F3" s="779" t="s">
        <v>155</v>
      </c>
      <c r="G3" s="778"/>
      <c r="H3" s="791" t="s">
        <v>541</v>
      </c>
      <c r="I3" s="790" t="s">
        <v>540</v>
      </c>
    </row>
    <row r="4" spans="1:11" ht="15.75" customHeight="1" thickBot="1">
      <c r="A4" t="s">
        <v>9</v>
      </c>
      <c r="B4" s="169" t="str">
        <f>IF(C5&gt;C3,"No-Notice withdraw","No-Notice injection")</f>
        <v>No-Notice injection</v>
      </c>
      <c r="C4" s="1062">
        <f>NSG_Supplies!E8/1000</f>
        <v>0</v>
      </c>
      <c r="D4" s="132">
        <f>NSG_Requirements!J8/1000</f>
        <v>12</v>
      </c>
      <c r="E4" s="789"/>
      <c r="F4" s="169" t="s">
        <v>520</v>
      </c>
      <c r="G4" s="60"/>
      <c r="H4" s="151">
        <f>PGL_Requirements!O8/1000</f>
        <v>90</v>
      </c>
      <c r="I4" s="173">
        <f>AVERAGE(H4/1.025)</f>
        <v>87.804878048780495</v>
      </c>
      <c r="J4" t="s">
        <v>9</v>
      </c>
    </row>
    <row r="5" spans="1:11" ht="15.75" customHeight="1" thickTop="1" thickBot="1">
      <c r="B5" s="432" t="s">
        <v>608</v>
      </c>
      <c r="C5" s="443">
        <f>C3+C4-D4</f>
        <v>0</v>
      </c>
      <c r="D5" s="433"/>
      <c r="E5" s="435">
        <f>AVERAGE(C5/24)</f>
        <v>0</v>
      </c>
      <c r="F5" s="167" t="s">
        <v>426</v>
      </c>
      <c r="G5" s="207">
        <f>PGL_Supplies!L8/1000</f>
        <v>0</v>
      </c>
      <c r="H5" s="165"/>
      <c r="I5" s="974">
        <f>AVERAGE(G5/1.025)</f>
        <v>0</v>
      </c>
      <c r="K5" t="s">
        <v>9</v>
      </c>
    </row>
    <row r="6" spans="1:11" ht="15.75" customHeight="1" thickTop="1" thickBot="1">
      <c r="B6" s="890" t="s">
        <v>370</v>
      </c>
      <c r="C6" s="891"/>
      <c r="D6" s="119"/>
      <c r="E6" s="788"/>
      <c r="F6" t="s">
        <v>725</v>
      </c>
      <c r="G6" s="891">
        <f>AVERAGE(H4/24)</f>
        <v>3.75</v>
      </c>
      <c r="H6" s="425"/>
      <c r="I6" s="1016"/>
    </row>
    <row r="7" spans="1:11" ht="15.75" customHeight="1">
      <c r="B7" s="169" t="s">
        <v>353</v>
      </c>
      <c r="C7" s="151">
        <f>NSG_Supplies!K8/1000</f>
        <v>0</v>
      </c>
      <c r="D7" s="60"/>
      <c r="E7" s="445"/>
      <c r="F7" s="1013" t="s">
        <v>589</v>
      </c>
      <c r="G7" s="1014"/>
      <c r="H7" s="60"/>
      <c r="I7" s="158"/>
    </row>
    <row r="8" spans="1:11" ht="15.75" customHeight="1">
      <c r="B8" s="169" t="s">
        <v>501</v>
      </c>
      <c r="C8" s="151">
        <f>PGL_Requirements!V8/1000</f>
        <v>0</v>
      </c>
      <c r="D8" s="60"/>
      <c r="E8" s="445"/>
      <c r="F8" s="169" t="s">
        <v>588</v>
      </c>
      <c r="G8" s="151">
        <f>PGL_Supplies!S8/1000</f>
        <v>70</v>
      </c>
      <c r="H8" s="60"/>
      <c r="I8" s="158"/>
    </row>
    <row r="9" spans="1:11" ht="15.75" customHeight="1" thickBot="1">
      <c r="B9" s="169" t="s">
        <v>716</v>
      </c>
      <c r="C9" s="151">
        <f>NSG_Requirements!B8/1000</f>
        <v>0</v>
      </c>
      <c r="D9" s="60"/>
      <c r="E9" s="445"/>
      <c r="F9" s="1" t="s">
        <v>670</v>
      </c>
      <c r="G9" s="151">
        <f>PGL_Supplies!T8/1000</f>
        <v>0</v>
      </c>
      <c r="I9" s="158"/>
    </row>
    <row r="10" spans="1:11" ht="15.75" customHeight="1" thickTop="1" thickBot="1">
      <c r="B10" s="432" t="s">
        <v>525</v>
      </c>
      <c r="C10" s="443">
        <f>C7+C8-C9</f>
        <v>0</v>
      </c>
      <c r="D10" s="433"/>
      <c r="E10" s="435">
        <f>AVERAGE(C10/24)</f>
        <v>0</v>
      </c>
      <c r="F10" s="169" t="s">
        <v>423</v>
      </c>
      <c r="G10" s="151">
        <f>PGL_Supplies!AA8/1000</f>
        <v>168.505</v>
      </c>
      <c r="H10" s="151" t="s">
        <v>9</v>
      </c>
      <c r="I10" s="158"/>
    </row>
    <row r="11" spans="1:11" ht="15.75" customHeight="1" thickTop="1">
      <c r="A11" t="s">
        <v>9</v>
      </c>
      <c r="B11" s="1055" t="s">
        <v>700</v>
      </c>
      <c r="C11" s="151">
        <f>PGL_Supplies!X8/1000</f>
        <v>101.19</v>
      </c>
      <c r="D11" s="778"/>
      <c r="E11" s="1056"/>
      <c r="F11" s="430" t="s">
        <v>356</v>
      </c>
      <c r="G11" s="442">
        <f>G8+G10</f>
        <v>238.505</v>
      </c>
      <c r="H11" s="429"/>
      <c r="I11" s="431"/>
    </row>
    <row r="12" spans="1:11" ht="15.75" customHeight="1">
      <c r="B12" s="244" t="s">
        <v>729</v>
      </c>
      <c r="C12" s="151">
        <v>0</v>
      </c>
      <c r="D12" s="119"/>
      <c r="E12" s="158"/>
      <c r="F12" s="170" t="s">
        <v>504</v>
      </c>
      <c r="G12" s="151">
        <f>PGL_Supplies!D8/1000</f>
        <v>0</v>
      </c>
      <c r="H12" s="60"/>
      <c r="I12" s="445"/>
    </row>
    <row r="13" spans="1:11" ht="15.75" customHeight="1" thickBot="1">
      <c r="B13" s="244" t="s">
        <v>701</v>
      </c>
      <c r="C13" s="119"/>
      <c r="D13" s="151">
        <f>PGL_Requirements!I8/1000</f>
        <v>0</v>
      </c>
      <c r="E13" s="158"/>
      <c r="F13" s="170" t="s">
        <v>505</v>
      </c>
      <c r="G13" s="60"/>
      <c r="H13" s="151">
        <f>PGL_Requirements!D8/1000</f>
        <v>0</v>
      </c>
      <c r="I13" s="158"/>
    </row>
    <row r="14" spans="1:11" ht="15.75" customHeight="1" thickTop="1" thickBot="1">
      <c r="B14" s="1057" t="s">
        <v>708</v>
      </c>
      <c r="C14" s="443">
        <f>C11-C12</f>
        <v>101.19</v>
      </c>
      <c r="D14" s="433"/>
      <c r="E14" s="435">
        <f>AVERAGE(C14/24)</f>
        <v>4.2162499999999996</v>
      </c>
      <c r="F14" s="772" t="s">
        <v>523</v>
      </c>
      <c r="G14" s="443">
        <v>0</v>
      </c>
      <c r="H14" s="433"/>
      <c r="I14" s="435">
        <f>AVERAGE(G14/24)</f>
        <v>0</v>
      </c>
    </row>
    <row r="15" spans="1:11" ht="15.75" customHeight="1" thickTop="1" thickBot="1">
      <c r="B15" s="169" t="s">
        <v>706</v>
      </c>
      <c r="C15" s="151">
        <f>PGL_Supplies!Y8/1000</f>
        <v>0.2</v>
      </c>
      <c r="D15" s="60"/>
      <c r="E15" s="158"/>
      <c r="F15" s="772" t="s">
        <v>532</v>
      </c>
      <c r="G15" s="442">
        <f>SUM(G11)-G16-G17</f>
        <v>32.049000000000007</v>
      </c>
      <c r="H15" s="433" t="s">
        <v>9</v>
      </c>
      <c r="I15" s="435">
        <f>AVERAGE(G15/24)</f>
        <v>1.3353750000000002</v>
      </c>
    </row>
    <row r="16" spans="1:11" ht="15.75" customHeight="1" thickTop="1" thickBot="1">
      <c r="B16" s="169" t="str">
        <f>IF(C17&gt;C15,"No-Notice withdraw","No-Notice injection")</f>
        <v>No-Notice injection</v>
      </c>
      <c r="C16" s="151">
        <f>PGL_Supplies!Q8/1000</f>
        <v>0</v>
      </c>
      <c r="D16" s="151">
        <f>PGL_Requirements!T8/1000</f>
        <v>0.2</v>
      </c>
      <c r="E16" s="158"/>
      <c r="F16" s="772" t="s">
        <v>537</v>
      </c>
      <c r="G16" s="443">
        <f>PGL_Requirements!G8/1000</f>
        <v>156.45599999999999</v>
      </c>
      <c r="H16" s="443" t="s">
        <v>9</v>
      </c>
      <c r="I16" s="435">
        <f>AVERAGE(G16/24)</f>
        <v>6.5189999999999992</v>
      </c>
    </row>
    <row r="17" spans="1:9" ht="15.75" customHeight="1" thickTop="1" thickBot="1">
      <c r="B17" s="430" t="s">
        <v>356</v>
      </c>
      <c r="C17" s="442">
        <f>SUM(C15:C16)-SUM(D15:D16)</f>
        <v>0</v>
      </c>
      <c r="D17" s="429"/>
      <c r="E17" s="431"/>
      <c r="F17" s="1025" t="s">
        <v>671</v>
      </c>
      <c r="G17" s="443">
        <f>PGL_Requirements!J8/1000</f>
        <v>50</v>
      </c>
      <c r="H17" s="1024"/>
      <c r="I17" s="1104">
        <f>AVERAGE(G17/24)</f>
        <v>2.0833333333333335</v>
      </c>
    </row>
    <row r="18" spans="1:9" ht="15.75" customHeight="1">
      <c r="B18" s="1255"/>
      <c r="C18" s="1256"/>
      <c r="D18" s="624"/>
      <c r="E18" s="1257"/>
      <c r="F18" s="1023" t="s">
        <v>521</v>
      </c>
      <c r="G18" s="60" t="s">
        <v>9</v>
      </c>
      <c r="H18" s="60"/>
      <c r="I18" s="158"/>
    </row>
    <row r="19" spans="1:9" ht="15.75" customHeight="1" thickBot="1">
      <c r="B19" s="1255"/>
      <c r="C19" s="624"/>
      <c r="D19" s="1256"/>
      <c r="E19" s="1257"/>
      <c r="F19" s="167" t="s">
        <v>522</v>
      </c>
      <c r="G19" s="165"/>
      <c r="H19" s="207">
        <v>0</v>
      </c>
      <c r="I19" s="438"/>
    </row>
    <row r="20" spans="1:9" ht="15.75" customHeight="1" thickTop="1" thickBot="1">
      <c r="B20" s="432" t="s">
        <v>527</v>
      </c>
      <c r="C20" s="443">
        <f>C17+C18-D19</f>
        <v>0</v>
      </c>
      <c r="D20" s="436" t="s">
        <v>9</v>
      </c>
      <c r="E20" s="435">
        <f>AVERAGE(C20/24)</f>
        <v>0</v>
      </c>
      <c r="F20" s="434" t="s">
        <v>169</v>
      </c>
      <c r="G20" s="60">
        <v>0</v>
      </c>
      <c r="H20" s="151" t="s">
        <v>9</v>
      </c>
      <c r="I20" s="158"/>
    </row>
    <row r="21" spans="1:9" ht="15.75" customHeight="1" thickTop="1">
      <c r="B21" s="169" t="s">
        <v>707</v>
      </c>
      <c r="C21" s="151">
        <f>PGL_Supplies!Z8/1000</f>
        <v>0</v>
      </c>
      <c r="D21" s="151" t="s">
        <v>9</v>
      </c>
      <c r="E21" s="158"/>
      <c r="F21" s="169" t="s">
        <v>104</v>
      </c>
      <c r="G21" s="151">
        <f>PGL_Supplies!AC8/1000</f>
        <v>4.4989999999999997</v>
      </c>
      <c r="H21" s="151" t="s">
        <v>9</v>
      </c>
      <c r="I21" s="158"/>
    </row>
    <row r="22" spans="1:9" ht="15.75" customHeight="1">
      <c r="B22" s="430" t="s">
        <v>356</v>
      </c>
      <c r="C22" s="442">
        <f>SUM(C21:C21)-SUM(D21)</f>
        <v>0</v>
      </c>
      <c r="D22" s="429"/>
      <c r="E22" s="431"/>
      <c r="F22" s="430" t="s">
        <v>356</v>
      </c>
      <c r="G22" s="442">
        <f>G21</f>
        <v>4.4989999999999997</v>
      </c>
      <c r="H22" s="429"/>
      <c r="I22" s="431"/>
    </row>
    <row r="23" spans="1:9" ht="15.75" customHeight="1">
      <c r="B23" s="169" t="s">
        <v>354</v>
      </c>
      <c r="C23" s="151">
        <f>PGL_Supplies!C8/1000</f>
        <v>0</v>
      </c>
      <c r="D23" s="60"/>
      <c r="E23" s="158"/>
      <c r="F23" s="169" t="s">
        <v>357</v>
      </c>
      <c r="G23" s="151">
        <f>PGL_Supplies!F8/1000</f>
        <v>0</v>
      </c>
      <c r="H23" s="60"/>
      <c r="I23" s="158"/>
    </row>
    <row r="24" spans="1:9" ht="15.75" customHeight="1" thickBot="1">
      <c r="B24" s="169" t="s">
        <v>355</v>
      </c>
      <c r="C24" s="60">
        <v>0</v>
      </c>
      <c r="D24" s="151">
        <f>PGL_Requirements!C8/1000</f>
        <v>0</v>
      </c>
      <c r="E24" s="158"/>
      <c r="F24" s="169" t="s">
        <v>358</v>
      </c>
      <c r="G24" s="60"/>
      <c r="H24" s="151">
        <f>PGL_Requirements!E8/1000</f>
        <v>4.4989999999999997</v>
      </c>
      <c r="I24" s="158"/>
    </row>
    <row r="25" spans="1:9" ht="15.75" customHeight="1" thickTop="1" thickBot="1">
      <c r="B25" s="432" t="s">
        <v>526</v>
      </c>
      <c r="C25" s="443">
        <f>C22+C23-D24</f>
        <v>0</v>
      </c>
      <c r="D25" s="433"/>
      <c r="E25" s="435">
        <f>AVERAGE(C25/24)</f>
        <v>0</v>
      </c>
      <c r="F25" s="546" t="s">
        <v>524</v>
      </c>
      <c r="G25" s="888">
        <f>G22+G23-H24+G20</f>
        <v>0</v>
      </c>
      <c r="H25" s="425"/>
      <c r="I25" s="889">
        <f>AVERAGE(G25/24)</f>
        <v>0</v>
      </c>
    </row>
    <row r="26" spans="1:9" ht="15.75" customHeight="1" thickTop="1">
      <c r="B26" t="s">
        <v>668</v>
      </c>
    </row>
    <row r="27" spans="1:9" ht="15.75" customHeight="1">
      <c r="B27" t="s">
        <v>667</v>
      </c>
    </row>
    <row r="28" spans="1:9" ht="15.75" customHeight="1">
      <c r="A28" t="s">
        <v>9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609</v>
      </c>
    </row>
    <row r="54" spans="1:1">
      <c r="A54" t="s">
        <v>9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85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ColWidth="8.90625" defaultRowHeight="10.199999999999999"/>
  <cols>
    <col min="1" max="1" width="8.6328125" style="981" customWidth="1"/>
    <col min="2" max="2" width="8.08984375" style="981" customWidth="1"/>
    <col min="3" max="3" width="7.90625" style="981" customWidth="1"/>
    <col min="4" max="4" width="5.90625" style="981" customWidth="1"/>
    <col min="5" max="5" width="4.453125" style="981" customWidth="1"/>
    <col min="6" max="6" width="5.1796875" style="981" customWidth="1"/>
    <col min="7" max="7" width="9" style="981" customWidth="1"/>
    <col min="8" max="11" width="8.90625" style="981"/>
    <col min="12" max="12" width="14.90625" style="981" customWidth="1"/>
    <col min="13" max="13" width="5.6328125" style="981" customWidth="1"/>
    <col min="14" max="16384" width="8.90625" style="981"/>
  </cols>
  <sheetData>
    <row r="1" spans="1:22" ht="20.399999999999999">
      <c r="A1" s="921"/>
      <c r="B1" s="917"/>
      <c r="C1" s="928" t="s">
        <v>613</v>
      </c>
      <c r="D1" s="925"/>
      <c r="E1" s="925" t="s">
        <v>614</v>
      </c>
      <c r="F1" s="925"/>
      <c r="G1" s="979" t="s">
        <v>310</v>
      </c>
      <c r="H1" s="980">
        <f>Weather_Input!A6</f>
        <v>37096</v>
      </c>
      <c r="I1" s="914"/>
      <c r="J1" s="916"/>
      <c r="K1" s="916"/>
    </row>
    <row r="2" spans="1:22" ht="16.5" customHeight="1">
      <c r="A2" s="934" t="s">
        <v>641</v>
      </c>
      <c r="C2" s="982">
        <v>346</v>
      </c>
      <c r="F2" s="983">
        <v>349</v>
      </c>
      <c r="H2" s="916"/>
      <c r="I2" s="914" t="s">
        <v>643</v>
      </c>
      <c r="J2" s="936">
        <f>NSG_Supplies!P8/1000</f>
        <v>12</v>
      </c>
    </row>
    <row r="3" spans="1:22" ht="16.5" customHeight="1">
      <c r="A3" s="984">
        <f>PGL_Supplies!I8/1000</f>
        <v>0</v>
      </c>
      <c r="C3" s="981" t="s">
        <v>9</v>
      </c>
      <c r="G3" s="914"/>
      <c r="H3" s="916"/>
    </row>
    <row r="4" spans="1:22" ht="16.5" customHeight="1">
      <c r="A4" s="924" t="s">
        <v>615</v>
      </c>
      <c r="G4" s="942"/>
      <c r="H4" s="916"/>
      <c r="I4" s="914"/>
      <c r="J4" s="914" t="s">
        <v>639</v>
      </c>
      <c r="K4" s="936">
        <f>Billy_Sheet!C5</f>
        <v>0</v>
      </c>
      <c r="N4" s="936"/>
    </row>
    <row r="5" spans="1:22" ht="16.5" customHeight="1">
      <c r="A5" s="985">
        <f>PGL_Supplies!J7/1000</f>
        <v>0</v>
      </c>
      <c r="B5" s="986"/>
      <c r="G5" s="917"/>
      <c r="H5" s="936"/>
      <c r="U5" s="916"/>
      <c r="V5" s="916"/>
    </row>
    <row r="6" spans="1:22" ht="16.5" customHeight="1">
      <c r="A6" s="923" t="s">
        <v>611</v>
      </c>
      <c r="G6" s="917"/>
      <c r="H6" s="936"/>
      <c r="U6" s="916"/>
      <c r="V6" s="936"/>
    </row>
    <row r="7" spans="1:22" ht="18.75" customHeight="1">
      <c r="A7" s="936">
        <f>Billy_Sheet!G14</f>
        <v>0</v>
      </c>
      <c r="G7" s="917"/>
      <c r="H7" s="915"/>
      <c r="U7" s="916"/>
      <c r="V7" s="915"/>
    </row>
    <row r="8" spans="1:22" ht="14.4" customHeight="1">
      <c r="A8" s="914" t="s">
        <v>72</v>
      </c>
      <c r="G8" s="917"/>
      <c r="H8" s="914" t="s">
        <v>164</v>
      </c>
      <c r="I8" s="914"/>
      <c r="K8" s="914"/>
      <c r="L8" s="914"/>
      <c r="N8" s="914"/>
      <c r="O8" s="914"/>
      <c r="U8" s="916"/>
      <c r="V8" s="936"/>
    </row>
    <row r="9" spans="1:22" ht="14.4" customHeight="1">
      <c r="A9" s="936">
        <f>PGL_Supplies!H8/1000</f>
        <v>15</v>
      </c>
      <c r="H9" s="936">
        <f>NSG_Supplies!Q8/1000+NSG_Supplies!F8/1000-NSG_Requirements!H8/1000</f>
        <v>34</v>
      </c>
      <c r="I9" s="987"/>
      <c r="K9" s="914" t="s">
        <v>645</v>
      </c>
      <c r="L9" s="936">
        <f>NSG_Deliveries!C6/1000</f>
        <v>34</v>
      </c>
      <c r="N9" s="914"/>
      <c r="O9" s="936"/>
      <c r="U9" s="916"/>
      <c r="V9" s="936"/>
    </row>
    <row r="10" spans="1:22" ht="18" customHeight="1">
      <c r="A10" s="914" t="s">
        <v>66</v>
      </c>
      <c r="H10" s="943" t="s">
        <v>644</v>
      </c>
      <c r="U10" s="916"/>
      <c r="V10" s="936"/>
    </row>
    <row r="11" spans="1:22" ht="14.4" customHeight="1">
      <c r="A11" s="936">
        <f>Billy_Sheet!C17</f>
        <v>0</v>
      </c>
      <c r="B11" s="987"/>
      <c r="H11" s="936">
        <f>NSG_Supplies!T8/1000</f>
        <v>0</v>
      </c>
      <c r="K11" s="917" t="s">
        <v>646</v>
      </c>
      <c r="L11" s="942">
        <f>SUM(K4+K17+K19+H11+H9-L9)</f>
        <v>0</v>
      </c>
      <c r="N11" s="917"/>
      <c r="O11" s="942"/>
      <c r="U11" s="916"/>
      <c r="V11" s="930"/>
    </row>
    <row r="12" spans="1:22" ht="14.4" customHeight="1">
      <c r="A12" s="914" t="s">
        <v>697</v>
      </c>
      <c r="H12" s="936"/>
      <c r="U12" s="916"/>
      <c r="V12" s="936"/>
    </row>
    <row r="13" spans="1:22" ht="14.4" customHeight="1">
      <c r="A13" s="985">
        <f>PGL_Supplies!X8/1000</f>
        <v>101.19</v>
      </c>
      <c r="H13" s="936"/>
      <c r="U13" s="916"/>
      <c r="V13" s="936"/>
    </row>
    <row r="14" spans="1:22" ht="14.4" customHeight="1">
      <c r="H14" s="936"/>
      <c r="U14" s="916"/>
      <c r="V14" s="936"/>
    </row>
    <row r="15" spans="1:22" ht="15.6" customHeight="1">
      <c r="B15" s="981" t="s">
        <v>9</v>
      </c>
      <c r="C15" s="988">
        <v>350</v>
      </c>
      <c r="F15" s="988">
        <v>350</v>
      </c>
      <c r="H15" s="942"/>
      <c r="U15" s="926"/>
      <c r="V15" s="942"/>
    </row>
    <row r="16" spans="1:22" ht="42.75" customHeight="1">
      <c r="A16" s="927"/>
      <c r="B16" s="942"/>
      <c r="C16" s="989"/>
      <c r="D16" s="990"/>
      <c r="E16" s="990"/>
      <c r="F16" s="989"/>
    </row>
    <row r="17" spans="1:17" ht="38.25" customHeight="1">
      <c r="B17" s="990"/>
      <c r="C17" s="990"/>
      <c r="D17" s="991"/>
      <c r="E17" s="990"/>
      <c r="F17" s="990"/>
      <c r="G17" s="990"/>
      <c r="J17" s="914" t="s">
        <v>311</v>
      </c>
      <c r="K17" s="936">
        <f>NSG_Supplies!K8/1000</f>
        <v>0</v>
      </c>
      <c r="N17" s="936"/>
    </row>
    <row r="18" spans="1:17" ht="15" customHeight="1">
      <c r="A18" s="922"/>
      <c r="C18" s="988">
        <v>451</v>
      </c>
      <c r="D18" s="990"/>
      <c r="E18" s="990"/>
      <c r="F18" s="983">
        <v>793</v>
      </c>
    </row>
    <row r="19" spans="1:17">
      <c r="A19" s="923" t="s">
        <v>612</v>
      </c>
      <c r="C19" s="981" t="s">
        <v>9</v>
      </c>
      <c r="J19" s="914" t="s">
        <v>640</v>
      </c>
      <c r="K19" s="936"/>
      <c r="N19" s="993"/>
    </row>
    <row r="20" spans="1:17" ht="17.25" customHeight="1">
      <c r="A20" s="936">
        <f>Billy_Sheet!G15</f>
        <v>32.049000000000007</v>
      </c>
      <c r="G20" s="428"/>
      <c r="J20" s="914"/>
    </row>
    <row r="21" spans="1:17" ht="11.25" customHeight="1">
      <c r="G21" s="915"/>
      <c r="H21" s="915"/>
      <c r="I21" s="917"/>
      <c r="J21" s="942"/>
    </row>
    <row r="22" spans="1:17">
      <c r="A22" s="916" t="s">
        <v>167</v>
      </c>
      <c r="G22" s="914"/>
      <c r="I22" s="917"/>
      <c r="J22" s="914"/>
      <c r="M22" s="917"/>
      <c r="N22" s="942"/>
    </row>
    <row r="23" spans="1:17">
      <c r="A23" s="936">
        <f>Billy_Sheet!C25</f>
        <v>0</v>
      </c>
      <c r="G23" s="914" t="s">
        <v>709</v>
      </c>
      <c r="H23" s="916"/>
      <c r="I23" s="917"/>
      <c r="J23" s="942"/>
      <c r="M23" s="914"/>
      <c r="N23" s="942"/>
      <c r="Q23" s="994"/>
    </row>
    <row r="24" spans="1:17" ht="9" customHeight="1">
      <c r="G24" s="936">
        <f>PGL_Requirements!J7/1000</f>
        <v>103.696</v>
      </c>
      <c r="H24" s="917"/>
      <c r="I24" s="917"/>
      <c r="J24" s="917"/>
    </row>
    <row r="25" spans="1:17" ht="10.5" customHeight="1">
      <c r="A25" s="916" t="s">
        <v>169</v>
      </c>
      <c r="B25" s="916"/>
      <c r="C25" s="916"/>
      <c r="D25" s="916"/>
      <c r="F25" s="916"/>
      <c r="G25" s="914" t="s">
        <v>648</v>
      </c>
      <c r="H25" s="917"/>
      <c r="I25" s="917"/>
      <c r="J25" s="917"/>
    </row>
    <row r="26" spans="1:17" ht="14.25" customHeight="1">
      <c r="A26" s="936">
        <f>Billy_Sheet!G25</f>
        <v>0</v>
      </c>
      <c r="B26" s="916"/>
      <c r="C26" s="917"/>
      <c r="D26" s="917"/>
      <c r="F26" s="917"/>
      <c r="G26" s="992">
        <v>0</v>
      </c>
      <c r="H26" s="917"/>
      <c r="I26" s="917"/>
      <c r="J26" s="917" t="s">
        <v>542</v>
      </c>
      <c r="K26" s="995">
        <f>PGL_Deliveries!C6/1000</f>
        <v>195</v>
      </c>
      <c r="L26" s="914" t="s">
        <v>645</v>
      </c>
      <c r="M26" s="936">
        <f>NSG_Deliveries!C6/1000</f>
        <v>34</v>
      </c>
      <c r="N26" s="936"/>
    </row>
    <row r="27" spans="1:17" ht="8.25" customHeight="1">
      <c r="A27" s="917"/>
      <c r="B27" s="938"/>
      <c r="C27" s="917"/>
      <c r="D27" s="917"/>
      <c r="F27" s="917"/>
      <c r="G27" s="917"/>
      <c r="H27" s="918"/>
      <c r="I27" s="917"/>
      <c r="J27" s="918"/>
    </row>
    <row r="28" spans="1:17" ht="12.75" customHeight="1">
      <c r="A28" s="925" t="s">
        <v>616</v>
      </c>
      <c r="B28" s="936"/>
      <c r="C28" s="916"/>
      <c r="D28" s="917"/>
      <c r="F28" s="914"/>
      <c r="G28" s="926" t="s">
        <v>621</v>
      </c>
      <c r="H28" s="428"/>
      <c r="J28" s="917" t="s">
        <v>647</v>
      </c>
      <c r="K28" s="942">
        <f>SUM(A42)</f>
        <v>-97.216999999999985</v>
      </c>
      <c r="L28" s="917" t="s">
        <v>689</v>
      </c>
      <c r="M28" s="942">
        <f>SUM(J2+K17+K19+H11+H9-M26)</f>
        <v>12</v>
      </c>
      <c r="N28" s="942"/>
    </row>
    <row r="29" spans="1:17">
      <c r="A29" s="936">
        <f>PGL_Supplies!L8/1000</f>
        <v>0</v>
      </c>
      <c r="B29" s="936"/>
      <c r="C29" s="917"/>
      <c r="D29" s="996"/>
      <c r="F29" s="1041">
        <f>PGL_Requirements!A7</f>
        <v>37095</v>
      </c>
      <c r="G29" s="936">
        <f>PGL_Requirements!G7/1000</f>
        <v>125.288</v>
      </c>
      <c r="H29" s="915"/>
      <c r="J29" s="917" t="s">
        <v>649</v>
      </c>
      <c r="K29" s="936">
        <f>PGL_Supplies!AB8/1000+PGL_Supplies!K8/1000-PGL_Requirements!N8/1000</f>
        <v>94.501000000000005</v>
      </c>
    </row>
    <row r="30" spans="1:17" ht="10.5" customHeight="1">
      <c r="A30" s="919"/>
      <c r="B30" s="936"/>
      <c r="C30" s="917"/>
      <c r="D30" s="936"/>
      <c r="F30" s="1041">
        <f>PGL_Requirements!A8</f>
        <v>37096</v>
      </c>
      <c r="G30" s="936">
        <f>PGL_Requirements!G8/1000</f>
        <v>156.45599999999999</v>
      </c>
    </row>
    <row r="31" spans="1:17" ht="17.25" customHeight="1">
      <c r="A31" s="925" t="s">
        <v>618</v>
      </c>
      <c r="B31" s="997"/>
      <c r="C31" s="920"/>
      <c r="D31" s="942"/>
      <c r="G31" s="926" t="s">
        <v>619</v>
      </c>
      <c r="H31" s="942"/>
      <c r="J31" s="917" t="s">
        <v>646</v>
      </c>
      <c r="K31" s="942">
        <f>SUM(K28+K29-K26)</f>
        <v>-197.71599999999998</v>
      </c>
    </row>
    <row r="32" spans="1:17">
      <c r="A32" s="936">
        <f>PGL_Supplies!G8/1000</f>
        <v>1</v>
      </c>
      <c r="G32" s="936">
        <f>PGL_Requirements!O8/1000</f>
        <v>90</v>
      </c>
    </row>
    <row r="33" spans="1:11" ht="6.75" customHeight="1"/>
    <row r="34" spans="1:11">
      <c r="A34" s="914" t="s">
        <v>617</v>
      </c>
      <c r="G34" s="917" t="s">
        <v>620</v>
      </c>
    </row>
    <row r="35" spans="1:11">
      <c r="A35" s="992">
        <v>0</v>
      </c>
      <c r="G35" s="936">
        <f>PGL_Requirements!B8/1000</f>
        <v>0</v>
      </c>
    </row>
    <row r="36" spans="1:11">
      <c r="G36" s="936"/>
    </row>
    <row r="37" spans="1:11">
      <c r="C37" s="914" t="s">
        <v>623</v>
      </c>
      <c r="F37" s="914" t="s">
        <v>624</v>
      </c>
      <c r="G37" s="936"/>
    </row>
    <row r="38" spans="1:11">
      <c r="C38" s="988">
        <v>451</v>
      </c>
      <c r="F38" s="988">
        <v>754</v>
      </c>
    </row>
    <row r="39" spans="1:11">
      <c r="A39" s="934" t="s">
        <v>688</v>
      </c>
      <c r="E39" s="916" t="s">
        <v>622</v>
      </c>
      <c r="F39" s="916"/>
    </row>
    <row r="40" spans="1:11">
      <c r="A40" s="942">
        <f>SUM(A3:A35)</f>
        <v>149.239</v>
      </c>
      <c r="B40" s="930"/>
      <c r="C40" s="929"/>
      <c r="D40" s="930"/>
      <c r="E40" s="930"/>
      <c r="F40" s="998"/>
      <c r="G40" s="998">
        <f>SUM(G30:G35)</f>
        <v>246.45599999999999</v>
      </c>
      <c r="H40" s="932"/>
      <c r="I40" s="931"/>
    </row>
    <row r="41" spans="1:11">
      <c r="A41" s="933" t="s">
        <v>638</v>
      </c>
      <c r="B41" s="936"/>
      <c r="C41" s="930"/>
      <c r="D41" s="930"/>
      <c r="E41" s="930"/>
      <c r="F41" s="930"/>
      <c r="G41" s="930"/>
      <c r="H41" s="930"/>
      <c r="I41" s="929"/>
    </row>
    <row r="42" spans="1:11">
      <c r="A42" s="936">
        <f>SUM(A40-G40)</f>
        <v>-97.216999999999985</v>
      </c>
      <c r="B42" s="936"/>
      <c r="C42" s="930"/>
      <c r="D42" s="930"/>
      <c r="E42" s="930"/>
      <c r="F42" s="939"/>
      <c r="G42" s="941" t="s">
        <v>642</v>
      </c>
      <c r="H42" s="999"/>
      <c r="I42" s="1000"/>
      <c r="J42" s="999"/>
      <c r="K42" s="990"/>
    </row>
    <row r="43" spans="1:11" ht="14.25" customHeight="1">
      <c r="A43" s="936"/>
      <c r="B43" s="936"/>
      <c r="C43" s="936"/>
      <c r="D43" s="936"/>
      <c r="E43" s="939"/>
      <c r="F43" s="938" t="s">
        <v>637</v>
      </c>
      <c r="G43" s="939" t="s">
        <v>636</v>
      </c>
      <c r="I43" s="936"/>
    </row>
    <row r="44" spans="1:11" ht="12.75" customHeight="1">
      <c r="A44" s="933" t="s">
        <v>625</v>
      </c>
      <c r="B44" s="936" t="s">
        <v>630</v>
      </c>
      <c r="C44" s="936" t="s">
        <v>631</v>
      </c>
      <c r="D44" s="936" t="s">
        <v>632</v>
      </c>
      <c r="E44" s="937"/>
      <c r="F44" s="937" t="s">
        <v>633</v>
      </c>
      <c r="G44" s="930" t="s">
        <v>635</v>
      </c>
      <c r="H44" s="916" t="s">
        <v>634</v>
      </c>
      <c r="I44" s="936"/>
      <c r="K44" s="916"/>
    </row>
    <row r="45" spans="1:11">
      <c r="A45" s="933" t="s">
        <v>629</v>
      </c>
      <c r="B45" s="1001">
        <v>275</v>
      </c>
      <c r="C45" s="1001">
        <v>450</v>
      </c>
      <c r="D45" s="1002">
        <f>SUM(F2+F15)/2</f>
        <v>349.5</v>
      </c>
      <c r="E45" s="1003"/>
      <c r="F45" s="1004">
        <v>6.7000000000000004E-2</v>
      </c>
      <c r="G45" s="1005">
        <f>(C45-D45)*F45</f>
        <v>6.7335000000000003</v>
      </c>
      <c r="H45" s="1005">
        <f>(D45-B45)*F45</f>
        <v>4.9915000000000003</v>
      </c>
      <c r="I45" s="936"/>
      <c r="J45" s="1006"/>
    </row>
    <row r="46" spans="1:11">
      <c r="A46" s="916" t="s">
        <v>626</v>
      </c>
      <c r="B46" s="1007">
        <v>797</v>
      </c>
      <c r="C46" s="1001">
        <v>797</v>
      </c>
      <c r="D46" s="1002">
        <v>797</v>
      </c>
      <c r="E46" s="1003"/>
      <c r="F46" s="1004">
        <v>0.13900000000000001</v>
      </c>
      <c r="G46" s="1005">
        <f>(C46-D46)*F46</f>
        <v>0</v>
      </c>
      <c r="H46" s="1005">
        <f>(D46-B46)*F46</f>
        <v>0</v>
      </c>
      <c r="I46" s="936"/>
    </row>
    <row r="47" spans="1:11">
      <c r="A47" s="916" t="s">
        <v>627</v>
      </c>
      <c r="B47" s="1007">
        <v>275</v>
      </c>
      <c r="C47" s="1001">
        <v>450</v>
      </c>
      <c r="D47" s="1002">
        <f>SUM(C2+C15)/2</f>
        <v>348</v>
      </c>
      <c r="E47" s="1003"/>
      <c r="F47" s="1004">
        <v>0.14099999999999999</v>
      </c>
      <c r="G47" s="1005">
        <f>(C47-D47)*F47</f>
        <v>14.381999999999998</v>
      </c>
      <c r="H47" s="1005">
        <f>(D47-B47)*F47</f>
        <v>10.292999999999999</v>
      </c>
      <c r="I47" s="936"/>
    </row>
    <row r="48" spans="1:11">
      <c r="A48" s="916" t="s">
        <v>628</v>
      </c>
      <c r="B48" s="1007">
        <v>285</v>
      </c>
      <c r="C48" s="1001">
        <v>750</v>
      </c>
      <c r="D48" s="1002">
        <f>SUM(C18+C38)/2</f>
        <v>451</v>
      </c>
      <c r="E48" s="1003"/>
      <c r="F48" s="1004">
        <v>0.161</v>
      </c>
      <c r="G48" s="1005">
        <f>(C48-D48)*F48</f>
        <v>48.139000000000003</v>
      </c>
      <c r="H48" s="1005">
        <f>(D48-B48)*F48</f>
        <v>26.725999999999999</v>
      </c>
    </row>
    <row r="49" spans="1:8">
      <c r="B49" s="987"/>
      <c r="C49" s="987"/>
      <c r="D49" s="987"/>
      <c r="E49" s="987"/>
      <c r="F49" s="940" t="s">
        <v>339</v>
      </c>
      <c r="G49" s="1005">
        <f>SUM(G45:G48)</f>
        <v>69.254500000000007</v>
      </c>
      <c r="H49" s="1005">
        <f>SUM(H45:H48)</f>
        <v>42.0105</v>
      </c>
    </row>
    <row r="55" spans="1:8">
      <c r="A55" s="1008"/>
      <c r="G55" s="1008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>
      <selection sqref="A1:F54"/>
    </sheetView>
  </sheetViews>
  <sheetFormatPr defaultColWidth="8.90625" defaultRowHeight="13.2" outlineLevelRow="2"/>
  <cols>
    <col min="1" max="1" width="22.08984375" style="1" customWidth="1"/>
    <col min="2" max="2" width="9.54296875" style="1" customWidth="1"/>
    <col min="3" max="3" width="8.1796875" style="1" customWidth="1"/>
    <col min="4" max="4" width="20.90625" style="1" customWidth="1"/>
    <col min="5" max="5" width="10.81640625" style="1" customWidth="1"/>
    <col min="6" max="6" width="8.36328125" style="1" customWidth="1"/>
    <col min="7" max="7" width="22.453125" style="1" customWidth="1"/>
    <col min="8" max="8" width="21.08984375" style="1" customWidth="1"/>
    <col min="9" max="10" width="8.90625" style="1"/>
    <col min="11" max="11" width="23.08984375" style="1" customWidth="1"/>
    <col min="12" max="16384" width="8.90625" style="1"/>
  </cols>
  <sheetData>
    <row r="1" spans="1:13" ht="15">
      <c r="A1"/>
      <c r="B1"/>
      <c r="D1"/>
      <c r="E1" t="s">
        <v>9</v>
      </c>
      <c r="H1"/>
      <c r="I1"/>
      <c r="J1"/>
      <c r="K1"/>
      <c r="L1"/>
      <c r="M1"/>
    </row>
    <row r="2" spans="1:13" ht="16.2" thickBot="1">
      <c r="A2" s="121" t="s">
        <v>542</v>
      </c>
      <c r="B2" s="183">
        <f>PGL_Deliveries!U5/1000</f>
        <v>193.52799999999999</v>
      </c>
      <c r="C2" s="60"/>
      <c r="D2" s="118" t="s">
        <v>310</v>
      </c>
      <c r="E2" s="421">
        <f>Weather_Input!A5</f>
        <v>37095</v>
      </c>
      <c r="F2" s="60"/>
      <c r="H2"/>
      <c r="I2"/>
      <c r="J2"/>
      <c r="K2"/>
      <c r="L2"/>
      <c r="M2"/>
    </row>
    <row r="3" spans="1:13" ht="15">
      <c r="A3" s="97" t="s">
        <v>543</v>
      </c>
      <c r="B3" s="627">
        <f>PGL_Supplies!I7/1000</f>
        <v>0</v>
      </c>
      <c r="C3" s="182"/>
      <c r="D3" s="1054" t="s">
        <v>717</v>
      </c>
      <c r="E3" s="794">
        <f>PGL_Deliveries!T5/1000</f>
        <v>0</v>
      </c>
      <c r="F3" s="181"/>
      <c r="H3"/>
      <c r="I3"/>
      <c r="J3"/>
      <c r="K3"/>
      <c r="L3"/>
      <c r="M3"/>
    </row>
    <row r="4" spans="1:13" ht="15.6" thickBot="1">
      <c r="A4" s="100"/>
      <c r="B4" s="160"/>
      <c r="C4" s="157"/>
      <c r="D4" s="777"/>
      <c r="E4" s="165"/>
      <c r="F4" s="164"/>
      <c r="H4"/>
      <c r="I4"/>
      <c r="J4"/>
      <c r="K4"/>
      <c r="L4"/>
      <c r="M4"/>
    </row>
    <row r="5" spans="1:13" ht="15">
      <c r="A5" s="180" t="s">
        <v>546</v>
      </c>
      <c r="B5" s="151">
        <f>PGL_Deliveries!D5/1000</f>
        <v>0</v>
      </c>
      <c r="C5" s="63"/>
      <c r="D5" s="59" t="s">
        <v>544</v>
      </c>
      <c r="E5" s="151">
        <f>PGL_Deliveries!O5/1000</f>
        <v>1E-3</v>
      </c>
      <c r="F5" s="168"/>
      <c r="H5"/>
      <c r="I5"/>
      <c r="J5"/>
      <c r="K5"/>
      <c r="L5"/>
      <c r="M5"/>
    </row>
    <row r="6" spans="1:13" ht="15.6" thickBot="1">
      <c r="A6" s="179" t="s">
        <v>240</v>
      </c>
      <c r="B6" s="151">
        <f>PGL_Deliveries!I5/1000</f>
        <v>173.523</v>
      </c>
      <c r="C6" s="166"/>
      <c r="D6" s="59" t="s">
        <v>545</v>
      </c>
      <c r="E6" s="151">
        <f>PGL_Deliveries!P5/1000</f>
        <v>0.73899999999999999</v>
      </c>
      <c r="F6" s="168"/>
      <c r="H6"/>
      <c r="I6"/>
      <c r="J6"/>
      <c r="K6"/>
      <c r="L6"/>
      <c r="M6"/>
    </row>
    <row r="7" spans="1:13" ht="16.2" thickBot="1">
      <c r="A7" s="178" t="s">
        <v>548</v>
      </c>
      <c r="B7" s="224">
        <f>SUM(B5:B6)</f>
        <v>173.523</v>
      </c>
      <c r="C7" s="166"/>
      <c r="D7" s="115" t="s">
        <v>194</v>
      </c>
      <c r="E7" s="151">
        <f>PGL_Deliveries!E5/1000</f>
        <v>0</v>
      </c>
      <c r="F7" s="168"/>
      <c r="H7"/>
      <c r="I7"/>
      <c r="J7"/>
      <c r="K7"/>
      <c r="L7"/>
      <c r="M7"/>
    </row>
    <row r="8" spans="1:13" ht="15">
      <c r="A8" s="439" t="s">
        <v>697</v>
      </c>
      <c r="B8" s="151">
        <f>PGL_Deliveries!V5/1000</f>
        <v>108.52200000000001</v>
      </c>
      <c r="C8" s="626"/>
      <c r="D8" s="115" t="s">
        <v>547</v>
      </c>
      <c r="E8" s="151">
        <f>PGL_Deliveries!N5/1000</f>
        <v>4.0620000000000003</v>
      </c>
      <c r="F8" s="168"/>
      <c r="H8"/>
      <c r="I8"/>
      <c r="J8"/>
      <c r="K8"/>
      <c r="L8"/>
      <c r="M8"/>
    </row>
    <row r="9" spans="1:13" ht="15">
      <c r="A9" s="169" t="s">
        <v>66</v>
      </c>
      <c r="B9" s="151">
        <f>PGL_Deliveries!W5/1000</f>
        <v>0</v>
      </c>
      <c r="C9" s="63"/>
      <c r="D9" s="115" t="s">
        <v>197</v>
      </c>
      <c r="E9" s="151">
        <f>PGL_Deliveries!Q5/1000</f>
        <v>8.4000000000000005E-2</v>
      </c>
      <c r="F9" s="168"/>
      <c r="H9"/>
      <c r="I9"/>
      <c r="J9"/>
      <c r="K9"/>
      <c r="L9"/>
      <c r="M9"/>
    </row>
    <row r="10" spans="1:13" ht="15">
      <c r="A10" s="169" t="s">
        <v>167</v>
      </c>
      <c r="B10" s="151">
        <f>PGL_Deliveries!X5/1000</f>
        <v>0</v>
      </c>
      <c r="C10" s="63"/>
      <c r="D10" s="115" t="s">
        <v>199</v>
      </c>
      <c r="E10" s="151">
        <f>PGL_Deliveries!S5/1000</f>
        <v>4.0880000000000001</v>
      </c>
      <c r="F10" s="168"/>
      <c r="H10"/>
      <c r="I10"/>
      <c r="J10"/>
      <c r="K10"/>
      <c r="L10"/>
      <c r="M10"/>
    </row>
    <row r="11" spans="1:13" ht="15">
      <c r="A11" s="170" t="s">
        <v>72</v>
      </c>
      <c r="B11" s="151">
        <f>(PGL_Deliveries!AJ5+PGL_Deliveries!AK5)/1000</f>
        <v>27.905999999999999</v>
      </c>
      <c r="C11" s="63"/>
      <c r="D11" s="115" t="s">
        <v>549</v>
      </c>
      <c r="E11" s="151">
        <f>PGL_Deliveries!R5/1000</f>
        <v>1.2250000000000001</v>
      </c>
      <c r="F11" s="168"/>
      <c r="H11"/>
      <c r="I11"/>
      <c r="J11"/>
      <c r="K11"/>
      <c r="L11"/>
      <c r="M11"/>
    </row>
    <row r="12" spans="1:13" ht="15">
      <c r="A12" s="169" t="s">
        <v>550</v>
      </c>
      <c r="B12" s="151">
        <f>PGL_Supplies!J7/1000</f>
        <v>0</v>
      </c>
      <c r="C12" s="63"/>
      <c r="D12" s="115" t="s">
        <v>203</v>
      </c>
      <c r="E12" s="151">
        <f>PGL_Deliveries!G5/1000</f>
        <v>0</v>
      </c>
      <c r="F12" s="168"/>
      <c r="H12"/>
      <c r="I12"/>
      <c r="J12"/>
      <c r="K12"/>
      <c r="L12"/>
      <c r="M12"/>
    </row>
    <row r="13" spans="1:13" ht="15">
      <c r="A13" s="169" t="s">
        <v>551</v>
      </c>
      <c r="B13" s="151">
        <f>PGL_Deliveries!Y5/1000+PGL_Deliveries!Z5/1000+PGL_Deliveries!AA5/1000-PGL_Deliveries!BE5/1000-PGL_Deliveries!BF5/1000</f>
        <v>30.40100000000001</v>
      </c>
      <c r="C13" s="63"/>
      <c r="D13" s="115" t="s">
        <v>205</v>
      </c>
      <c r="E13" s="151">
        <f>PGL_Deliveries!F5/1000</f>
        <v>8.3320000000000007</v>
      </c>
      <c r="F13" s="168"/>
      <c r="H13"/>
      <c r="I13"/>
      <c r="J13"/>
      <c r="K13"/>
      <c r="L13"/>
      <c r="M13"/>
    </row>
    <row r="14" spans="1:13" ht="15">
      <c r="A14" s="169" t="s">
        <v>169</v>
      </c>
      <c r="B14" s="151">
        <f>PGL_Deliveries!AD5/1000</f>
        <v>0</v>
      </c>
      <c r="C14" s="63"/>
      <c r="D14" s="115" t="s">
        <v>206</v>
      </c>
      <c r="E14" s="151">
        <f>PGL_Deliveries!H5/1000</f>
        <v>1.6E-2</v>
      </c>
      <c r="F14" s="168"/>
      <c r="G14" s="151"/>
      <c r="H14"/>
      <c r="I14"/>
      <c r="J14"/>
      <c r="K14"/>
      <c r="L14"/>
      <c r="M14"/>
    </row>
    <row r="15" spans="1:13" ht="15">
      <c r="A15" s="169" t="s">
        <v>170</v>
      </c>
      <c r="B15" s="151">
        <f>PGL_Deliveries!AH5/1000+PGL_Deliveries!AX5/1000+PGL_Deliveries!AT5/1000-PGL_Deliveries!AS5/1000-PGL_Deliveries!AU5/1000+PGL_Deliveries!AE5/1000+PGL_Deliveries!AF5/1000-PGL_Deliveries!AV5/1000</f>
        <v>-34.665999999999997</v>
      </c>
      <c r="C15" s="63"/>
      <c r="D15" s="59" t="s">
        <v>380</v>
      </c>
      <c r="E15" s="151">
        <f>PGL_Deliveries!K5/1000</f>
        <v>0</v>
      </c>
      <c r="F15" s="168"/>
      <c r="H15"/>
      <c r="I15"/>
      <c r="J15"/>
      <c r="K15"/>
      <c r="L15"/>
      <c r="M15"/>
    </row>
    <row r="16" spans="1:13" ht="15">
      <c r="A16" s="169" t="s">
        <v>552</v>
      </c>
      <c r="B16" s="60"/>
      <c r="C16" s="222">
        <f>PGL_Deliveries!AO5/1000</f>
        <v>0</v>
      </c>
      <c r="D16" s="115" t="s">
        <v>209</v>
      </c>
      <c r="E16" s="151">
        <f>PGL_Deliveries!L5/1000</f>
        <v>0</v>
      </c>
      <c r="F16" s="168"/>
      <c r="H16"/>
      <c r="I16"/>
      <c r="J16"/>
      <c r="K16"/>
      <c r="L16"/>
      <c r="M16"/>
    </row>
    <row r="17" spans="1:13" ht="15.6" thickBot="1">
      <c r="A17" s="167" t="s">
        <v>172</v>
      </c>
      <c r="B17" s="151">
        <f>PGL_Deliveries!AP5/1000</f>
        <v>41.36</v>
      </c>
      <c r="C17" s="166" t="s">
        <v>9</v>
      </c>
      <c r="D17" s="1086" t="s">
        <v>208</v>
      </c>
      <c r="E17" s="207">
        <f>PGL_Deliveries!M5/1000</f>
        <v>1.458</v>
      </c>
      <c r="F17" s="164"/>
      <c r="H17"/>
      <c r="I17"/>
      <c r="J17"/>
      <c r="K17"/>
      <c r="L17"/>
      <c r="M17"/>
    </row>
    <row r="18" spans="1:13" ht="16.2" thickBot="1">
      <c r="A18" s="177" t="s">
        <v>553</v>
      </c>
      <c r="B18" s="888">
        <f>SUM(B8:B17)-C16</f>
        <v>173.52300000000002</v>
      </c>
      <c r="C18" s="166"/>
      <c r="D18" s="176" t="s">
        <v>554</v>
      </c>
      <c r="E18" s="175">
        <f>SUM(E5:E17)</f>
        <v>20.004999999999995</v>
      </c>
      <c r="F18" s="164"/>
      <c r="H18"/>
      <c r="I18"/>
      <c r="J18"/>
      <c r="K18"/>
      <c r="L18"/>
      <c r="M18"/>
    </row>
    <row r="19" spans="1:13" ht="15">
      <c r="A19" s="439" t="s">
        <v>700</v>
      </c>
      <c r="B19" s="151">
        <f>PGL_Supplies!X7/1000</f>
        <v>108.172</v>
      </c>
      <c r="C19" s="626"/>
      <c r="D19" s="115" t="s">
        <v>305</v>
      </c>
      <c r="E19" s="151">
        <f>PGL_Deliveries!AI5/1000</f>
        <v>0</v>
      </c>
      <c r="F19" s="168"/>
      <c r="H19"/>
      <c r="I19"/>
      <c r="J19"/>
      <c r="K19"/>
      <c r="L19"/>
      <c r="M19"/>
    </row>
    <row r="20" spans="1:13" ht="15">
      <c r="A20" s="169" t="s">
        <v>698</v>
      </c>
      <c r="B20" s="151">
        <f>PGL_Supplies!W7/1000</f>
        <v>0</v>
      </c>
      <c r="C20" s="63"/>
      <c r="D20" s="115" t="s">
        <v>175</v>
      </c>
      <c r="E20" s="151">
        <f>PGL_Deliveries!AW5/1000+B41</f>
        <v>12.8522</v>
      </c>
      <c r="F20" s="168"/>
      <c r="H20"/>
      <c r="I20"/>
      <c r="J20"/>
      <c r="K20"/>
      <c r="L20"/>
      <c r="M20"/>
    </row>
    <row r="21" spans="1:13" ht="16.2" thickBot="1">
      <c r="A21" s="169" t="s">
        <v>701</v>
      </c>
      <c r="C21" s="173">
        <f>PGL_Requirements!I7/1000</f>
        <v>0</v>
      </c>
      <c r="D21" s="625" t="s">
        <v>555</v>
      </c>
      <c r="E21" s="208">
        <f>SUM(E18:E20)</f>
        <v>32.857199999999992</v>
      </c>
      <c r="F21" s="174"/>
      <c r="H21"/>
      <c r="I21"/>
      <c r="J21"/>
      <c r="K21"/>
      <c r="L21"/>
      <c r="M21"/>
    </row>
    <row r="22" spans="1:13" ht="15">
      <c r="A22" s="172" t="s">
        <v>339</v>
      </c>
      <c r="B22" s="1059">
        <f>+B19+B20-C21</f>
        <v>108.172</v>
      </c>
      <c r="C22" s="1053"/>
      <c r="D22" s="246" t="s">
        <v>556</v>
      </c>
      <c r="E22" s="151">
        <f>NSG_Requirements!$L$7/1000</f>
        <v>0</v>
      </c>
      <c r="F22" s="168"/>
      <c r="H22"/>
      <c r="I22"/>
      <c r="J22"/>
      <c r="K22"/>
      <c r="L22"/>
      <c r="M22"/>
    </row>
    <row r="23" spans="1:13" ht="15">
      <c r="A23" s="169" t="s">
        <v>213</v>
      </c>
      <c r="B23" s="151">
        <f>PGL_Supplies!Y7/1000</f>
        <v>0.2</v>
      </c>
      <c r="C23" s="63"/>
      <c r="D23" s="246" t="s">
        <v>557</v>
      </c>
      <c r="E23" s="60"/>
      <c r="F23" s="173">
        <f>NSG_Supplies!G7/1000</f>
        <v>0</v>
      </c>
      <c r="H23"/>
      <c r="I23"/>
      <c r="J23"/>
      <c r="K23"/>
      <c r="L23"/>
      <c r="M23"/>
    </row>
    <row r="24" spans="1:13" ht="15">
      <c r="A24" s="170" t="s">
        <v>711</v>
      </c>
      <c r="B24" s="628"/>
      <c r="C24" s="222">
        <f>PGL_Requirements!T7/1000</f>
        <v>0.2</v>
      </c>
      <c r="D24" s="60" t="s">
        <v>558</v>
      </c>
      <c r="E24" s="60"/>
      <c r="F24" s="173">
        <v>0</v>
      </c>
      <c r="H24"/>
      <c r="I24"/>
      <c r="J24"/>
      <c r="K24"/>
      <c r="L24"/>
      <c r="M24"/>
    </row>
    <row r="25" spans="1:13" ht="15">
      <c r="A25" s="170" t="s">
        <v>710</v>
      </c>
      <c r="B25" s="151">
        <f>PGL_Supplies!Q7/1000</f>
        <v>0</v>
      </c>
      <c r="C25" s="63"/>
      <c r="D25" s="246" t="s">
        <v>560</v>
      </c>
      <c r="E25" s="60"/>
      <c r="F25" s="173">
        <f>PGL_Requirements!R7/1000</f>
        <v>0</v>
      </c>
      <c r="H25"/>
      <c r="I25"/>
      <c r="J25"/>
      <c r="K25"/>
      <c r="L25"/>
      <c r="M25"/>
    </row>
    <row r="26" spans="1:13" ht="15">
      <c r="A26" s="172" t="s">
        <v>219</v>
      </c>
      <c r="B26" s="67" t="s">
        <v>9</v>
      </c>
      <c r="C26" s="479" t="s">
        <v>9</v>
      </c>
      <c r="D26" s="60" t="s">
        <v>562</v>
      </c>
      <c r="E26" s="60"/>
      <c r="F26" s="173">
        <v>0</v>
      </c>
      <c r="G26"/>
      <c r="H26"/>
      <c r="I26"/>
      <c r="J26"/>
      <c r="K26"/>
      <c r="L26"/>
      <c r="M26"/>
    </row>
    <row r="27" spans="1:13" ht="15">
      <c r="A27" s="169" t="s">
        <v>559</v>
      </c>
      <c r="B27" s="151">
        <f>PGL_Supplies!Z7/1000</f>
        <v>0</v>
      </c>
      <c r="C27" s="63"/>
      <c r="D27" s="246" t="s">
        <v>565</v>
      </c>
      <c r="E27" s="60" t="s">
        <v>9</v>
      </c>
      <c r="F27" s="173">
        <f>PGL_Deliveries!AQ5/1000</f>
        <v>0</v>
      </c>
      <c r="H27"/>
      <c r="I27"/>
      <c r="J27"/>
      <c r="K27"/>
      <c r="L27"/>
      <c r="M27"/>
    </row>
    <row r="28" spans="1:13" ht="15">
      <c r="A28" s="169" t="s">
        <v>561</v>
      </c>
      <c r="B28" s="151">
        <v>0</v>
      </c>
      <c r="C28" s="63"/>
      <c r="D28" s="171" t="s">
        <v>566</v>
      </c>
      <c r="E28" s="151">
        <f>PGL_Deliveries!AR5/1000</f>
        <v>12.505000000000001</v>
      </c>
      <c r="F28" s="168"/>
      <c r="H28"/>
      <c r="I28"/>
      <c r="J28"/>
      <c r="K28"/>
      <c r="L28"/>
      <c r="M28"/>
    </row>
    <row r="29" spans="1:13" ht="15">
      <c r="A29" s="169" t="s">
        <v>563</v>
      </c>
      <c r="B29" s="1017">
        <f>PGL_Supplies!AC7/1000</f>
        <v>4.4989999999999997</v>
      </c>
      <c r="C29" s="63"/>
      <c r="D29" s="246" t="s">
        <v>685</v>
      </c>
      <c r="E29" s="151">
        <f>PGL_Supplies!L7/1000</f>
        <v>0</v>
      </c>
      <c r="F29" s="168"/>
      <c r="H29"/>
      <c r="I29"/>
      <c r="J29"/>
      <c r="K29"/>
      <c r="L29"/>
      <c r="M29"/>
    </row>
    <row r="30" spans="1:13" ht="15">
      <c r="A30" s="169" t="s">
        <v>564</v>
      </c>
      <c r="B30" s="151">
        <f>PGL_Supplies!AD7/1000</f>
        <v>0</v>
      </c>
      <c r="C30" s="63"/>
      <c r="D30" s="60" t="s">
        <v>183</v>
      </c>
      <c r="E30" s="151">
        <f>PGL_Supplies!AB7/1000</f>
        <v>20.352</v>
      </c>
      <c r="F30" s="168"/>
      <c r="H30"/>
      <c r="I30"/>
      <c r="J30"/>
      <c r="K30"/>
      <c r="L30"/>
      <c r="M30"/>
    </row>
    <row r="31" spans="1:13" ht="15">
      <c r="A31" s="170" t="s">
        <v>8</v>
      </c>
      <c r="B31" s="60"/>
      <c r="C31" s="222">
        <v>0</v>
      </c>
      <c r="D31" s="60" t="s">
        <v>569</v>
      </c>
      <c r="E31" s="151">
        <v>0</v>
      </c>
      <c r="F31" s="168"/>
      <c r="H31"/>
      <c r="I31"/>
      <c r="J31"/>
      <c r="K31"/>
      <c r="L31"/>
      <c r="M31"/>
    </row>
    <row r="32" spans="1:13" ht="15">
      <c r="A32" s="170" t="s">
        <v>7</v>
      </c>
      <c r="B32" s="151">
        <f>PGL_Supplies!P7/1000</f>
        <v>0</v>
      </c>
      <c r="C32" s="63"/>
      <c r="D32" s="171" t="s">
        <v>571</v>
      </c>
      <c r="E32" s="151">
        <f>PGL_Supplies!M7/1000</f>
        <v>0</v>
      </c>
      <c r="F32" s="168"/>
      <c r="H32"/>
      <c r="I32"/>
      <c r="J32"/>
      <c r="K32"/>
      <c r="L32"/>
      <c r="M32"/>
    </row>
    <row r="33" spans="1:13" ht="15">
      <c r="A33" s="169" t="s">
        <v>567</v>
      </c>
      <c r="B33" s="629">
        <f>(PGL_Deliveries!AB5+PGL_Deliveries!AC5+PGL_Deliveries!AD5)/1000</f>
        <v>0</v>
      </c>
      <c r="C33" s="63"/>
      <c r="D33" s="246" t="s">
        <v>573</v>
      </c>
      <c r="E33" s="151">
        <f>PGL_Supplies!N7/1000</f>
        <v>0</v>
      </c>
      <c r="F33" s="168"/>
      <c r="H33"/>
      <c r="I33"/>
      <c r="J33"/>
      <c r="K33"/>
      <c r="L33"/>
      <c r="M33"/>
    </row>
    <row r="34" spans="1:13" ht="15">
      <c r="A34" s="169" t="s">
        <v>568</v>
      </c>
      <c r="B34" s="60"/>
      <c r="C34" s="63">
        <f>PGL_Deliveries!AC5/1000</f>
        <v>0</v>
      </c>
      <c r="F34" s="168"/>
      <c r="H34"/>
      <c r="I34"/>
      <c r="J34"/>
      <c r="K34"/>
      <c r="L34"/>
      <c r="M34"/>
    </row>
    <row r="35" spans="1:13" ht="15">
      <c r="A35" s="172" t="s">
        <v>570</v>
      </c>
      <c r="B35" s="67"/>
      <c r="C35" s="479">
        <f>PGL_Deliveries!AB5/1000</f>
        <v>0</v>
      </c>
      <c r="F35" s="168"/>
      <c r="H35"/>
      <c r="I35"/>
      <c r="J35"/>
      <c r="K35"/>
      <c r="L35"/>
      <c r="M35"/>
    </row>
    <row r="36" spans="1:13" ht="15">
      <c r="A36" s="170" t="s">
        <v>572</v>
      </c>
      <c r="B36" s="151" t="s">
        <v>9</v>
      </c>
      <c r="C36" s="222">
        <f>PGL_Deliveries!AU5/1000</f>
        <v>49.08</v>
      </c>
      <c r="F36" s="168"/>
      <c r="H36"/>
      <c r="I36"/>
      <c r="J36"/>
      <c r="K36"/>
      <c r="L36"/>
      <c r="M36"/>
    </row>
    <row r="37" spans="1:13" ht="15">
      <c r="A37" s="170" t="s">
        <v>574</v>
      </c>
      <c r="B37" s="151">
        <f>PGL_Supplies!L7/1000</f>
        <v>0</v>
      </c>
      <c r="C37" s="63"/>
      <c r="F37" s="168"/>
      <c r="H37"/>
      <c r="I37"/>
      <c r="J37"/>
      <c r="K37"/>
      <c r="L37"/>
      <c r="M37"/>
    </row>
    <row r="38" spans="1:13" ht="15">
      <c r="A38" s="169" t="s">
        <v>575</v>
      </c>
      <c r="B38" s="60"/>
      <c r="C38" s="222">
        <f>PGL_Deliveries!AS5/1000</f>
        <v>0</v>
      </c>
      <c r="F38" s="168"/>
      <c r="H38"/>
      <c r="I38"/>
      <c r="J38"/>
      <c r="K38"/>
      <c r="L38"/>
      <c r="M38"/>
    </row>
    <row r="39" spans="1:13" ht="16.2" thickBot="1">
      <c r="A39" s="169" t="s">
        <v>195</v>
      </c>
      <c r="B39" s="151">
        <f>PGL_Deliveries!AT5/1000</f>
        <v>2.508</v>
      </c>
      <c r="C39" s="63"/>
      <c r="D39" s="209" t="s">
        <v>210</v>
      </c>
      <c r="E39" s="208">
        <f>SUM(E22:E33)-SUM(F23:F38)-E29</f>
        <v>32.856999999999999</v>
      </c>
      <c r="F39" s="164"/>
      <c r="G39" s="1" t="s">
        <v>9</v>
      </c>
      <c r="H39"/>
      <c r="I39"/>
      <c r="J39"/>
      <c r="K39"/>
      <c r="L39"/>
      <c r="M39"/>
    </row>
    <row r="40" spans="1:13" ht="15">
      <c r="A40" s="169" t="s">
        <v>202</v>
      </c>
      <c r="B40" s="151">
        <f>PGL_Deliveries!AG5/1000</f>
        <v>0</v>
      </c>
      <c r="C40" s="63"/>
      <c r="D40" s="770" t="s">
        <v>576</v>
      </c>
      <c r="E40" s="794"/>
      <c r="F40" s="173">
        <f>PGL_Requirements!J7/1000</f>
        <v>103.696</v>
      </c>
      <c r="H40"/>
      <c r="I40"/>
      <c r="J40"/>
      <c r="K40"/>
      <c r="L40"/>
      <c r="M40"/>
    </row>
    <row r="41" spans="1:13" ht="15">
      <c r="A41" s="170" t="s">
        <v>577</v>
      </c>
      <c r="B41" s="151">
        <f>PGL_Deliveries!AE5/1000</f>
        <v>12.116</v>
      </c>
      <c r="C41" s="63"/>
      <c r="D41" s="246" t="s">
        <v>498</v>
      </c>
      <c r="E41" s="795">
        <f>PGL_Supplies!AA7/1000</f>
        <v>192.88</v>
      </c>
      <c r="F41" s="168"/>
      <c r="H41"/>
      <c r="I41"/>
      <c r="J41"/>
      <c r="K41"/>
      <c r="L41"/>
      <c r="M41"/>
    </row>
    <row r="42" spans="1:13" ht="15">
      <c r="A42" s="1" t="s">
        <v>793</v>
      </c>
      <c r="B42" s="151">
        <f>PGL_Deliveries!BI5/1000</f>
        <v>0</v>
      </c>
      <c r="C42" s="222">
        <f>PGL_Deliveries!BH5/1000</f>
        <v>0</v>
      </c>
      <c r="D42" s="60" t="s">
        <v>371</v>
      </c>
      <c r="E42" s="795">
        <f>PGL_Supplies!V7/1000</f>
        <v>0</v>
      </c>
      <c r="F42" s="168"/>
      <c r="H42"/>
      <c r="I42"/>
      <c r="J42"/>
      <c r="K42"/>
      <c r="L42"/>
      <c r="M42"/>
    </row>
    <row r="43" spans="1:13" ht="15">
      <c r="A43" s="169" t="s">
        <v>578</v>
      </c>
      <c r="B43" s="151">
        <f>PGL_Deliveries!AW5/1000</f>
        <v>0.73619999999999997</v>
      </c>
      <c r="C43" s="63"/>
      <c r="D43" s="60" t="s">
        <v>501</v>
      </c>
      <c r="E43" s="151"/>
      <c r="F43" s="173">
        <f>(PGL_Requirements!$AE$7+PGL_Requirements!$AF$7+PGL_Requirements!$AG$7+PGL_Requirements!$AH$7)/1000</f>
        <v>0</v>
      </c>
      <c r="H43"/>
      <c r="I43"/>
      <c r="J43"/>
      <c r="K43"/>
      <c r="L43"/>
      <c r="M43"/>
    </row>
    <row r="44" spans="1:13" ht="15.6" thickBot="1">
      <c r="A44" s="169" t="s">
        <v>694</v>
      </c>
      <c r="B44" s="165"/>
      <c r="C44" s="222">
        <f>PGL_Requirements!Q7/1000</f>
        <v>0.21</v>
      </c>
      <c r="D44" s="60" t="s">
        <v>502</v>
      </c>
      <c r="E44" s="151">
        <f>NSG_Requirements!$AB$7+NSG_Requirements!$AC$7+NSG_Requirements!$AD$7+NSG_Requirements!$AE$7/1000+NSG_Requirements!K7/1000</f>
        <v>0</v>
      </c>
      <c r="F44" s="173"/>
      <c r="H44"/>
      <c r="I44"/>
      <c r="J44"/>
      <c r="K44"/>
      <c r="L44"/>
      <c r="M44"/>
    </row>
    <row r="45" spans="1:13" ht="15">
      <c r="A45" s="439" t="s">
        <v>579</v>
      </c>
      <c r="B45" s="60">
        <f>Weather_Input!B5</f>
        <v>91</v>
      </c>
      <c r="C45" s="182"/>
      <c r="D45" s="60" t="s">
        <v>587</v>
      </c>
      <c r="E45" s="795">
        <f>PGL_Supplies!S7/1000</f>
        <v>20</v>
      </c>
      <c r="F45" s="168"/>
    </row>
    <row r="46" spans="1:13" ht="15">
      <c r="A46" s="169" t="s">
        <v>580</v>
      </c>
      <c r="B46" s="234">
        <f>Weather_Input!C5</f>
        <v>70</v>
      </c>
      <c r="C46" s="159"/>
      <c r="D46" s="72" t="s">
        <v>791</v>
      </c>
      <c r="E46" s="60"/>
      <c r="F46" s="173">
        <f>PGL_Deliveries!BE5/1000</f>
        <v>137.22900000000001</v>
      </c>
    </row>
    <row r="47" spans="1:13" ht="15">
      <c r="A47" s="170" t="s">
        <v>581</v>
      </c>
      <c r="B47" s="60">
        <f>Weather_Input!E5</f>
        <v>78.5</v>
      </c>
      <c r="C47" s="159"/>
      <c r="D47" s="769" t="s">
        <v>792</v>
      </c>
      <c r="E47" s="67"/>
      <c r="F47" s="1244">
        <f>PGL_Deliveries!BF5/1000</f>
        <v>103.696</v>
      </c>
    </row>
    <row r="48" spans="1:13" ht="15">
      <c r="A48" s="169" t="s">
        <v>582</v>
      </c>
      <c r="B48" s="223">
        <f>Weather_Input!D5</f>
        <v>5.7</v>
      </c>
      <c r="C48" s="159"/>
      <c r="D48" s="246" t="s">
        <v>231</v>
      </c>
      <c r="E48" s="151">
        <f>PGL_Deliveries!AI5/1000</f>
        <v>0</v>
      </c>
      <c r="F48" s="158"/>
    </row>
    <row r="49" spans="1:6" ht="15">
      <c r="A49" s="169" t="s">
        <v>583</v>
      </c>
      <c r="B49" s="151">
        <f>PGL_Deliveries!AM5/1000</f>
        <v>1.0389999999999999</v>
      </c>
      <c r="C49" s="159"/>
      <c r="D49" s="60" t="s">
        <v>727</v>
      </c>
      <c r="E49" s="151">
        <f>PGL_Deliveries!AJ5/1000</f>
        <v>19.332000000000001</v>
      </c>
      <c r="F49" s="158"/>
    </row>
    <row r="50" spans="1:6" ht="15.6" outlineLevel="2" thickBot="1">
      <c r="A50" s="100" t="s">
        <v>584</v>
      </c>
      <c r="B50" s="160"/>
      <c r="C50" s="157"/>
      <c r="D50" s="165" t="s">
        <v>585</v>
      </c>
      <c r="E50" s="207">
        <f>PGL_Deliveries!AK5/1000</f>
        <v>8.5739999999999998</v>
      </c>
      <c r="F50" s="438"/>
    </row>
    <row r="51" spans="1:6" ht="15" outlineLevel="2">
      <c r="A51" s="416" t="s">
        <v>586</v>
      </c>
      <c r="B51"/>
      <c r="C51"/>
      <c r="D51"/>
      <c r="E51"/>
      <c r="F51" s="119"/>
    </row>
    <row r="52" spans="1:6" ht="15" outlineLevel="2">
      <c r="A52" t="s">
        <v>9</v>
      </c>
      <c r="B52"/>
      <c r="C52"/>
      <c r="D52"/>
      <c r="E52"/>
      <c r="F52" s="119"/>
    </row>
    <row r="53" spans="1:6" ht="15" outlineLevel="2">
      <c r="A53" s="119"/>
      <c r="B53" s="119"/>
      <c r="C53"/>
      <c r="D53"/>
      <c r="E53"/>
      <c r="F53" s="119"/>
    </row>
    <row r="54" spans="1:6" ht="15" outlineLevel="2">
      <c r="A54" s="119"/>
      <c r="B54"/>
      <c r="C54"/>
      <c r="D54"/>
      <c r="E54"/>
      <c r="F54" s="119"/>
    </row>
    <row r="55" spans="1:6" ht="15" outlineLevel="2">
      <c r="A55" s="119"/>
      <c r="B55"/>
      <c r="C55"/>
      <c r="D55"/>
      <c r="E55"/>
      <c r="F55" s="119"/>
    </row>
    <row r="56" spans="1:6" ht="15" outlineLevel="2">
      <c r="A56" s="119"/>
      <c r="B56"/>
      <c r="C56"/>
      <c r="D56"/>
      <c r="E56"/>
      <c r="F56" s="119"/>
    </row>
    <row r="57" spans="1:6" ht="15" outlineLevel="2">
      <c r="A57" s="119"/>
      <c r="B57"/>
      <c r="C57"/>
      <c r="D57"/>
      <c r="E57"/>
      <c r="F57" s="119"/>
    </row>
    <row r="58" spans="1:6" ht="15" outlineLevel="1">
      <c r="A58" s="119"/>
      <c r="B58"/>
      <c r="C58"/>
      <c r="D58"/>
      <c r="E58"/>
      <c r="F58" s="119"/>
    </row>
    <row r="59" spans="1:6" ht="15" outlineLevel="2">
      <c r="A59" s="119"/>
      <c r="B59"/>
      <c r="C59"/>
      <c r="D59"/>
      <c r="E59"/>
      <c r="F59" s="119"/>
    </row>
    <row r="60" spans="1:6" ht="15" outlineLevel="1">
      <c r="A60" s="119"/>
      <c r="B60"/>
      <c r="C60"/>
      <c r="D60"/>
      <c r="E60"/>
      <c r="F60" s="119"/>
    </row>
    <row r="61" spans="1:6" ht="15">
      <c r="A61" s="60" t="s">
        <v>9</v>
      </c>
      <c r="B61" s="223" t="s">
        <v>9</v>
      </c>
      <c r="C61" s="119"/>
      <c r="D61" s="119"/>
      <c r="E61" s="119"/>
      <c r="F61" s="119"/>
    </row>
    <row r="62" spans="1:6" ht="15">
      <c r="A62" s="119"/>
      <c r="B62"/>
      <c r="C62"/>
      <c r="D62"/>
      <c r="E62"/>
      <c r="F62"/>
    </row>
    <row r="63" spans="1:6" ht="15">
      <c r="A63" s="119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84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>
      <selection sqref="A1:F41"/>
    </sheetView>
  </sheetViews>
  <sheetFormatPr defaultColWidth="8.90625" defaultRowHeight="13.2"/>
  <cols>
    <col min="1" max="1" width="18.1796875" style="1" customWidth="1"/>
    <col min="2" max="2" width="7.6328125" style="1" customWidth="1"/>
    <col min="3" max="3" width="6.54296875" style="1" customWidth="1"/>
    <col min="4" max="4" width="25" style="1" customWidth="1"/>
    <col min="5" max="5" width="8.90625" style="1"/>
    <col min="6" max="6" width="7.6328125" style="1" customWidth="1"/>
    <col min="7" max="16384" width="8.90625" style="1"/>
  </cols>
  <sheetData>
    <row r="1" spans="1:11" ht="15">
      <c r="A1" s="119" t="s">
        <v>9</v>
      </c>
    </row>
    <row r="2" spans="1:11" ht="15">
      <c r="A2" s="119" t="s">
        <v>9</v>
      </c>
      <c r="B2" s="132"/>
      <c r="C2"/>
      <c r="D2"/>
      <c r="E2"/>
      <c r="F2"/>
      <c r="G2"/>
      <c r="J2"/>
      <c r="K2"/>
    </row>
    <row r="3" spans="1:11" ht="15.6" thickBot="1">
      <c r="A3" s="1060" t="s">
        <v>4</v>
      </c>
      <c r="B3" s="239">
        <f>NSG_Deliveries!H5/1000</f>
        <v>32.731999999999999</v>
      </c>
      <c r="C3" s="117"/>
      <c r="D3" s="226" t="s">
        <v>310</v>
      </c>
      <c r="E3" s="424">
        <f>Weather_Input!A5</f>
        <v>37095</v>
      </c>
      <c r="F3" s="117"/>
      <c r="G3"/>
      <c r="J3"/>
      <c r="K3"/>
    </row>
    <row r="4" spans="1:11" ht="15.6" thickTop="1">
      <c r="A4" s="244"/>
      <c r="B4" s="237"/>
      <c r="C4" s="129"/>
      <c r="D4" s="159"/>
      <c r="E4" s="159"/>
      <c r="F4" s="123"/>
      <c r="G4"/>
      <c r="J4"/>
      <c r="K4"/>
    </row>
    <row r="5" spans="1:11" ht="15">
      <c r="A5" s="245" t="s">
        <v>164</v>
      </c>
      <c r="B5" s="238">
        <f>NSG_Deliveries!E5/1000</f>
        <v>32.357999999999997</v>
      </c>
      <c r="C5" s="143"/>
      <c r="D5" s="218" t="s">
        <v>311</v>
      </c>
      <c r="E5" s="213">
        <f>NSG_Deliveries!D5/1000</f>
        <v>0</v>
      </c>
      <c r="F5" s="210"/>
      <c r="G5"/>
      <c r="J5"/>
      <c r="K5"/>
    </row>
    <row r="6" spans="1:11" ht="15" customHeight="1">
      <c r="A6" s="244"/>
      <c r="B6" s="237"/>
      <c r="C6" s="129"/>
      <c r="D6" s="159"/>
      <c r="E6" s="159"/>
      <c r="F6" s="124"/>
      <c r="G6"/>
    </row>
    <row r="7" spans="1:11" ht="15" customHeight="1">
      <c r="A7" s="245" t="s">
        <v>312</v>
      </c>
      <c r="B7" s="213">
        <f>NSG_Deliveries!G5/1000</f>
        <v>0</v>
      </c>
      <c r="C7" s="805"/>
      <c r="D7" s="218" t="s">
        <v>313</v>
      </c>
      <c r="E7" s="213">
        <f>NSG_Supplies!T7/1000</f>
        <v>0</v>
      </c>
      <c r="F7" s="113"/>
      <c r="G7"/>
    </row>
    <row r="8" spans="1:11" ht="15" customHeight="1">
      <c r="A8" s="232" t="s">
        <v>210</v>
      </c>
      <c r="B8" s="213">
        <f>B5+B7</f>
        <v>32.357999999999997</v>
      </c>
      <c r="C8" s="158"/>
      <c r="D8" s="806" t="s">
        <v>603</v>
      </c>
      <c r="E8" s="800">
        <f>NSG_Deliveries!F5/1000</f>
        <v>0.374</v>
      </c>
      <c r="F8" s="799"/>
      <c r="G8"/>
    </row>
    <row r="9" spans="1:11" ht="15" customHeight="1">
      <c r="A9" s="240" t="s">
        <v>309</v>
      </c>
      <c r="B9" s="214" t="s">
        <v>9</v>
      </c>
      <c r="C9" s="131">
        <f>NSG_Requirements!L7/1000</f>
        <v>0</v>
      </c>
      <c r="D9" s="1" t="s">
        <v>594</v>
      </c>
      <c r="E9" s="801" t="s">
        <v>9</v>
      </c>
      <c r="F9" s="976">
        <f>NSG_Deliveries!M5/1000</f>
        <v>11.625999999999999</v>
      </c>
      <c r="G9" s="119"/>
    </row>
    <row r="10" spans="1:11" ht="15" customHeight="1">
      <c r="A10" s="125" t="s">
        <v>315</v>
      </c>
      <c r="B10" s="215">
        <f>NSG_Supplies!G7/1000</f>
        <v>0</v>
      </c>
      <c r="C10" s="130"/>
      <c r="D10" s="978" t="s">
        <v>595</v>
      </c>
      <c r="E10" s="441">
        <f>NSG_Deliveries!N5/1000</f>
        <v>0</v>
      </c>
      <c r="F10" s="802"/>
      <c r="G10"/>
    </row>
    <row r="11" spans="1:11" ht="15" customHeight="1" thickBot="1">
      <c r="A11" s="128" t="s">
        <v>316</v>
      </c>
      <c r="B11" s="422" t="s">
        <v>9</v>
      </c>
      <c r="C11" s="423"/>
      <c r="D11" s="167" t="s">
        <v>604</v>
      </c>
      <c r="E11" s="803">
        <f>NSG_Supplies!P7/1000</f>
        <v>12</v>
      </c>
      <c r="F11" s="804"/>
      <c r="G11"/>
    </row>
    <row r="12" spans="1:11" ht="15" customHeight="1">
      <c r="A12" s="125" t="s">
        <v>372</v>
      </c>
      <c r="B12" s="215">
        <v>0</v>
      </c>
      <c r="C12" s="129"/>
      <c r="D12" t="s">
        <v>314</v>
      </c>
      <c r="E12" s="237"/>
      <c r="F12" s="785">
        <f>NSG_Requirements!K7/1000+NSG_Requirements!L7/1000+NSG_Requirements!M7/1000+NSG_Requirements!N7/1000</f>
        <v>0</v>
      </c>
      <c r="G12"/>
    </row>
    <row r="13" spans="1:11" ht="15" customHeight="1">
      <c r="A13" s="125" t="s">
        <v>319</v>
      </c>
      <c r="B13" s="215">
        <f>NSG_Supplies!Q7/1000</f>
        <v>25.234999999999999</v>
      </c>
      <c r="C13" s="129"/>
      <c r="D13" s="242" t="s">
        <v>317</v>
      </c>
      <c r="E13" s="235"/>
      <c r="F13" s="243"/>
      <c r="G13"/>
    </row>
    <row r="14" spans="1:11" ht="15" customHeight="1">
      <c r="A14" s="125" t="s">
        <v>180</v>
      </c>
      <c r="B14" s="215">
        <f>NSG_Supplies!C7/1000</f>
        <v>0</v>
      </c>
      <c r="C14" s="129"/>
      <c r="D14" s="211" t="s">
        <v>318</v>
      </c>
      <c r="E14" s="241" t="s">
        <v>9</v>
      </c>
      <c r="F14" s="126">
        <f>NSG_Requirements!M7/1000</f>
        <v>0</v>
      </c>
    </row>
    <row r="15" spans="1:11" ht="15" customHeight="1">
      <c r="A15" s="127" t="s">
        <v>321</v>
      </c>
      <c r="B15" s="211"/>
      <c r="C15" s="131">
        <f>NSG_Deliveries!K5/1000</f>
        <v>0</v>
      </c>
      <c r="D15" s="233" t="s">
        <v>320</v>
      </c>
      <c r="E15" s="762">
        <f>+NSG_Supplies!N7/1000</f>
        <v>0</v>
      </c>
      <c r="F15" s="212"/>
    </row>
    <row r="16" spans="1:11" ht="15" customHeight="1" thickBot="1">
      <c r="A16" s="127" t="s">
        <v>322</v>
      </c>
      <c r="B16" s="441">
        <f>NSG_Deliveries!L5/1000</f>
        <v>7.1230000000000002</v>
      </c>
      <c r="C16" s="977"/>
      <c r="D16" s="814" t="s">
        <v>229</v>
      </c>
      <c r="E16" s="231" t="s">
        <v>9</v>
      </c>
      <c r="F16" s="126">
        <f>NSG_Requirements!X7/1000</f>
        <v>0</v>
      </c>
    </row>
    <row r="17" spans="1:8" ht="15" customHeight="1" thickBot="1">
      <c r="A17" s="125" t="s">
        <v>323</v>
      </c>
      <c r="B17" s="211"/>
      <c r="C17" s="131">
        <f>NSG_Requirements!P7/1000</f>
        <v>0</v>
      </c>
      <c r="D17" s="426" t="s">
        <v>324</v>
      </c>
      <c r="E17" s="425"/>
      <c r="F17" s="427"/>
    </row>
    <row r="18" spans="1:8" ht="15" customHeight="1">
      <c r="A18" s="125" t="s">
        <v>325</v>
      </c>
      <c r="B18" s="215">
        <f>NSG_Supplies!H7/1000</f>
        <v>0</v>
      </c>
      <c r="C18" s="129"/>
      <c r="D18" s="63" t="s">
        <v>326</v>
      </c>
      <c r="E18" s="159"/>
      <c r="F18" s="126">
        <f>NSG_Requirements!N7/1000</f>
        <v>0</v>
      </c>
    </row>
    <row r="19" spans="1:8" ht="15" customHeight="1">
      <c r="A19" s="1254" t="s">
        <v>9</v>
      </c>
      <c r="B19" s="441" t="s">
        <v>9</v>
      </c>
      <c r="C19" s="440" t="s">
        <v>9</v>
      </c>
      <c r="D19" s="228" t="s">
        <v>327</v>
      </c>
      <c r="E19" s="159"/>
      <c r="F19" s="126">
        <f>NSG_Requirements!S7/1000</f>
        <v>0</v>
      </c>
    </row>
    <row r="20" spans="1:8" ht="15" customHeight="1">
      <c r="A20" s="1254" t="s">
        <v>9</v>
      </c>
      <c r="B20" s="441" t="s">
        <v>9</v>
      </c>
      <c r="C20" s="440" t="s">
        <v>9</v>
      </c>
      <c r="D20" s="211" t="s">
        <v>328</v>
      </c>
      <c r="E20" s="159"/>
      <c r="F20" s="126">
        <f>NSG_Requirements!O7/1000</f>
        <v>0</v>
      </c>
    </row>
    <row r="21" spans="1:8" ht="15" customHeight="1">
      <c r="A21" s="1254" t="s">
        <v>9</v>
      </c>
      <c r="B21" s="441" t="s">
        <v>9</v>
      </c>
      <c r="C21" s="440" t="s">
        <v>9</v>
      </c>
      <c r="D21" s="219" t="s">
        <v>329</v>
      </c>
      <c r="E21" s="215">
        <f>NSG_Supplies!K7/1000</f>
        <v>0</v>
      </c>
      <c r="F21" s="141"/>
    </row>
    <row r="22" spans="1:8" ht="15" customHeight="1">
      <c r="A22" s="125" t="s">
        <v>9</v>
      </c>
      <c r="B22" s="211" t="s">
        <v>9</v>
      </c>
      <c r="C22" s="131" t="s">
        <v>9</v>
      </c>
      <c r="D22" s="219" t="s">
        <v>349</v>
      </c>
      <c r="E22" s="215">
        <f>NSG_Supplies!L7/1000</f>
        <v>0</v>
      </c>
      <c r="F22" s="141"/>
    </row>
    <row r="23" spans="1:8" ht="15" customHeight="1">
      <c r="A23" s="125" t="s">
        <v>9</v>
      </c>
      <c r="B23" s="211" t="s">
        <v>9</v>
      </c>
      <c r="C23" s="131" t="s">
        <v>9</v>
      </c>
      <c r="D23" s="219" t="s">
        <v>330</v>
      </c>
      <c r="E23" s="215">
        <f>PGL_Supplies!R7/1000</f>
        <v>0</v>
      </c>
      <c r="F23" s="126" t="s">
        <v>9</v>
      </c>
    </row>
    <row r="24" spans="1:8" ht="15" customHeight="1">
      <c r="A24" s="125" t="s">
        <v>9</v>
      </c>
      <c r="B24" s="215" t="s">
        <v>9</v>
      </c>
      <c r="C24" s="129" t="s">
        <v>9</v>
      </c>
      <c r="D24" s="227" t="s">
        <v>331</v>
      </c>
      <c r="E24" s="220">
        <f>NSG_Supplies!O7/1000</f>
        <v>0</v>
      </c>
      <c r="F24" s="124"/>
    </row>
    <row r="25" spans="1:8" ht="15" customHeight="1">
      <c r="A25" s="1254" t="s">
        <v>9</v>
      </c>
      <c r="B25" s="211" t="s">
        <v>9</v>
      </c>
      <c r="C25" s="131" t="s">
        <v>9</v>
      </c>
      <c r="D25" s="227" t="s">
        <v>332</v>
      </c>
      <c r="E25" s="215">
        <f>PGL_Requirements!V71/1000</f>
        <v>0</v>
      </c>
      <c r="F25" s="116"/>
    </row>
    <row r="26" spans="1:8" ht="15" customHeight="1">
      <c r="A26" s="142" t="s">
        <v>9</v>
      </c>
      <c r="B26" s="216" t="s">
        <v>9</v>
      </c>
      <c r="C26" s="143"/>
      <c r="D26" s="763" t="s">
        <v>333</v>
      </c>
      <c r="E26" s="767"/>
      <c r="F26" s="126">
        <f>NSG_Requirements!D7/1000</f>
        <v>0</v>
      </c>
    </row>
    <row r="27" spans="1:8" ht="15" customHeight="1" thickBot="1">
      <c r="A27" s="144" t="s">
        <v>210</v>
      </c>
      <c r="B27" s="217">
        <f>SUM(B9:B26)-SUM(C9:C26)</f>
        <v>32.357999999999997</v>
      </c>
      <c r="C27" s="145"/>
      <c r="D27" s="236" t="s">
        <v>334</v>
      </c>
      <c r="E27" s="217">
        <f>SUM(E18:E26)-SUM(F18:F26)</f>
        <v>0</v>
      </c>
      <c r="F27" s="146"/>
      <c r="H27" s="1" t="s">
        <v>9</v>
      </c>
    </row>
    <row r="28" spans="1:8" ht="15" customHeight="1" thickTop="1">
      <c r="A28" s="161" t="s">
        <v>373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96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81640625" customWidth="1"/>
  </cols>
  <sheetData>
    <row r="1" spans="1:3">
      <c r="A1" s="161" t="s">
        <v>9</v>
      </c>
    </row>
    <row r="2" spans="1:3" ht="15.6">
      <c r="C2" s="94" t="s">
        <v>335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6"/>
  <cols>
    <col min="2" max="2" width="1.36328125" style="787" customWidth="1"/>
    <col min="3" max="3" width="20.6328125" customWidth="1"/>
  </cols>
  <sheetData>
    <row r="1" spans="2:7">
      <c r="E1" s="787" t="s">
        <v>9</v>
      </c>
    </row>
    <row r="2" spans="2:7">
      <c r="B2" s="911" t="s">
        <v>9</v>
      </c>
      <c r="C2" s="911" t="s">
        <v>9</v>
      </c>
      <c r="D2" s="911" t="s">
        <v>158</v>
      </c>
      <c r="E2" s="911" t="s">
        <v>9</v>
      </c>
      <c r="F2" s="911" t="s">
        <v>158</v>
      </c>
      <c r="G2" s="911" t="s">
        <v>9</v>
      </c>
    </row>
    <row r="4" spans="2:7">
      <c r="B4" s="912" t="s">
        <v>158</v>
      </c>
    </row>
    <row r="6" spans="2:7">
      <c r="B6" s="911" t="s">
        <v>9</v>
      </c>
      <c r="C6" t="str">
        <f>IF(D6&lt;0,"payback pgl to allinace","payback alliance to pgl")</f>
        <v>payback alliance to pgl</v>
      </c>
      <c r="D6">
        <v>25</v>
      </c>
    </row>
    <row r="7" spans="2:7">
      <c r="B7" s="911"/>
    </row>
    <row r="8" spans="2:7">
      <c r="B8" s="911" t="s">
        <v>9</v>
      </c>
    </row>
    <row r="9" spans="2:7">
      <c r="B9" s="911"/>
    </row>
    <row r="10" spans="2:7">
      <c r="B10" s="911" t="s">
        <v>9</v>
      </c>
      <c r="C10" t="b">
        <f>TRUE()</f>
        <v>1</v>
      </c>
    </row>
    <row r="11" spans="2:7">
      <c r="B11" s="911" t="s">
        <v>9</v>
      </c>
    </row>
    <row r="12" spans="2:7">
      <c r="B12" s="911" t="s">
        <v>9</v>
      </c>
    </row>
    <row r="13" spans="2:7">
      <c r="B13" s="911"/>
    </row>
    <row r="14" spans="2:7">
      <c r="B14" s="911" t="s">
        <v>9</v>
      </c>
    </row>
    <row r="15" spans="2:7">
      <c r="B15" s="911"/>
    </row>
    <row r="16" spans="2:7">
      <c r="B16" s="911" t="s">
        <v>9</v>
      </c>
    </row>
    <row r="17" spans="2:5">
      <c r="B17" s="911"/>
    </row>
    <row r="18" spans="2:5">
      <c r="B18" s="911" t="s">
        <v>9</v>
      </c>
    </row>
    <row r="19" spans="2:5">
      <c r="B19" s="911"/>
    </row>
    <row r="20" spans="2:5">
      <c r="B20" s="911" t="s">
        <v>9</v>
      </c>
    </row>
    <row r="21" spans="2:5">
      <c r="B21" s="911"/>
    </row>
    <row r="22" spans="2:5">
      <c r="B22" s="911" t="s">
        <v>9</v>
      </c>
    </row>
    <row r="24" spans="2:5">
      <c r="B24" s="911" t="s">
        <v>9</v>
      </c>
    </row>
    <row r="25" spans="2:5">
      <c r="E25" s="911" t="s">
        <v>9</v>
      </c>
    </row>
    <row r="27" spans="2:5">
      <c r="B27" s="911" t="s">
        <v>9</v>
      </c>
    </row>
    <row r="29" spans="2:5">
      <c r="B29" s="911" t="s">
        <v>9</v>
      </c>
    </row>
    <row r="30" spans="2:5">
      <c r="B30" s="911"/>
    </row>
    <row r="31" spans="2:5">
      <c r="B31" s="911" t="s">
        <v>9</v>
      </c>
    </row>
    <row r="32" spans="2:5">
      <c r="B32" s="911"/>
    </row>
    <row r="33" spans="2:2">
      <c r="B33" s="911" t="s">
        <v>9</v>
      </c>
    </row>
    <row r="34" spans="2:2">
      <c r="B34" s="911"/>
    </row>
    <row r="35" spans="2:2">
      <c r="B35" s="911" t="s">
        <v>9</v>
      </c>
    </row>
    <row r="36" spans="2:2">
      <c r="B36" s="911"/>
    </row>
    <row r="37" spans="2:2">
      <c r="B37" s="911" t="s">
        <v>9</v>
      </c>
    </row>
    <row r="38" spans="2:2">
      <c r="B38" s="911"/>
    </row>
    <row r="39" spans="2:2">
      <c r="B39" s="911" t="s">
        <v>9</v>
      </c>
    </row>
    <row r="40" spans="2:2">
      <c r="B40" s="911"/>
    </row>
    <row r="41" spans="2:2">
      <c r="B41" s="911" t="s">
        <v>9</v>
      </c>
    </row>
    <row r="42" spans="2:2">
      <c r="B42" s="911"/>
    </row>
    <row r="43" spans="2:2">
      <c r="B43" s="911" t="s">
        <v>9</v>
      </c>
    </row>
    <row r="44" spans="2:2">
      <c r="B44" s="911"/>
    </row>
    <row r="45" spans="2:2">
      <c r="B45" s="911" t="s">
        <v>9</v>
      </c>
    </row>
    <row r="47" spans="2:2">
      <c r="B47" s="911" t="s">
        <v>9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ColWidth="8.90625" defaultRowHeight="12.6"/>
  <cols>
    <col min="1" max="1" width="8.90625" style="138"/>
    <col min="2" max="16384" width="8.90625" style="135"/>
  </cols>
  <sheetData>
    <row r="1" spans="1:131" ht="15.6">
      <c r="A1" s="133"/>
      <c r="B1" s="134"/>
      <c r="D1" s="136"/>
    </row>
    <row r="2" spans="1:131" ht="15.6">
      <c r="A2" s="137"/>
      <c r="G2" s="134"/>
    </row>
    <row r="3" spans="1:131" ht="15">
      <c r="DZ3"/>
      <c r="EA3" s="149"/>
    </row>
    <row r="5" spans="1:131" ht="15.6">
      <c r="A5" s="139"/>
      <c r="B5" s="134"/>
    </row>
    <row r="6" spans="1:131">
      <c r="A6" s="140"/>
    </row>
    <row r="7" spans="1:131">
      <c r="A7" s="140"/>
    </row>
    <row r="8" spans="1:131">
      <c r="A8" s="140"/>
    </row>
    <row r="9" spans="1:131">
      <c r="A9" s="140" t="s">
        <v>9</v>
      </c>
      <c r="C9" s="910"/>
    </row>
    <row r="10" spans="1:131">
      <c r="A10" s="140"/>
    </row>
    <row r="11" spans="1:131">
      <c r="A11" s="140"/>
    </row>
    <row r="12" spans="1:131">
      <c r="A12" s="140"/>
    </row>
    <row r="13" spans="1:131">
      <c r="A13" s="140"/>
    </row>
    <row r="14" spans="1:131">
      <c r="A14" s="140"/>
      <c r="C14" s="135" t="s">
        <v>9</v>
      </c>
      <c r="D14" s="135" t="s">
        <v>9</v>
      </c>
    </row>
    <row r="15" spans="1:131">
      <c r="A15" s="140"/>
    </row>
    <row r="16" spans="1:131">
      <c r="A16" s="140"/>
    </row>
    <row r="17" spans="1:1">
      <c r="A17" s="140"/>
    </row>
    <row r="18" spans="1:1">
      <c r="A18" s="140"/>
    </row>
    <row r="19" spans="1:1">
      <c r="A19" s="140"/>
    </row>
    <row r="20" spans="1:1">
      <c r="A20" s="140"/>
    </row>
    <row r="21" spans="1:1">
      <c r="A21" s="140"/>
    </row>
    <row r="22" spans="1:1">
      <c r="A22" s="140"/>
    </row>
    <row r="23" spans="1:1">
      <c r="A23" s="140"/>
    </row>
    <row r="24" spans="1:1">
      <c r="A24" s="140"/>
    </row>
    <row r="25" spans="1:1">
      <c r="A25" s="140"/>
    </row>
    <row r="26" spans="1:1">
      <c r="A26" s="140"/>
    </row>
    <row r="27" spans="1:1">
      <c r="A27" s="140"/>
    </row>
    <row r="28" spans="1:1">
      <c r="A28" s="140"/>
    </row>
    <row r="29" spans="1:1">
      <c r="A29" s="140"/>
    </row>
    <row r="30" spans="1:1">
      <c r="A30" s="140"/>
    </row>
    <row r="31" spans="1:1">
      <c r="A31" s="140"/>
    </row>
    <row r="32" spans="1:1">
      <c r="A32" s="140"/>
    </row>
    <row r="33" spans="1:1">
      <c r="A33" s="140"/>
    </row>
    <row r="34" spans="1:1">
      <c r="A34" s="140"/>
    </row>
    <row r="35" spans="1:1">
      <c r="A35" s="140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53125" customWidth="1"/>
    <col min="2" max="3" width="9.54296875" customWidth="1"/>
    <col min="4" max="5" width="11.6328125" hidden="1" customWidth="1"/>
    <col min="6" max="7" width="11.6328125" customWidth="1"/>
    <col min="8" max="8" width="9.54296875" customWidth="1"/>
    <col min="9" max="9" width="11.6328125" customWidth="1"/>
    <col min="10" max="11" width="11.6328125" hidden="1" customWidth="1"/>
    <col min="12" max="13" width="11.6328125" customWidth="1"/>
    <col min="16" max="17" width="0" hidden="1" customWidth="1"/>
  </cols>
  <sheetData>
    <row r="1" spans="1:19">
      <c r="A1" s="1" t="s">
        <v>336</v>
      </c>
      <c r="B1" s="51">
        <f>Weather_Input!A5</f>
        <v>37095</v>
      </c>
      <c r="C1" s="4"/>
    </row>
    <row r="2" spans="1:19">
      <c r="A2" s="109" t="s">
        <v>337</v>
      </c>
      <c r="B2" s="4"/>
      <c r="C2" s="4"/>
    </row>
    <row r="3" spans="1:19" ht="15.6">
      <c r="B3" s="203" t="s">
        <v>66</v>
      </c>
      <c r="C3" s="95"/>
      <c r="D3" s="6"/>
      <c r="E3" s="6"/>
      <c r="F3" s="6"/>
      <c r="G3" s="196"/>
      <c r="H3" s="95" t="s">
        <v>67</v>
      </c>
      <c r="I3" s="95"/>
      <c r="J3" s="6"/>
      <c r="K3" s="6"/>
      <c r="L3" s="6"/>
      <c r="M3" s="196"/>
      <c r="N3" s="95" t="s">
        <v>35</v>
      </c>
      <c r="O3" s="6"/>
      <c r="P3" s="6"/>
      <c r="Q3" s="6"/>
      <c r="R3" s="6"/>
      <c r="S3" s="6"/>
    </row>
    <row r="4" spans="1:19">
      <c r="B4" s="204" t="s">
        <v>338</v>
      </c>
      <c r="C4" s="199"/>
      <c r="D4" s="195" t="s">
        <v>339</v>
      </c>
      <c r="E4" s="195" t="s">
        <v>339</v>
      </c>
      <c r="F4" s="6" t="s">
        <v>340</v>
      </c>
      <c r="G4" s="196"/>
      <c r="H4" s="6" t="s">
        <v>338</v>
      </c>
      <c r="I4" s="6"/>
      <c r="J4" s="195" t="s">
        <v>339</v>
      </c>
      <c r="K4" s="195" t="s">
        <v>339</v>
      </c>
      <c r="L4" s="6" t="s">
        <v>340</v>
      </c>
      <c r="M4" s="196"/>
      <c r="N4" s="6" t="s">
        <v>338</v>
      </c>
      <c r="O4" s="6"/>
      <c r="P4" s="195" t="s">
        <v>339</v>
      </c>
      <c r="Q4" s="195" t="s">
        <v>339</v>
      </c>
      <c r="R4" s="6" t="s">
        <v>340</v>
      </c>
      <c r="S4" s="6"/>
    </row>
    <row r="5" spans="1:19">
      <c r="A5" s="103"/>
      <c r="B5" s="205" t="s">
        <v>341</v>
      </c>
      <c r="C5" s="200" t="s">
        <v>342</v>
      </c>
      <c r="D5" s="197" t="s">
        <v>343</v>
      </c>
      <c r="E5" s="197" t="s">
        <v>344</v>
      </c>
      <c r="F5" s="197" t="s">
        <v>341</v>
      </c>
      <c r="G5" s="198" t="s">
        <v>342</v>
      </c>
      <c r="H5" s="197" t="s">
        <v>341</v>
      </c>
      <c r="I5" s="197" t="s">
        <v>342</v>
      </c>
      <c r="J5" s="197" t="s">
        <v>343</v>
      </c>
      <c r="K5" s="197" t="s">
        <v>344</v>
      </c>
      <c r="L5" s="197" t="s">
        <v>341</v>
      </c>
      <c r="M5" s="198" t="s">
        <v>342</v>
      </c>
      <c r="N5" s="197" t="s">
        <v>341</v>
      </c>
      <c r="O5" s="197" t="s">
        <v>342</v>
      </c>
      <c r="P5" s="197" t="s">
        <v>343</v>
      </c>
      <c r="Q5" s="197" t="s">
        <v>344</v>
      </c>
      <c r="R5" s="197" t="s">
        <v>341</v>
      </c>
      <c r="S5" s="197" t="s">
        <v>342</v>
      </c>
    </row>
    <row r="6" spans="1:19">
      <c r="A6" s="4">
        <f>B1-1</f>
        <v>37094</v>
      </c>
      <c r="B6" s="98" t="e">
        <v>#REF!</v>
      </c>
      <c r="C6" s="201" t="e">
        <v>#REF!</v>
      </c>
      <c r="D6" s="201" t="e">
        <v>#REF!</v>
      </c>
      <c r="E6" s="201" t="e">
        <v>#REF!</v>
      </c>
      <c r="F6" s="201" t="e">
        <v>#REF!</v>
      </c>
      <c r="G6" s="201" t="e">
        <v>#REF!</v>
      </c>
      <c r="H6" s="201" t="e">
        <v>#REF!</v>
      </c>
      <c r="I6" s="201" t="e">
        <v>#REF!</v>
      </c>
      <c r="J6" s="201" t="e">
        <v>#REF!</v>
      </c>
      <c r="K6" s="201" t="e">
        <v>#REF!</v>
      </c>
      <c r="L6" s="201" t="e">
        <v>#REF!</v>
      </c>
      <c r="M6" s="201" t="e">
        <v>#REF!</v>
      </c>
      <c r="N6" s="201">
        <v>112671</v>
      </c>
      <c r="O6" s="201">
        <v>0</v>
      </c>
      <c r="P6" s="201">
        <v>55459223</v>
      </c>
      <c r="Q6" s="201">
        <v>15045098</v>
      </c>
      <c r="R6" s="201">
        <v>40414125</v>
      </c>
      <c r="S6" s="201">
        <v>0</v>
      </c>
    </row>
    <row r="7" spans="1:19">
      <c r="A7" s="4">
        <f>B1</f>
        <v>37095</v>
      </c>
      <c r="B7" s="98" t="e">
        <f>IF((PGL_Deliveries!$W$5-(PGL_Supplies!$Y$7+PGL_Supplies!$T$7+PGL_Supplies!$Q$7+PGL_Supplies!$R$7+NSG_Requirements!$S$7+NSG_Requirements!$T$7+NSG_Requirements!$V$7+NSG_Requirements!$W$7)+PGL_Requirements!#REF!+PGL_Requirements!$T$7+PGL_Requirements!$V$7+PGL_Requirements!$W$7)&lt;0,(PGL_Supplies!$Y$7+PGL_Supplies!$T$7+PGL_Supplies!$Q$7+NSG_Requirements!$S$7+PGL_Supplies!#REF!+NSG_Requirements!$T$7+NSG_Requirements!$V$7+NSG_Requirements!$W$7+PGL_Requirements!#REF!+PGL_Requirements!$T$7+PGL_Requirements!$V$7+PGL_Requirements!$W$7-PGL_Deliveries!$W$5),0)</f>
        <v>#REF!</v>
      </c>
      <c r="C7" s="202" t="e">
        <f>IF((PGL_Deliveries!$W$5-(PGL_Supplies!$Y$7+PGL_Supplies!$T$7+PGL_Supplies!$Q$7+PGL_Supplies!$R$7+NSG_Requirements!$S$7+NSG_Requirements!$T$7+NSG_Requirements!$V$7+NSG_Requirements!$W$7)+PGL_Requirements!#REF!+PGL_Requirements!$T$7+PGL_Requirements!$V$7+PGL_Requirements!$W$7)&lt;0,0,(PGL_Deliveries!$W$5-(PGL_Supplies!$Y$7+PGL_Supplies!$T$7+PGL_Supplies!$Q$7+PGL_Supplies!$R$7+NSG_Requirements!$S$7+NSG_Requirements!$T$7+NSG_Requirements!$V$7+NSG_Requirements!$W$7)+PGL_Requirements!#REF!+PGL_Requirements!$T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58" t="e">
        <f>IF(E7&gt;D7,E7-D7,0)</f>
        <v>#REF!</v>
      </c>
      <c r="H7" t="e">
        <f>IF((PGL_Deliveries!$X$5-(PGL_Supplies!$U$7+PGL_Supplies!#REF!+PGL_Supplies!$P$7))&lt;0,(PGL_Supplies!$U$7+PGL_Supplies!#REF!+PGL_Supplies!$P$7-PGL_Deliveries!$X$5),0)</f>
        <v>#REF!</v>
      </c>
      <c r="I7" t="e">
        <f>IF((PGL_Deliveries!$X$5-(PGL_Supplies!$U$7+PGL_Supplies!#REF!+PGL_Supplies!$P$7))&lt;0,0,(PGL_Deliveries!$X$5-(PGL_Supplies!$U$7+PGL_Supplies!#REF!+PGL_Supplies!$P$7)))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58" t="e">
        <f>IF(K7&gt;J7,K7-J7,0)</f>
        <v>#REF!</v>
      </c>
      <c r="N7">
        <f>IF((PGL_Deliveries!AB5+PGL_Deliveries!AC5+PGL_Deliveries!AD5)-(PGL_Supplies!O7+PGL_Supplies!X7+PGL_Supplies!AC7+PGL_Supplies!AD7)+(PGL_Requirements!M7+PGL_Requirements!S7)&lt;0,(PGL_Supplies!$O$7+PGL_Supplies!$X$7+PGL_Supplies!$AC$7+PGL_Supplies!$AD$7)-(PGL_Requirements!M7+PGL_Requirements!S7)-(PGL_Deliveries!$AB$5+PGL_Deliveries!$AC$5+PGL_Deliveries!$AD$5),0)</f>
        <v>112671</v>
      </c>
      <c r="O7">
        <f>IF((PGL_Deliveries!$AB$5+PGL_Deliveries!$AC$5+PGL_Deliveries!$AD$5)-(PGL_Supplies!$O$7+PGL_Supplies!$X$7+PGL_Supplies!$AC$7+PGL_Supplies!$AD$7)+PGL_Requirements!M7+PGL_Requirements!S7&lt;0,0,(PGL_Deliveries!$AB$5+PGL_Deliveries!$AC$5+PGL_Deliveries!$AD$5)-(PGL_Supplies!$O$7+PGL_Supplies!$X$7+PGL_Supplies!$AC$7+PGL_Supplies!$AD$7)+(PGL_Requirements!M7+PGL_Requirements!S7))</f>
        <v>0</v>
      </c>
      <c r="P7">
        <f>IF(N7&gt;0,P6+N7,N6)</f>
        <v>55571894</v>
      </c>
      <c r="Q7">
        <f>IF(O7&gt;0,Q6+O7,Q6)</f>
        <v>15045098</v>
      </c>
      <c r="R7">
        <f>IF(P7&gt;Q7,P7-Q7,0)</f>
        <v>40526796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90625" style="4" customWidth="1"/>
    <col min="2" max="2" width="12" customWidth="1"/>
    <col min="3" max="3" width="10.90625" customWidth="1"/>
    <col min="4" max="4" width="11.6328125" customWidth="1"/>
  </cols>
  <sheetData>
    <row r="1" spans="1:4">
      <c r="B1" s="3" t="s">
        <v>345</v>
      </c>
      <c r="C1" s="3" t="s">
        <v>346</v>
      </c>
      <c r="D1" s="9" t="s">
        <v>347</v>
      </c>
    </row>
    <row r="2" spans="1:4">
      <c r="B2" s="3" t="s">
        <v>348</v>
      </c>
      <c r="C2" s="3" t="s">
        <v>25</v>
      </c>
      <c r="D2" s="7" t="s">
        <v>25</v>
      </c>
    </row>
    <row r="3" spans="1:4">
      <c r="A3" s="4">
        <v>36739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36740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36741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36742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36743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36744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36745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36746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36747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36748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36749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36750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36751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36752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36753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36754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36755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36756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36757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36758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36759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36760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36761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36762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36763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36764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36765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36766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36767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36768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36769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36770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36771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36772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36773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36774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36775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36776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36777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36778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36779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36780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36781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36782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36783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36784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36785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36786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36787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36788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36789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36790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36791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36792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36793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36794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36795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36796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36797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36798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36799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36800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36801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36802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36803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36804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36805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36806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36807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36808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36809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36810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36811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36812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36813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36814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36815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36816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36817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36818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36819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36820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36821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36822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36823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36824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36825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36826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36827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36828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36829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36830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36831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36832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36833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36834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36835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36836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36837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36838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36839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36840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36841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36842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36843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36844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36845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36846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36847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36848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36849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36850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36851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36852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36853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36854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36855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36856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36857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36858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36859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36860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36861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36862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36863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36864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36865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36866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36867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36868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36869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36870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36871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36872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36873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36874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36875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36876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36877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36878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36879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36880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36881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36882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36883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36884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36885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36886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36887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36888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36889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36890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36891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36892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36893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36894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36895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36896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36897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36898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36899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36900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36901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36902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36903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36904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36905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36906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36907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36908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36909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36910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36911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36912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36913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36914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36915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36916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36917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36918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36919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36920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36921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36922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36923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36924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36925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36926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36927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36928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36929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36930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36931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36932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36933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36934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36935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36936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36937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36938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36939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36940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36941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36942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36943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36944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36945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36946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36947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36948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36949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36950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36951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36952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36953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36954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36955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36956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36957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36958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36959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36960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36961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36962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36963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36964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36965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36966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36967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36968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36969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36970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36971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36972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36973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36974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36975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36976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36977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36978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36979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36980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36981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36982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36983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36984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36985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36986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36987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36988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36989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36990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36991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36992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36993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36994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36995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36996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36997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36998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36999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37000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37001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37002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37003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37004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37005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37006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37007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37008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37009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37010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37011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37012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37013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37014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37015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37016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37017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37018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37019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37020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37021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37022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37023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37024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37025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37026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37027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37028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37029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37030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37031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37032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37033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37034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37035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37036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37037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37038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37039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37040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37041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37042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37043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37044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37045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37046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37047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37048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37049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37050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37051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37052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37053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37054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37055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37056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37057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37058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37059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37060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37061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37062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37063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37064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37065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37066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37067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37068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37069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37070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37071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37072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37073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37074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37075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37076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37077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37078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37079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37080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37081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37082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37083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37084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37085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37086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37087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37088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37089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37090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37091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37092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37093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37094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37095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37096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37097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37098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37099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37100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37101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37102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37103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37104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37105</v>
      </c>
      <c r="B369">
        <v>0</v>
      </c>
      <c r="C369">
        <v>0</v>
      </c>
      <c r="D369">
        <v>0</v>
      </c>
    </row>
    <row r="370" spans="1:4">
      <c r="A370" s="4">
        <f t="shared" si="15"/>
        <v>37106</v>
      </c>
      <c r="B370">
        <v>0</v>
      </c>
      <c r="C370">
        <v>0</v>
      </c>
      <c r="D370">
        <v>0</v>
      </c>
    </row>
    <row r="371" spans="1:4">
      <c r="A371" s="4">
        <f t="shared" si="15"/>
        <v>37107</v>
      </c>
      <c r="B371">
        <v>0</v>
      </c>
      <c r="C371">
        <v>0</v>
      </c>
      <c r="D371">
        <v>0</v>
      </c>
    </row>
    <row r="372" spans="1:4">
      <c r="A372" s="4">
        <f t="shared" si="15"/>
        <v>37108</v>
      </c>
      <c r="B372">
        <v>0</v>
      </c>
      <c r="C372">
        <v>0</v>
      </c>
      <c r="D372">
        <v>0</v>
      </c>
    </row>
    <row r="373" spans="1:4">
      <c r="A373" s="4">
        <f t="shared" si="15"/>
        <v>37109</v>
      </c>
      <c r="B373">
        <v>0</v>
      </c>
      <c r="C373">
        <v>0</v>
      </c>
      <c r="D373">
        <v>0</v>
      </c>
    </row>
    <row r="374" spans="1:4">
      <c r="A374" s="4">
        <f t="shared" si="15"/>
        <v>37110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Havlíček Jan</cp:lastModifiedBy>
  <cp:lastPrinted>2001-07-24T16:24:38Z</cp:lastPrinted>
  <dcterms:created xsi:type="dcterms:W3CDTF">1997-07-16T16:14:22Z</dcterms:created>
  <dcterms:modified xsi:type="dcterms:W3CDTF">2023-09-10T11:13:19Z</dcterms:modified>
</cp:coreProperties>
</file>