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68" windowWidth="11976" windowHeight="2220" firstSheet="19" activeTab="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<sst xmlns="http://schemas.openxmlformats.org/spreadsheetml/2006/main" count="2070" uniqueCount="811">
  <si>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</si>
  <si>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</si>
  <si>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</si>
  <si>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</si>
  <si>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</si>
  <si>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</si>
  <si>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</si>
  <si>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</si>
  <si>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</si>
  <si>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</si>
  <si>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</si>
  <si>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</si>
  <si>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</si>
  <si>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</si>
  <si>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</si>
  <si>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</si>
  <si>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</si>
  <si>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</si>
  <si>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</si>
  <si>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</si>
  <si>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</si>
  <si>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</si>
  <si>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</si>
  <si>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</si>
  <si>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</si>
  <si>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</si>
  <si>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</si>
  <si>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</si>
  <si>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</si>
  <si>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</si>
  <si>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</si>
  <si>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</si>
  <si>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</si>
  <si>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</si>
  <si>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</si>
  <si>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</si>
  <si>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</si>
  <si>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</si>
  <si>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</si>
  <si>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</si>
  <si>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</si>
  <si>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</si>
  <si>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</si>
  <si>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</si>
  <si>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</si>
  <si>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</si>
  <si>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</si>
  <si>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</si>
  <si>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</si>
  <si>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</si>
  <si>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</si>
  <si>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</si>
  <si>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</si>
  <si>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</si>
  <si>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</si>
  <si>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</si>
  <si>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</si>
  <si>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</si>
  <si>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</si>
  <si>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</si>
  <si>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</si>
  <si>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</si>
  <si>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</si>
  <si>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</si>
  <si>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</si>
  <si>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</si>
  <si>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</si>
  <si>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</si>
  <si>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</si>
  <si>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</si>
  <si>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</si>
  <si>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</si>
  <si>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</si>
  <si>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</si>
  <si>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</si>
  <si>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</si>
  <si>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</si>
  <si>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</si>
  <si>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</si>
  <si>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</si>
  <si>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</si>
  <si>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</si>
  <si>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</si>
  <si>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</si>
  <si>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</si>
  <si>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</si>
  <si>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</si>
  <si>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</si>
  <si>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</si>
  <si>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</si>
  <si>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</si>
  <si>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</si>
  <si>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</si>
  <si>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</si>
  <si>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</si>
  <si>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</si>
  <si>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</si>
  <si>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</si>
  <si>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</si>
  <si>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</si>
  <si>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</si>
  <si>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</si>
  <si>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</si>
  <si>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</si>
  <si>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</si>
  <si>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</si>
  <si>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</si>
  <si>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</si>
  <si>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</si>
  <si>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</si>
  <si>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</si>
  <si>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</si>
  <si>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</si>
  <si>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</si>
  <si>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</si>
  <si>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</si>
  <si>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</si>
  <si>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</si>
  <si>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</si>
  <si>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</si>
  <si>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</si>
  <si>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</si>
  <si>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</si>
  <si>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</si>
  <si>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</si>
  <si>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</si>
  <si>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</si>
  <si>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</si>
  <si>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</si>
  <si>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</si>
  <si>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</si>
  <si>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</si>
  <si>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</si>
  <si>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</si>
  <si>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</si>
  <si>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</si>
  <si>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</si>
  <si>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</si>
  <si>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</si>
  <si>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</si>
  <si>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</si>
  <si>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</si>
  <si>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</si>
  <si>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</si>
  <si>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</si>
  <si>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</si>
  <si>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</si>
  <si>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</si>
  <si>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</si>
  <si>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</si>
  <si>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</si>
  <si>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</si>
  <si>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</si>
  <si>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</si>
  <si>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</si>
  <si>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</si>
  <si>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</si>
  <si>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</si>
  <si>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</si>
  <si>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</si>
  <si>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</si>
  <si>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</si>
  <si>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</si>
  <si>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</si>
  <si>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</si>
  <si>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</si>
  <si>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</si>
  <si>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</si>
  <si>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</si>
  <si>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</si>
  <si>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</si>
  <si>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</si>
  <si>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</si>
  <si>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</si>
  <si>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</si>
  <si>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</si>
  <si>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</si>
  <si>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</si>
  <si>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</si>
  <si>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</si>
  <si>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</si>
  <si>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</si>
  <si>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</si>
  <si>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</si>
  <si>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</si>
  <si>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</si>
  <si>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</si>
  <si>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</si>
  <si>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</si>
  <si>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</si>
  <si>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</si>
  <si>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</si>
  <si>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</si>
  <si>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</si>
  <si>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</si>
  <si>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</si>
  <si>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</si>
  <si>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</si>
  <si>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</si>
  <si>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</si>
  <si>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</si>
  <si>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</si>
  <si>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</si>
  <si>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</si>
  <si>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</si>
  <si>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</si>
  <si>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</si>
  <si>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</si>
  <si>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</si>
  <si>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</si>
  <si>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</si>
  <si>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</si>
  <si>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</si>
  <si>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</si>
  <si>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</si>
  <si>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</si>
  <si>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</si>
  <si>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</si>
  <si>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</si>
  <si>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</si>
  <si>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</si>
  <si>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</si>
  <si>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</si>
  <si>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</si>
  <si>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</si>
  <si>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</si>
  <si>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</si>
  <si>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</si>
  <si>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</si>
  <si>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</si>
  <si>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</si>
  <si>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</si>
  <si>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</si>
  <si>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</si>
  <si>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</si>
  <si>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</si>
  <si>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</si>
  <si>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</si>
  <si>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</si>
  <si>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</si>
  <si>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</si>
  <si>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</si>
  <si>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</si>
  <si>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</si>
  <si>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</si>
  <si>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</si>
  <si>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</si>
  <si>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</si>
  <si>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</si>
  <si>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</si>
  <si>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</si>
  <si>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</si>
  <si>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</si>
  <si>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</si>
  <si>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</si>
  <si>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</si>
  <si>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</si>
  <si>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</si>
  <si>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</si>
  <si>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</si>
  <si>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</si>
  <si>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</si>
  <si>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</si>
  <si>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</si>
  <si>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</si>
  <si>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</si>
  <si>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</si>
  <si>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</si>
  <si>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</si>
  <si>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</si>
  <si>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</si>
  <si>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</si>
  <si>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</si>
  <si>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</si>
  <si>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</si>
  <si>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</si>
  <si>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</si>
  <si>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</si>
  <si>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</si>
  <si>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</si>
  <si>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</si>
  <si>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</si>
  <si>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</si>
  <si>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</si>
  <si>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</si>
  <si>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</si>
  <si>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</si>
  <si>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</si>
  <si>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</si>
  <si>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</si>
  <si>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</si>
  <si>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</si>
  <si>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</si>
  <si>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</si>
  <si>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</si>
  <si>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</si>
  <si>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</si>
  <si>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</si>
  <si>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</si>
  <si>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</si>
  <si>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</si>
  <si>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</si>
  <si>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</si>
  <si>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</si>
  <si>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</si>
  <si>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</si>
  <si>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</si>
  <si>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</si>
  <si>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</si>
  <si>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</si>
  <si>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</si>
  <si>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</si>
  <si>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</si>
  <si>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</si>
  <si>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</si>
  <si>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</si>
  <si>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</si>
  <si>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</si>
  <si>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</si>
  <si>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</si>
  <si>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</si>
  <si>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</si>
  <si>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</si>
  <si>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</si>
  <si>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</si>
  <si>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</si>
  <si>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</si>
  <si>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</si>
  <si>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</si>
  <si>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</si>
  <si>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</si>
  <si>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</si>
  <si>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</si>
  <si>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</si>
  <si>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</si>
  <si>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</si>
  <si>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</si>
  <si>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</si>
  <si>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</si>
  <si>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</si>
  <si>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</si>
  <si>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</si>
  <si>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</si>
  <si>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</si>
  <si>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</si>
  <si>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</si>
  <si>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</si>
  <si>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</si>
  <si>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</si>
  <si>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</si>
  <si>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</si>
  <si>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</si>
  <si>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</si>
  <si>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</si>
  <si>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</si>
  <si>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</si>
  <si>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</si>
  <si>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</si>
  <si>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</si>
  <si>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</si>
  <si>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</si>
  <si>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</si>
  <si>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</si>
  <si>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</si>
  <si>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</si>
  <si>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</si>
  <si>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</si>
  <si>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</si>
  <si>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</si>
  <si>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</si>
  <si>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</si>
  <si>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</si>
  <si>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</si>
  <si>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</si>
  <si>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</si>
  <si>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</si>
  <si>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</si>
  <si>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</si>
  <si>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</si>
  <si>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</si>
  <si>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</si>
  <si>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</si>
  <si>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</si>
  <si>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</si>
  <si>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</si>
  <si>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</si>
  <si>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</si>
  <si>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</si>
  <si>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</si>
  <si>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</si>
  <si>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</si>
  <si>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</si>
  <si>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</si>
  <si>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</si>
  <si>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</si>
  <si>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</si>
  <si>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</si>
  <si>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</si>
  <si>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</si>
  <si>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</si>
  <si>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</si>
  <si>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</si>
  <si>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</si>
  <si>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</si>
  <si>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</si>
  <si>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</si>
  <si>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</si>
  <si>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</si>
  <si>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</si>
  <si>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</si>
  <si>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</si>
  <si>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</si>
  <si>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</si>
  <si>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</si>
  <si>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</si>
  <si>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</si>
  <si>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</si>
  <si>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</si>
  <si>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</si>
  <si>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</si>
  <si>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</si>
  <si>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</si>
  <si>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</si>
  <si>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</si>
  <si>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</si>
  <si>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</si>
  <si>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</si>
  <si>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</si>
  <si>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</si>
  <si>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</si>
  <si>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</si>
  <si>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</si>
  <si>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</si>
  <si>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</si>
  <si>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</si>
  <si>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</si>
  <si>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</si>
  <si>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</si>
  <si>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</si>
  <si>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</si>
  <si>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</si>
  <si>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</si>
  <si>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</si>
  <si>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</si>
  <si>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</si>
  <si>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</si>
  <si>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</si>
  <si>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</si>
  <si>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</si>
  <si>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</si>
  <si>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</si>
  <si>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</si>
  <si>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</si>
  <si>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</si>
  <si>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</si>
  <si>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</si>
  <si>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</si>
  <si>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</si>
  <si>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</si>
  <si>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</si>
  <si>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</si>
  <si>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</si>
  <si>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</si>
  <si>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</si>
  <si>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</si>
  <si>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</si>
  <si>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</si>
  <si>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</si>
  <si>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</si>
  <si>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</si>
  <si>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</si>
  <si>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</si>
  <si>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</si>
  <si>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</si>
  <si>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</si>
  <si>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</si>
  <si>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</si>
  <si>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</si>
  <si>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</si>
  <si>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</si>
  <si>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</si>
  <si>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</si>
  <si>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</si>
  <si>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</si>
  <si>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</si>
  <si>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</si>
  <si>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</si>
  <si>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</si>
  <si>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</si>
  <si>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</si>
  <si>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</si>
  <si>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</si>
  <si>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</si>
  <si>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</si>
  <si>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</si>
  <si>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</si>
  <si>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</si>
  <si>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</si>
  <si>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</si>
  <si>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</si>
  <si>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</si>
  <si>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</si>
  <si>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</si>
  <si>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</si>
  <si>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</si>
  <si>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</si>
  <si>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</si>
  <si>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</si>
  <si>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</si>
  <si>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</si>
  <si>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</si>
  <si>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</si>
  <si>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</si>
  <si>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</si>
  <si>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</si>
  <si>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</si>
  <si>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</si>
  <si>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</si>
  <si>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</si>
  <si>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</si>
  <si>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</si>
  <si>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</si>
  <si>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</si>
  <si>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</si>
  <si>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</si>
  <si>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</si>
  <si>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</si>
  <si>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</si>
  <si>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</si>
  <si>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</si>
  <si>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</si>
  <si>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</si>
  <si>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</si>
  <si>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</si>
  <si>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</si>
  <si>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</si>
  <si>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</si>
  <si>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</si>
  <si>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</si>
  <si>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</si>
  <si>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</si>
  <si>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</si>
  <si>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</si>
  <si>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</si>
  <si>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</si>
  <si>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</si>
  <si>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</si>
  <si>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</si>
  <si>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</si>
  <si>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</si>
  <si>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</si>
  <si>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</si>
  <si>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</si>
  <si>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</si>
  <si>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</si>
  <si>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</si>
  <si>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</si>
  <si>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</si>
  <si>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</si>
  <si>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</si>
  <si>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</si>
  <si>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</si>
  <si>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</si>
  <si>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</si>
  <si>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</si>
  <si>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</si>
  <si>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</si>
  <si>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</si>
  <si>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</si>
  <si>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</si>
  <si>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</si>
  <si>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</si>
  <si>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</si>
  <si>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</si>
  <si>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</si>
  <si>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</si>
  <si>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</si>
  <si>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</si>
  <si>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</si>
  <si>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</si>
  <si>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</si>
  <si>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</si>
  <si>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</si>
  <si>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</si>
  <si>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</si>
  <si>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</si>
  <si>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</si>
  <si>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</si>
  <si>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</si>
  <si>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</si>
  <si>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</si>
  <si>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</si>
  <si>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</si>
  <si>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</si>
  <si>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</si>
  <si>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</si>
  <si>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</si>
  <si>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</si>
  <si>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</si>
  <si>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</si>
  <si>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</si>
  <si>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</si>
  <si>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</si>
  <si>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</si>
  <si>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</si>
  <si>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</si>
  <si>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</si>
  <si>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</si>
  <si>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</si>
  <si>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</si>
  <si>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</si>
  <si>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</si>
  <si>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</si>
  <si>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</si>
  <si>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</si>
  <si>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</si>
  <si>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</si>
  <si>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</si>
  <si>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</si>
  <si>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</si>
  <si>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</si>
  <si>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</si>
  <si>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</si>
  <si>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</si>
  <si>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</si>
  <si>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</si>
  <si>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</si>
  <si>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</si>
  <si>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</si>
  <si>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</si>
  <si>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</si>
  <si>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</si>
  <si>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</si>
  <si>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</si>
  <si>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</si>
  <si>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</si>
  <si>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</si>
  <si>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</si>
  <si>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</si>
  <si>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</si>
  <si>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</si>
  <si>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</si>
  <si>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</si>
  <si>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</si>
  <si>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</si>
  <si>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</si>
  <si>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</si>
  <si>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</si>
  <si>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</si>
  <si>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</si>
  <si>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</si>
  <si>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</si>
  <si>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</si>
  <si>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</si>
  <si>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</si>
  <si>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</si>
  <si>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</si>
  <si>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</si>
  <si>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</si>
  <si>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</si>
  <si>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</si>
  <si>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</si>
  <si>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</si>
  <si>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</si>
  <si>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</si>
  <si>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</si>
  <si>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</si>
  <si>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</si>
  <si>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</si>
  <si>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</si>
  <si>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</si>
  <si>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</si>
  <si>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</si>
  <si>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</si>
  <si>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</si>
  <si>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</si>
  <si>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</si>
  <si>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</si>
  <si>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</si>
  <si>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</si>
  <si>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</si>
  <si>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</si>
  <si>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</si>
  <si>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</si>
  <si>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</si>
  <si>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</si>
  <si>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</si>
  <si>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</si>
  <si>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</si>
  <si>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</si>
  <si>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</si>
  <si>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</si>
  <si>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</si>
  <si>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</si>
  <si>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</si>
  <si>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</si>
  <si>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</si>
  <si>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</si>
  <si>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</si>
  <si>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</si>
  <si>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</si>
  <si>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</si>
  <si>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</si>
  <si>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</si>
  <si>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</si>
  <si>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</si>
  <si>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</si>
  <si>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</si>
  <si>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</si>
  <si>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</si>
  <si>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</si>
  <si>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</si>
  <si>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</si>
  <si>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</si>
  <si>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</si>
  <si>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</si>
  <si>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</si>
  <si>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</si>
  <si>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</si>
  <si>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</si>
  <si>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</si>
  <si>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</si>
  <si>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</si>
  <si>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</si>
  <si>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</si>
  <si>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</si>
  <si>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</si>
  <si>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</si>
  <si>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</si>
  <si>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</si>
  <si>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</si>
  <si>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</si>
  <si>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</si>
  <si>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</si>
  <si>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</si>
  <si>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</si>
  <si>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</si>
  <si>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</si>
  <si>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</si>
  <si>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</si>
  <si>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</si>
  <si>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</si>
  <si>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</si>
  <si>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</si>
  <si>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</si>
  <si>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</si>
  <si>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</si>
  <si>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</si>
  <si>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</si>
  <si>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</si>
  <si>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</si>
  <si>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</si>
  <si>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</si>
  <si>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</si>
  <si>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</si>
  <si>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</si>
  <si>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</si>
  <si>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</si>
  <si>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</si>
  <si>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</si>
  <si>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</si>
  <si>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</si>
  <si>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</si>
  <si>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</si>
  <si>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</si>
  <si>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</si>
  <si>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</si>
  <si>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</si>
  <si>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</si>
  <si>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</si>
  <si>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</si>
  <si>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</si>
  <si>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</si>
  <si>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</si>
  <si>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</si>
  <si>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</si>
  <si>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</si>
  <si>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</si>
  <si>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</si>
  <si>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</si>
  <si>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</si>
  <si>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</si>
  <si>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</si>
  <si>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</si>
  <si>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</si>
  <si>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</si>
  <si>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</si>
  <si>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</si>
  <si>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</si>
  <si>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</si>
  <si>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</si>
  <si>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</si>
  <si>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</si>
  <si>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</si>
  <si>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</si>
  <si>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</si>
  <si>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</si>
  <si>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</si>
  <si>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</si>
  <si>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</si>
  <si>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</si>
  <si>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</si>
  <si>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</si>
  <si>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</si>
  <si>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</si>
  <si>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</si>
  <si>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</si>
  <si>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</si>
  <si>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</si>
  <si>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CHANCE OF T'STORMS.</t>
  </si>
  <si>
    <t xml:space="preserve">PARTLY CLOUDY.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</si>
</sst>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0" fontId="34" fillId="0" borderId="18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70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71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71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71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71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71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6" thickBot="1">
      <c r="A3" s="111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SUN</v>
      </c>
      <c r="I1" s="865">
        <f>D4</f>
        <v>37094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37094</v>
      </c>
      <c r="E4" s="833">
        <f>Weather_Input!A6</f>
        <v>37095</v>
      </c>
      <c r="F4" s="833">
        <f>Weather_Input!A7</f>
        <v>37096</v>
      </c>
      <c r="G4" s="833">
        <f>Weather_Input!A8</f>
        <v>37097</v>
      </c>
      <c r="H4" s="833">
        <f>Weather_Input!A9</f>
        <v>37098</v>
      </c>
      <c r="I4" s="834">
        <f>Weather_Input!A10</f>
        <v>37099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93/70/82</v>
      </c>
      <c r="E5" s="866" t="str">
        <f>TEXT(Weather_Input!B6,"0")&amp;"/"&amp;TEXT(Weather_Input!C6,"0") &amp; "/" &amp; TEXT((Weather_Input!B6+Weather_Input!C6)/2,"0")</f>
        <v>93/73/83</v>
      </c>
      <c r="F5" s="866" t="str">
        <f>TEXT(Weather_Input!B7,"0")&amp;"/"&amp;TEXT(Weather_Input!C7,"0") &amp; "/" &amp; TEXT((Weather_Input!B7+Weather_Input!C7)/2,"0")</f>
        <v>89/63/76</v>
      </c>
      <c r="G5" s="866" t="str">
        <f>TEXT(Weather_Input!B8,"0")&amp;"/"&amp;TEXT(Weather_Input!C8,"0") &amp; "/" &amp; TEXT((Weather_Input!B8+Weather_Input!C8)/2,"0")</f>
        <v>75/60/68</v>
      </c>
      <c r="H5" s="866" t="str">
        <f>TEXT(Weather_Input!B9,"0")&amp;"/"&amp;TEXT(Weather_Input!C9,"0") &amp; "/" &amp; TEXT((Weather_Input!B9+Weather_Input!C9)/2,"0")</f>
        <v>78/61/70</v>
      </c>
      <c r="I5" s="867" t="str">
        <f>TEXT(Weather_Input!B10,"0")&amp;"/"&amp;TEXT(Weather_Input!C10,"0") &amp; "/" &amp; TEXT((Weather_Input!B10+Weather_Input!C10)/2,"0")</f>
        <v>79/63/71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29.3</v>
      </c>
      <c r="E6" s="836">
        <f ca="1">VLOOKUP(E4,NSG_Sendouts,CELL("Col",NSG_Deliveries!C6),FALSE)/1000</f>
        <v>33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34</v>
      </c>
      <c r="H6" s="836">
        <f ca="1">VLOOKUP(H4,NSG_Sendouts,CELL("Col",NSG_Deliveries!C9),FALSE)/1000</f>
        <v>34</v>
      </c>
      <c r="I6" s="841">
        <f ca="1">VLOOKUP(I4,NSG_Sendouts,CELL("Col",NSG_Deliveries!C10),FALSE)/1000</f>
        <v>32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12</v>
      </c>
      <c r="E8" s="836">
        <f>NSG_Requirements!J8/1000</f>
        <v>4.2300000000000004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41.3</v>
      </c>
      <c r="E11" s="845">
        <f t="shared" ca="1" si="1"/>
        <v>37.230000000000004</v>
      </c>
      <c r="F11" s="845">
        <f t="shared" ca="1" si="1"/>
        <v>34</v>
      </c>
      <c r="G11" s="845">
        <f t="shared" ca="1" si="1"/>
        <v>34</v>
      </c>
      <c r="H11" s="845">
        <f t="shared" ca="1" si="1"/>
        <v>34</v>
      </c>
      <c r="I11" s="846">
        <f t="shared" ca="1" si="1"/>
        <v>32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4.1920000000000002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25.234999999999999</v>
      </c>
      <c r="E19" s="836">
        <f>NSG_Supplies!Q8/1000</f>
        <v>25.234999999999999</v>
      </c>
      <c r="F19" s="836">
        <f>NSG_Supplies!Q9/1000</f>
        <v>25.234999999999999</v>
      </c>
      <c r="G19" s="836">
        <f>NSG_Supplies!Q10/1000</f>
        <v>25.234999999999999</v>
      </c>
      <c r="H19" s="836">
        <f>NSG_Supplies!Q11/1000</f>
        <v>25.234999999999999</v>
      </c>
      <c r="I19" s="837">
        <f>NSG_Supplies!Q12/1000</f>
        <v>25.234999999999999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0" t="s">
        <v>149</v>
      </c>
      <c r="B21" s="1241"/>
      <c r="C21" s="1241"/>
      <c r="D21" s="1242">
        <f t="shared" ref="D21:I21" si="2">SUM(D14:D20)</f>
        <v>41.427</v>
      </c>
      <c r="E21" s="1242">
        <f t="shared" si="2"/>
        <v>37.234999999999999</v>
      </c>
      <c r="F21" s="1242">
        <f t="shared" si="2"/>
        <v>37.234999999999999</v>
      </c>
      <c r="G21" s="1242">
        <f t="shared" si="2"/>
        <v>37.234999999999999</v>
      </c>
      <c r="H21" s="1242">
        <f t="shared" si="2"/>
        <v>37.234999999999999</v>
      </c>
      <c r="I21" s="1243">
        <f t="shared" si="2"/>
        <v>37.234999999999999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0.12700000000000244</v>
      </c>
      <c r="E22" s="877">
        <f t="shared" ca="1" si="3"/>
        <v>4.9999999999954525E-3</v>
      </c>
      <c r="F22" s="877">
        <f t="shared" ca="1" si="3"/>
        <v>3.2349999999999994</v>
      </c>
      <c r="G22" s="877">
        <f t="shared" ca="1" si="3"/>
        <v>3.2349999999999994</v>
      </c>
      <c r="H22" s="877">
        <f t="shared" ca="1" si="3"/>
        <v>3.2349999999999994</v>
      </c>
      <c r="I22" s="878">
        <f t="shared" ca="1" si="3"/>
        <v>5.2349999999999994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13.901999999999999</v>
      </c>
      <c r="E24" s="1097">
        <f>NSG_Supplies!R8/1000</f>
        <v>13.901999999999999</v>
      </c>
      <c r="F24" s="1097">
        <f>NSG_Supplies!R9/1000</f>
        <v>13.901999999999999</v>
      </c>
      <c r="G24" s="1097">
        <f>NSG_Supplies!R10/1000</f>
        <v>13.901999999999999</v>
      </c>
      <c r="H24" s="1097">
        <f>NSG_Supplies!R11/1000</f>
        <v>13.901999999999999</v>
      </c>
      <c r="I24" s="1098">
        <f>NSG_Supplies!R12/1000</f>
        <v>13.901999999999999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6</v>
      </c>
      <c r="E26" s="884">
        <f>Weather_Input!D6</f>
        <v>7</v>
      </c>
      <c r="F26" s="884">
        <f>Weather_Input!D7</f>
        <v>9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39" t="s">
        <v>9</v>
      </c>
      <c r="B1" s="1136" t="s">
        <v>9</v>
      </c>
      <c r="C1" s="1137" t="s">
        <v>695</v>
      </c>
      <c r="D1" s="1138"/>
      <c r="E1" s="1139" t="s">
        <v>9</v>
      </c>
      <c r="F1" s="1140" t="s">
        <v>741</v>
      </c>
      <c r="G1" s="1141" t="s">
        <v>9</v>
      </c>
      <c r="H1" s="1142"/>
      <c r="I1" s="1184" t="s">
        <v>9</v>
      </c>
      <c r="J1" s="583"/>
      <c r="K1" s="583"/>
      <c r="L1" s="584" t="s">
        <v>159</v>
      </c>
      <c r="M1" s="1215">
        <f>Weather_Input!A5</f>
        <v>37094</v>
      </c>
      <c r="N1" s="1216" t="str">
        <f>CHOOSE(WEEKDAY(M1),"SUN","MON","TUE","WED","THU","FRI","SAT")</f>
        <v>SUN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7"/>
      <c r="G2" s="558" t="s">
        <v>9</v>
      </c>
      <c r="H2" s="1131" t="s">
        <v>9</v>
      </c>
      <c r="I2" s="254" t="s">
        <v>509</v>
      </c>
      <c r="J2" s="1157" t="s">
        <v>387</v>
      </c>
      <c r="K2" s="1161" t="s">
        <v>162</v>
      </c>
      <c r="L2" s="1162" t="s">
        <v>21</v>
      </c>
      <c r="M2" s="1161" t="s">
        <v>162</v>
      </c>
      <c r="N2" s="1157" t="s">
        <v>21</v>
      </c>
      <c r="O2" s="1163" t="s">
        <v>162</v>
      </c>
      <c r="Q2" s="1272"/>
    </row>
    <row r="3" spans="1:17" ht="15.6">
      <c r="A3" s="420" t="s">
        <v>736</v>
      </c>
      <c r="B3" s="1176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19.652000000000001</v>
      </c>
      <c r="G3" s="383" t="s">
        <v>9</v>
      </c>
      <c r="H3" s="1131" t="s">
        <v>9</v>
      </c>
      <c r="I3" s="1185" t="s">
        <v>9</v>
      </c>
      <c r="J3" s="944">
        <f>Weather_Input!B5</f>
        <v>93</v>
      </c>
      <c r="K3" s="945">
        <f>Weather_Input!C5</f>
        <v>70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7">
        <v>0</v>
      </c>
      <c r="C4" s="119"/>
      <c r="D4" s="970"/>
      <c r="E4" s="532" t="s">
        <v>454</v>
      </c>
      <c r="F4" s="1210">
        <v>0</v>
      </c>
      <c r="G4" s="521" t="s">
        <v>9</v>
      </c>
      <c r="H4" s="1235"/>
      <c r="I4" t="s">
        <v>772</v>
      </c>
      <c r="J4" s="1044" t="s">
        <v>9</v>
      </c>
      <c r="K4" s="1258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108.172</v>
      </c>
      <c r="C5" s="1047" t="s">
        <v>9</v>
      </c>
      <c r="D5" s="344"/>
      <c r="E5" s="1195" t="s">
        <v>430</v>
      </c>
      <c r="F5" s="964">
        <f>F3+F4</f>
        <v>19.652000000000001</v>
      </c>
      <c r="G5" s="561" t="s">
        <v>9</v>
      </c>
      <c r="H5" s="1224" t="s">
        <v>9</v>
      </c>
      <c r="I5" s="1186" t="s">
        <v>397</v>
      </c>
      <c r="J5" s="1087" t="s">
        <v>9</v>
      </c>
      <c r="K5" s="1259">
        <f>PGL_Deliveries!C5/1000</f>
        <v>177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108.172</v>
      </c>
      <c r="C6" s="1051" t="s">
        <v>9</v>
      </c>
      <c r="D6" s="526"/>
      <c r="E6" s="631" t="s">
        <v>9</v>
      </c>
      <c r="F6" s="968" t="s">
        <v>35</v>
      </c>
      <c r="G6" s="969"/>
      <c r="H6" s="1132"/>
      <c r="I6" s="119" t="s">
        <v>717</v>
      </c>
      <c r="J6" s="1088"/>
      <c r="K6" s="1260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5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4.4989999999999997</v>
      </c>
      <c r="G8" s="376" t="s">
        <v>9</v>
      </c>
      <c r="H8" s="1125"/>
      <c r="I8" s="1035" t="s">
        <v>734</v>
      </c>
      <c r="J8" s="288" t="s">
        <v>9</v>
      </c>
      <c r="K8" s="1261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5"/>
      <c r="I9" s="119" t="s">
        <v>695</v>
      </c>
      <c r="J9" s="1044"/>
      <c r="K9" s="1262">
        <f>+B6</f>
        <v>108.172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4.4989999999999997</v>
      </c>
      <c r="G10" s="522"/>
      <c r="H10" s="1126"/>
      <c r="I10" s="1187" t="s">
        <v>754</v>
      </c>
      <c r="J10" s="277" t="s">
        <v>9</v>
      </c>
      <c r="K10" s="1261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7" t="s">
        <v>58</v>
      </c>
      <c r="J11" s="277" t="s">
        <v>9</v>
      </c>
      <c r="K11" s="1261">
        <f>B19</f>
        <v>-108.46299999999999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79" t="s">
        <v>9</v>
      </c>
      <c r="F12" s="1178" t="s">
        <v>773</v>
      </c>
      <c r="G12" s="354"/>
      <c r="H12" s="1130"/>
      <c r="I12" s="1187" t="s">
        <v>755</v>
      </c>
      <c r="J12" s="277" t="s">
        <v>9</v>
      </c>
      <c r="K12" s="1261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138.76</v>
      </c>
      <c r="C13" s="308"/>
      <c r="D13" s="544"/>
      <c r="E13" s="576" t="s">
        <v>462</v>
      </c>
      <c r="F13" s="1117" t="s">
        <v>9</v>
      </c>
      <c r="G13" s="569" t="s">
        <v>9</v>
      </c>
      <c r="H13" s="1133" t="s">
        <v>9</v>
      </c>
      <c r="I13" s="1187" t="s">
        <v>756</v>
      </c>
      <c r="J13" s="281" t="s">
        <v>9</v>
      </c>
      <c r="K13" s="1261">
        <f>B34</f>
        <v>202.88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4"/>
      <c r="I14" s="1187" t="s">
        <v>400</v>
      </c>
      <c r="J14" s="277" t="s">
        <v>9</v>
      </c>
      <c r="K14" s="1263">
        <f>F5</f>
        <v>19.652000000000001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5"/>
      <c r="E15" s="1181" t="s">
        <v>654</v>
      </c>
      <c r="F15" s="971"/>
      <c r="G15" s="1088"/>
      <c r="H15" s="1148"/>
      <c r="I15" s="1187" t="s">
        <v>757</v>
      </c>
      <c r="J15" s="277" t="s">
        <v>158</v>
      </c>
      <c r="K15" s="1261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0.627</v>
      </c>
      <c r="C16" s="308"/>
      <c r="D16" s="1125"/>
      <c r="E16" s="1182" t="s">
        <v>9</v>
      </c>
      <c r="F16" s="1143" t="s">
        <v>455</v>
      </c>
      <c r="G16" s="1225"/>
      <c r="H16" s="1183"/>
      <c r="I16" s="1187" t="s">
        <v>534</v>
      </c>
      <c r="J16" s="277" t="s">
        <v>158</v>
      </c>
      <c r="K16" s="1263">
        <f>PGL_Supplies!B7/1000</f>
        <v>4.2990000000000004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0.33</v>
      </c>
      <c r="C17" s="308"/>
      <c r="D17" s="1125"/>
      <c r="E17" s="537" t="s">
        <v>456</v>
      </c>
      <c r="F17" s="557">
        <f>+PGL_Supplies!J7/1000</f>
        <v>0</v>
      </c>
      <c r="G17" s="1208" t="s">
        <v>9</v>
      </c>
      <c r="H17" s="1135" t="s">
        <v>9</v>
      </c>
      <c r="I17" s="1180" t="s">
        <v>535</v>
      </c>
      <c r="J17" s="302" t="s">
        <v>9</v>
      </c>
      <c r="K17" s="1264">
        <f>-PGL_Requirements!F7/1000</f>
        <v>0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2.0813999999999999</v>
      </c>
      <c r="C18" s="344"/>
      <c r="D18" s="1126"/>
      <c r="E18" s="631" t="s">
        <v>9</v>
      </c>
      <c r="F18" s="1143" t="s">
        <v>742</v>
      </c>
      <c r="G18" s="969"/>
      <c r="H18" s="1132"/>
      <c r="I18" t="s">
        <v>771</v>
      </c>
      <c r="J18" s="1044"/>
      <c r="K18" s="1265">
        <f>-F19</f>
        <v>-28.282</v>
      </c>
      <c r="L18" s="1044"/>
      <c r="M18" s="221"/>
      <c r="N18" s="1044"/>
      <c r="O18" s="799"/>
    </row>
    <row r="19" spans="1:15" ht="16.2" thickBot="1">
      <c r="A19" s="513" t="s">
        <v>430</v>
      </c>
      <c r="B19" s="1206">
        <f>-B13+B14+B16-B17-B15+B20+B21</f>
        <v>-108.46299999999999</v>
      </c>
      <c r="C19" s="515"/>
      <c r="D19" s="527"/>
      <c r="E19" s="1144" t="s">
        <v>743</v>
      </c>
      <c r="F19" s="1209">
        <f>PGL_Requirements!J7/1000</f>
        <v>28.282</v>
      </c>
      <c r="G19" s="1033" t="s">
        <v>9</v>
      </c>
      <c r="H19" s="1145" t="s">
        <v>9</v>
      </c>
      <c r="I19" t="s">
        <v>536</v>
      </c>
      <c r="J19" s="1212"/>
      <c r="K19" s="1266">
        <f>-F24</f>
        <v>-29</v>
      </c>
      <c r="L19" s="1212"/>
      <c r="M19" s="157"/>
      <c r="N19" s="1212"/>
      <c r="O19" s="1211"/>
    </row>
    <row r="20" spans="1:15" ht="16.2" thickBot="1">
      <c r="A20" s="327" t="s">
        <v>204</v>
      </c>
      <c r="B20" s="319">
        <v>30</v>
      </c>
      <c r="C20" s="518"/>
      <c r="D20" s="1127"/>
      <c r="E20" s="119"/>
      <c r="F20" s="119"/>
      <c r="G20" s="119"/>
      <c r="H20" s="1156"/>
      <c r="I20" s="1188" t="s">
        <v>654</v>
      </c>
      <c r="J20" s="612" t="s">
        <v>9</v>
      </c>
      <c r="K20" s="1267">
        <f>SUM(K8:K19)</f>
        <v>169.25799999999998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1">
        <v>0</v>
      </c>
      <c r="C21" s="545"/>
      <c r="D21" s="1128"/>
      <c r="E21" s="1146" t="s">
        <v>744</v>
      </c>
      <c r="F21" s="1177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2" t="s">
        <v>735</v>
      </c>
      <c r="B22" s="1109">
        <f>SUM(B4)</f>
        <v>0</v>
      </c>
      <c r="C22" s="1123"/>
      <c r="D22" s="1124"/>
      <c r="E22" s="1146" t="s">
        <v>745</v>
      </c>
      <c r="F22" s="1177">
        <v>0</v>
      </c>
      <c r="G22" s="1045"/>
      <c r="H22" s="431"/>
      <c r="I22" s="1187" t="s">
        <v>592</v>
      </c>
      <c r="J22" s="277" t="s">
        <v>9</v>
      </c>
      <c r="K22" s="1268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6" t="s">
        <v>67</v>
      </c>
      <c r="D23" s="1132"/>
      <c r="E23" s="1147" t="s">
        <v>746</v>
      </c>
      <c r="F23" s="1197">
        <v>0</v>
      </c>
      <c r="G23" s="971"/>
      <c r="H23" s="1148"/>
      <c r="I23" s="1187" t="s">
        <v>403</v>
      </c>
      <c r="J23" s="277" t="s">
        <v>9</v>
      </c>
      <c r="K23" s="1261">
        <f>K5+K6-K20</f>
        <v>7.7420000000000186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5"/>
      <c r="E24" s="546" t="s">
        <v>747</v>
      </c>
      <c r="F24" s="1209">
        <f>PGL_Requirements!G7/1000*0.5</f>
        <v>29</v>
      </c>
      <c r="G24" s="1033"/>
      <c r="H24" s="1016"/>
      <c r="I24" s="1189" t="s">
        <v>404</v>
      </c>
      <c r="J24" s="277" t="s">
        <v>9</v>
      </c>
      <c r="K24" s="1261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5"/>
      <c r="D25" s="1125"/>
      <c r="E25" s="1149" t="s">
        <v>748</v>
      </c>
      <c r="F25" s="1198"/>
      <c r="G25" s="1150"/>
      <c r="H25" s="1151"/>
      <c r="I25" s="1187" t="s">
        <v>405</v>
      </c>
      <c r="J25" s="950" t="s">
        <v>9</v>
      </c>
      <c r="K25" s="1269">
        <f>SUM(B18+B20+B21)</f>
        <v>32.081400000000002</v>
      </c>
      <c r="L25" s="951"/>
      <c r="M25" s="1223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5"/>
      <c r="E26" s="119"/>
      <c r="F26" s="1062"/>
      <c r="G26" s="119"/>
      <c r="H26" s="158"/>
      <c r="I26" s="1190" t="s">
        <v>406</v>
      </c>
      <c r="J26" s="953" t="s">
        <v>9</v>
      </c>
      <c r="K26" s="1270">
        <f>SUM(K23:K25)</f>
        <v>39.823400000000021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5"/>
      <c r="E27" s="1144" t="s">
        <v>749</v>
      </c>
      <c r="F27" s="1196"/>
      <c r="G27" s="1033"/>
      <c r="H27" s="1145"/>
      <c r="I27" s="1191" t="s">
        <v>686</v>
      </c>
      <c r="J27" s="956"/>
      <c r="K27" s="1268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7" t="s">
        <v>414</v>
      </c>
      <c r="J28" s="960"/>
      <c r="K28" s="1264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1" t="s">
        <v>399</v>
      </c>
      <c r="C29" s="354"/>
      <c r="D29" s="355"/>
      <c r="E29" s="1152" t="s">
        <v>447</v>
      </c>
      <c r="F29" s="1197"/>
      <c r="G29" s="971"/>
      <c r="H29" s="1153"/>
      <c r="I29" s="1187" t="s">
        <v>415</v>
      </c>
      <c r="J29" s="961"/>
      <c r="K29" s="1271">
        <f>-PGL_Supplies!K7/1000</f>
        <v>-23.53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5" t="s">
        <v>750</v>
      </c>
      <c r="F30" s="1177"/>
      <c r="G30" s="1045"/>
      <c r="H30" s="1129"/>
      <c r="I30" s="1192" t="s">
        <v>183</v>
      </c>
      <c r="J30" s="1158"/>
      <c r="K30" s="1260">
        <f>-PGL_Supplies!AB7/1000</f>
        <v>-20.352</v>
      </c>
      <c r="L30" s="1159"/>
      <c r="M30" s="1061">
        <f>-PGL_Supplies!AB7/1000</f>
        <v>-20.352</v>
      </c>
      <c r="N30" s="1160"/>
      <c r="O30" s="1220">
        <f>-PGL_Supplies!AB7/1000</f>
        <v>-20.352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199"/>
      <c r="G31" s="1043"/>
      <c r="H31" s="1154"/>
      <c r="I31" s="324" t="s">
        <v>188</v>
      </c>
      <c r="J31" s="323"/>
      <c r="K31" s="1166"/>
      <c r="L31" s="1167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192.88</v>
      </c>
      <c r="C32" s="966" t="s">
        <v>9</v>
      </c>
      <c r="D32" s="967" t="s">
        <v>9</v>
      </c>
      <c r="E32" s="546" t="s">
        <v>752</v>
      </c>
      <c r="F32" s="1200"/>
      <c r="G32" s="425"/>
      <c r="H32" s="1016"/>
      <c r="I32" s="1191" t="s">
        <v>438</v>
      </c>
      <c r="J32" s="518"/>
      <c r="K32" s="1227"/>
      <c r="L32" s="1207" t="s">
        <v>758</v>
      </c>
      <c r="M32" s="119"/>
      <c r="N32" s="1234"/>
      <c r="O32" s="1232"/>
    </row>
    <row r="33" spans="1:15" ht="15.6" thickBot="1">
      <c r="A33" s="1116" t="s">
        <v>587</v>
      </c>
      <c r="B33" s="966">
        <f>PGL_Supplies!S7/1000</f>
        <v>20</v>
      </c>
      <c r="C33" s="966" t="s">
        <v>9</v>
      </c>
      <c r="D33" s="970"/>
      <c r="E33" s="119"/>
      <c r="F33" s="119"/>
      <c r="G33" s="119"/>
      <c r="H33" s="158"/>
      <c r="I33" s="1193" t="s">
        <v>439</v>
      </c>
      <c r="J33" s="1231"/>
      <c r="K33" s="1228"/>
      <c r="L33" s="1168" t="s">
        <v>447</v>
      </c>
      <c r="M33" s="1046"/>
      <c r="N33" s="1044"/>
      <c r="O33" s="799"/>
    </row>
    <row r="34" spans="1:15" ht="16.2" thickBot="1">
      <c r="A34" s="1171" t="s">
        <v>650</v>
      </c>
      <c r="B34" s="1196">
        <f>-B30+B31+B32+B33*0.5</f>
        <v>202.88</v>
      </c>
      <c r="C34" s="1033"/>
      <c r="D34" s="1018" t="s">
        <v>9</v>
      </c>
      <c r="E34" s="1247" t="s">
        <v>760</v>
      </c>
      <c r="F34" s="119"/>
      <c r="G34" s="119"/>
      <c r="H34" s="158"/>
      <c r="I34" s="1194" t="s">
        <v>440</v>
      </c>
      <c r="J34" s="544"/>
      <c r="K34" s="1229"/>
      <c r="L34" s="1168" t="s">
        <v>448</v>
      </c>
      <c r="M34" s="1046"/>
      <c r="N34" s="1044"/>
      <c r="O34" s="799"/>
    </row>
    <row r="35" spans="1:15">
      <c r="A35" s="1111" t="s">
        <v>768</v>
      </c>
      <c r="B35" s="1021"/>
      <c r="C35" s="1021"/>
      <c r="D35" s="1019" t="s">
        <v>9</v>
      </c>
      <c r="E35" s="1247" t="s">
        <v>807</v>
      </c>
      <c r="F35" s="119"/>
      <c r="G35" s="119"/>
      <c r="H35" s="158"/>
      <c r="I35" s="1194" t="s">
        <v>441</v>
      </c>
      <c r="J35" s="544"/>
      <c r="K35" s="1228"/>
      <c r="L35" s="1169" t="s">
        <v>449</v>
      </c>
      <c r="M35" s="1046"/>
      <c r="N35" s="1044"/>
      <c r="O35" s="799"/>
    </row>
    <row r="36" spans="1:15">
      <c r="A36" s="1112" t="s">
        <v>769</v>
      </c>
      <c r="B36" s="319">
        <f>B34-B35-B37</f>
        <v>173.88</v>
      </c>
      <c r="C36" s="1022" t="s">
        <v>9</v>
      </c>
      <c r="D36" s="1020" t="s">
        <v>9</v>
      </c>
      <c r="E36" s="1247" t="s">
        <v>759</v>
      </c>
      <c r="F36" s="119"/>
      <c r="G36" s="119"/>
      <c r="H36" s="158"/>
      <c r="I36" s="1194" t="s">
        <v>442</v>
      </c>
      <c r="J36" s="544"/>
      <c r="K36" s="1228"/>
      <c r="L36" s="1169" t="s">
        <v>381</v>
      </c>
      <c r="M36" s="1046"/>
      <c r="N36" s="1044"/>
      <c r="O36" s="799"/>
    </row>
    <row r="37" spans="1:15">
      <c r="A37" s="1113" t="s">
        <v>770</v>
      </c>
      <c r="B37" s="1218">
        <f>F24</f>
        <v>29</v>
      </c>
      <c r="C37" s="1044"/>
      <c r="D37" s="1105" t="s">
        <v>9</v>
      </c>
      <c r="E37" s="119"/>
      <c r="F37" s="119"/>
      <c r="G37" s="119"/>
      <c r="H37" s="119"/>
      <c r="I37" s="1217" t="s">
        <v>443</v>
      </c>
      <c r="J37" s="544"/>
      <c r="K37" s="1228"/>
      <c r="L37" s="1170" t="s">
        <v>450</v>
      </c>
      <c r="M37" s="1046"/>
      <c r="N37" s="1044"/>
      <c r="O37" s="799"/>
    </row>
    <row r="38" spans="1:15">
      <c r="A38" s="1245" t="s">
        <v>806</v>
      </c>
      <c r="B38" s="1177">
        <f>PGL_Requirements!J7/1000</f>
        <v>28.282</v>
      </c>
      <c r="C38" s="1045"/>
      <c r="D38" s="970"/>
      <c r="E38" s="119"/>
      <c r="F38" s="119"/>
      <c r="G38" s="119"/>
      <c r="H38" s="119"/>
      <c r="I38" s="1213" t="s">
        <v>444</v>
      </c>
      <c r="J38" s="544"/>
      <c r="K38" s="1228"/>
      <c r="L38" s="589" t="s">
        <v>451</v>
      </c>
      <c r="M38" s="119"/>
      <c r="N38" s="1249"/>
      <c r="O38" s="1250"/>
    </row>
    <row r="39" spans="1:15" ht="16.2" thickBot="1">
      <c r="A39" s="1118" t="s">
        <v>2</v>
      </c>
      <c r="B39" s="1219">
        <f>B35+B36+B37+B38</f>
        <v>231.16200000000001</v>
      </c>
      <c r="C39" s="1119"/>
      <c r="D39" s="1120" t="s">
        <v>9</v>
      </c>
      <c r="E39" s="119"/>
      <c r="F39" s="119"/>
      <c r="G39" s="119"/>
      <c r="H39" s="119"/>
      <c r="I39" s="1214" t="s">
        <v>445</v>
      </c>
      <c r="J39" s="579"/>
      <c r="K39" s="1230"/>
      <c r="L39" s="1251" t="s">
        <v>808</v>
      </c>
      <c r="M39" s="1089"/>
      <c r="N39" s="1252"/>
      <c r="O39" s="1233"/>
    </row>
    <row r="40" spans="1:15" ht="16.8" thickTop="1" thickBot="1">
      <c r="A40" s="1246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2"/>
      <c r="L40" s="1248" t="s">
        <v>210</v>
      </c>
      <c r="M40" s="1253"/>
      <c r="N40" s="117" t="s">
        <v>9</v>
      </c>
      <c r="O40" s="1173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4"/>
      <c r="K41" s="1174"/>
      <c r="L41" s="1175"/>
      <c r="M41" s="778"/>
      <c r="N41" s="778"/>
      <c r="O41" s="778"/>
    </row>
    <row r="42" spans="1:15">
      <c r="A42" s="1114"/>
      <c r="B42" s="119"/>
      <c r="C42" s="119"/>
      <c r="D42" s="1115"/>
      <c r="I42" s="119"/>
      <c r="J42" s="1164"/>
      <c r="K42" s="589"/>
      <c r="L42" s="1165"/>
    </row>
    <row r="43" spans="1:15">
      <c r="I43" s="119"/>
      <c r="J43" s="1164"/>
      <c r="K43" s="589"/>
      <c r="L43" s="1165"/>
    </row>
    <row r="44" spans="1:15">
      <c r="I44" s="119"/>
      <c r="J44" s="8"/>
      <c r="K44" s="8"/>
      <c r="L44" s="116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SUN</v>
      </c>
      <c r="G1" s="1222">
        <f>Weather_Input!A5</f>
        <v>37094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 t="s">
        <v>9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93</v>
      </c>
      <c r="C4" s="750">
        <f>Weather_Input!C5</f>
        <v>70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29.3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29.3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29.3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-4.1920000000000002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-25.234999999999999</v>
      </c>
      <c r="D25" s="710"/>
      <c r="E25" s="703">
        <f>-NSG_Supplies!Q7/1000</f>
        <v>-25.234999999999999</v>
      </c>
      <c r="F25" s="710"/>
      <c r="G25" s="703">
        <f>-NSG_Supplies!Q7/1000</f>
        <v>-25.234999999999999</v>
      </c>
      <c r="H25" s="709"/>
      <c r="I25" s="766">
        <f>-NSG_Supplies!Q7/1000</f>
        <v>-25.234999999999999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12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37094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93</v>
      </c>
      <c r="C5" s="261">
        <f>Weather_Input!C5</f>
        <v>70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177</v>
      </c>
      <c r="C8" s="269">
        <f>NSG_Deliveries!C5/1000</f>
        <v>29.3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114.94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19.652000000000001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-30.587999999999994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0.627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4.2990000000000004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29.3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2.0813999999999999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29.3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0.33</v>
      </c>
      <c r="C27" s="305">
        <f>NSG_Requirements!P7/1000</f>
        <v>0</v>
      </c>
      <c r="D27" s="305">
        <f>PGL_Requirements!Q7/1000</f>
        <v>0.33</v>
      </c>
      <c r="E27" s="305">
        <f>NSG_Requirements!P7/1000</f>
        <v>0</v>
      </c>
      <c r="F27" s="305">
        <f>PGL_Requirements!Q7/1000</f>
        <v>0.33</v>
      </c>
      <c r="G27" s="305">
        <f>NSG_Requirements!P7/1000</f>
        <v>0</v>
      </c>
      <c r="H27" s="306">
        <f>+B27</f>
        <v>0.33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-20.352</v>
      </c>
      <c r="C32" s="310">
        <f>-NSG_Supplies!Q7/1000</f>
        <v>-25.234999999999999</v>
      </c>
      <c r="D32" s="310">
        <f>B32</f>
        <v>-20.352</v>
      </c>
      <c r="E32" s="310">
        <f>C32</f>
        <v>-25.234999999999999</v>
      </c>
      <c r="F32" s="310">
        <f>B32</f>
        <v>-20.352</v>
      </c>
      <c r="G32" s="310">
        <f>C32</f>
        <v>-25.234999999999999</v>
      </c>
      <c r="H32" s="315">
        <f>B32</f>
        <v>-20.352</v>
      </c>
      <c r="I32" s="316">
        <f>C32</f>
        <v>-25.234999999999999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-13.901999999999999</v>
      </c>
      <c r="D33" s="310">
        <f>B33</f>
        <v>0</v>
      </c>
      <c r="E33" s="310">
        <f>C33</f>
        <v>-13.901999999999999</v>
      </c>
      <c r="F33" s="310">
        <f>B33</f>
        <v>0</v>
      </c>
      <c r="G33" s="310">
        <f>C33</f>
        <v>-13.901999999999999</v>
      </c>
      <c r="H33" s="315">
        <f>B33</f>
        <v>0</v>
      </c>
      <c r="I33" s="316">
        <f>C33</f>
        <v>-13.901999999999999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-23.53</v>
      </c>
      <c r="C36" s="310">
        <f>-NSG_Supplies!F7/1000</f>
        <v>-4.1920000000000002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138.76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0.627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2.0813999999999999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2.0813999999999999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0.627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114.94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114.94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108.172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138.76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4.4989999999999997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-30.587999999999994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SUN</v>
      </c>
      <c r="H73" s="401">
        <f>Weather_Input!A5</f>
        <v>37094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0.627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114.94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108.172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4.2990000000000004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-13.901999999999999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114.94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114.94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138.76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0.627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2.0813999999999999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0.627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29929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4.4989999999999997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4.4989999999999997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108.172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108.172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37095.497704976849</v>
      </c>
      <c r="F22" s="161" t="s">
        <v>257</v>
      </c>
      <c r="G22" s="188">
        <f ca="1">NOW()</f>
        <v>37095.497704976849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37094</v>
      </c>
      <c r="C5" s="15"/>
      <c r="D5" s="22" t="s">
        <v>275</v>
      </c>
      <c r="E5" s="23">
        <f>Weather_Input!B5</f>
        <v>93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70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79.599999999999994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PARTLY CLOUDY.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37095</v>
      </c>
      <c r="C10" s="15"/>
      <c r="D10" s="150" t="s">
        <v>275</v>
      </c>
      <c r="E10" s="23">
        <f>Weather_Input!B6</f>
        <v>93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73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83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PARTLY CLOUDY.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37096</v>
      </c>
      <c r="C15" s="15"/>
      <c r="D15" s="22" t="s">
        <v>275</v>
      </c>
      <c r="E15" s="23">
        <f>Weather_Input!B7</f>
        <v>89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63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76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>CHANCE OF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37097</v>
      </c>
      <c r="C20" s="15"/>
      <c r="D20" s="22" t="s">
        <v>275</v>
      </c>
      <c r="E20" s="23">
        <f>Weather_Input!B8</f>
        <v>75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67.5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>CHANCE OF T'STORMS.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37098</v>
      </c>
      <c r="C25" s="15"/>
      <c r="D25" s="22" t="s">
        <v>275</v>
      </c>
      <c r="E25" s="23">
        <f>Weather_Input!B9</f>
        <v>78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61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69.5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>CHANCE OF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37099</v>
      </c>
      <c r="C30" s="15"/>
      <c r="D30" s="22" t="s">
        <v>275</v>
      </c>
      <c r="E30" s="23">
        <f>Weather_Input!B10</f>
        <v>79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162</v>
      </c>
      <c r="E31" s="23">
        <f>Weather_Input!C10</f>
        <v>63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4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71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281</v>
      </c>
    </row>
    <row r="33" spans="1:9" ht="15">
      <c r="A33" s="15"/>
      <c r="B33" s="34"/>
      <c r="C33" s="15"/>
      <c r="D33" s="32" t="str">
        <f>IF(Weather_Input!I10=""," ",Weather_Input!I10)</f>
        <v>CHANCE OF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37094</v>
      </c>
      <c r="C36" s="89">
        <f>B10</f>
        <v>37095</v>
      </c>
      <c r="D36" s="89">
        <f>B15</f>
        <v>37096</v>
      </c>
      <c r="E36" s="89">
        <f xml:space="preserve">       B20</f>
        <v>37097</v>
      </c>
      <c r="F36" s="89">
        <f>B25</f>
        <v>37098</v>
      </c>
      <c r="G36" s="89">
        <f>B30</f>
        <v>37099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177</v>
      </c>
      <c r="C37" s="41">
        <f ca="1">(VLOOKUP(C36,PGL_Sendouts,(CELL("COL",PGL_Deliveries!C7))))/1000</f>
        <v>190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380.1524</v>
      </c>
      <c r="C38" s="41">
        <f>PGL_6_Day_Report!E25</f>
        <v>488.86400000000003</v>
      </c>
      <c r="D38" s="41">
        <f>PGL_6_Day_Report!F25</f>
        <v>369.29900000000004</v>
      </c>
      <c r="E38" s="41">
        <f>PGL_6_Day_Report!G25</f>
        <v>334.29900000000004</v>
      </c>
      <c r="F38" s="41">
        <f>PGL_6_Day_Report!H25</f>
        <v>334.29900000000004</v>
      </c>
      <c r="G38" s="41">
        <f>PGL_6_Day_Report!I25</f>
        <v>324.29900000000004</v>
      </c>
      <c r="H38" s="14"/>
      <c r="I38" s="15"/>
    </row>
    <row r="39" spans="1:9" ht="15">
      <c r="A39" s="42" t="s">
        <v>104</v>
      </c>
      <c r="B39" s="41">
        <f>SUM(PGL_Supplies!Y7:AD7)/1000</f>
        <v>217.93100000000001</v>
      </c>
      <c r="C39" s="41">
        <f>SUM(PGL_Supplies!Y8:AD8)/1000</f>
        <v>217.93100000000001</v>
      </c>
      <c r="D39" s="41">
        <f>SUM(PGL_Supplies!Y9:AD9)/1000</f>
        <v>217.93100000000001</v>
      </c>
      <c r="E39" s="41">
        <f>SUM(PGL_Supplies!Y10:AD10)/1000</f>
        <v>217.93100000000001</v>
      </c>
      <c r="F39" s="41">
        <f>SUM(PGL_Supplies!Y11:AD11)/1000</f>
        <v>217.93100000000001</v>
      </c>
      <c r="G39" s="41">
        <f>SUM(PGL_Supplies!Y12:AD12)/1000</f>
        <v>217.93100000000001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0.53</v>
      </c>
      <c r="C41" s="41">
        <f>SUM(PGL_Requirements!Q7:T7)/1000</f>
        <v>0.53</v>
      </c>
      <c r="D41" s="41">
        <f>SUM(PGL_Requirements!Q7:T7)/1000</f>
        <v>0.53</v>
      </c>
      <c r="E41" s="41">
        <f>SUM(PGL_Requirements!Q7:T7)/1000</f>
        <v>0.53</v>
      </c>
      <c r="F41" s="41">
        <f>SUM(PGL_Requirements!Q7:T7)/1000</f>
        <v>0.53</v>
      </c>
      <c r="G41" s="41">
        <f>SUM(PGL_Requirements!Q7:T7)/1000</f>
        <v>0.53</v>
      </c>
      <c r="H41" s="14"/>
      <c r="I41" s="15"/>
    </row>
    <row r="42" spans="1:9" ht="15">
      <c r="A42" s="15" t="s">
        <v>127</v>
      </c>
      <c r="B42" s="41">
        <f>PGL_Supplies!U7/1000</f>
        <v>114.94</v>
      </c>
      <c r="C42" s="41">
        <f>PGL_Supplies!U8/1000</f>
        <v>114.94</v>
      </c>
      <c r="D42" s="41">
        <f>PGL_Supplies!U9/1000</f>
        <v>114.94</v>
      </c>
      <c r="E42" s="41">
        <f>PGL_Supplies!U10/1000</f>
        <v>114.94</v>
      </c>
      <c r="F42" s="41">
        <f>PGL_Supplies!U11/1000</f>
        <v>114.94</v>
      </c>
      <c r="G42" s="41">
        <f>PGL_Supplies!U12/1000</f>
        <v>114.94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37094</v>
      </c>
      <c r="C44" s="89">
        <f t="shared" si="0"/>
        <v>37095</v>
      </c>
      <c r="D44" s="89">
        <f t="shared" si="0"/>
        <v>37096</v>
      </c>
      <c r="E44" s="89">
        <f t="shared" si="0"/>
        <v>37097</v>
      </c>
      <c r="F44" s="89">
        <f t="shared" si="0"/>
        <v>37098</v>
      </c>
      <c r="G44" s="89">
        <f t="shared" si="0"/>
        <v>37099</v>
      </c>
      <c r="H44" s="14"/>
      <c r="I44" s="15"/>
    </row>
    <row r="45" spans="1:9" ht="15">
      <c r="A45" s="15" t="s">
        <v>54</v>
      </c>
      <c r="B45" s="41">
        <f ca="1">NSG_6_Day_Report!D6</f>
        <v>29.3</v>
      </c>
      <c r="C45" s="41">
        <f ca="1">NSG_6_Day_Report!E6</f>
        <v>33</v>
      </c>
      <c r="D45" s="41">
        <f ca="1">NSG_6_Day_Report!F6</f>
        <v>34</v>
      </c>
      <c r="E45" s="41">
        <f ca="1">NSG_6_Day_Report!G6</f>
        <v>34</v>
      </c>
      <c r="F45" s="41">
        <f ca="1">NSG_6_Day_Report!H6</f>
        <v>34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41.3</v>
      </c>
      <c r="C46" s="41">
        <f ca="1">NSG_6_Day_Report!E11</f>
        <v>37.230000000000004</v>
      </c>
      <c r="D46" s="41">
        <f ca="1">NSG_6_Day_Report!F11</f>
        <v>34</v>
      </c>
      <c r="E46" s="41">
        <f ca="1">NSG_6_Day_Report!G11</f>
        <v>34</v>
      </c>
      <c r="F46" s="41">
        <f ca="1">NSG_6_Day_Report!H11</f>
        <v>34</v>
      </c>
      <c r="G46" s="41">
        <f ca="1">NSG_6_Day_Report!I11</f>
        <v>32</v>
      </c>
      <c r="H46" s="14"/>
      <c r="I46" s="15"/>
    </row>
    <row r="47" spans="1:9" ht="15">
      <c r="A47" s="42" t="s">
        <v>104</v>
      </c>
      <c r="B47" s="41">
        <f>SUM(NSG_Supplies!O7:Q7)/1000</f>
        <v>37.234999999999999</v>
      </c>
      <c r="C47" s="41">
        <f>SUM(NSG_Supplies!O8:Q8)/1000</f>
        <v>37.234999999999999</v>
      </c>
      <c r="D47" s="41">
        <f>SUM(NSG_Supplies!O9:Q9)/1000</f>
        <v>37.234999999999999</v>
      </c>
      <c r="E47" s="41">
        <f>SUM(NSG_Supplies!O10:Q10)/1000</f>
        <v>37.234999999999999</v>
      </c>
      <c r="F47" s="41">
        <f>SUM(NSG_Supplies!O11:Q11)/1000</f>
        <v>37.234999999999999</v>
      </c>
      <c r="G47" s="41">
        <f>SUM(NSG_Supplies!O12:Q12)/1000</f>
        <v>37.234999999999999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13.901999999999999</v>
      </c>
      <c r="C50" s="41">
        <f>NSG_Supplies!R8/1000</f>
        <v>13.901999999999999</v>
      </c>
      <c r="D50" s="41">
        <f>NSG_Supplies!R9/1000</f>
        <v>13.901999999999999</v>
      </c>
      <c r="E50" s="41">
        <f>NSG_Supplies!R10/1000</f>
        <v>13.901999999999999</v>
      </c>
      <c r="F50" s="41">
        <f>NSG_Supplies!R11/1000</f>
        <v>13.901999999999999</v>
      </c>
      <c r="G50" s="41">
        <f>NSG_Supplies!R12/1000</f>
        <v>13.901999999999999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37094</v>
      </c>
      <c r="C52" s="89">
        <f t="shared" si="1"/>
        <v>37095</v>
      </c>
      <c r="D52" s="89">
        <f t="shared" si="1"/>
        <v>37096</v>
      </c>
      <c r="E52" s="89">
        <f t="shared" si="1"/>
        <v>37097</v>
      </c>
      <c r="F52" s="89">
        <f t="shared" si="1"/>
        <v>37098</v>
      </c>
      <c r="G52" s="89">
        <f t="shared" si="1"/>
        <v>37099</v>
      </c>
      <c r="H52" s="14"/>
      <c r="I52" s="15"/>
    </row>
    <row r="53" spans="1:9" ht="15">
      <c r="A53" s="92" t="s">
        <v>290</v>
      </c>
      <c r="B53" s="41">
        <f>PGL_Requirements!O7/1000</f>
        <v>138.76</v>
      </c>
      <c r="C53" s="41">
        <f>PGL_Requirements!O8/1000</f>
        <v>100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Monday</v>
      </c>
      <c r="C4" s="1066" t="str">
        <f>Six_Day_Summary!A15</f>
        <v>Tuesday</v>
      </c>
      <c r="D4" s="1066" t="str">
        <f>Six_Day_Summary!A20</f>
        <v>Wednesday</v>
      </c>
      <c r="E4" s="1066" t="str">
        <f>Six_Day_Summary!A25</f>
        <v>Thursday</v>
      </c>
      <c r="F4" s="1067" t="str">
        <f>Six_Day_Summary!A30</f>
        <v>Friday</v>
      </c>
      <c r="G4" s="98"/>
    </row>
    <row r="5" spans="1:8">
      <c r="A5" s="101" t="s">
        <v>297</v>
      </c>
      <c r="B5" s="1068">
        <f>Weather_Input!A6</f>
        <v>37095</v>
      </c>
      <c r="C5" s="1069">
        <f>Weather_Input!A7</f>
        <v>37096</v>
      </c>
      <c r="D5" s="1069">
        <f>Weather_Input!A8</f>
        <v>37097</v>
      </c>
      <c r="E5" s="1069">
        <f>Weather_Input!A9</f>
        <v>37098</v>
      </c>
      <c r="F5" s="1070">
        <f>Weather_Input!A10</f>
        <v>37099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101.212</v>
      </c>
      <c r="C6" s="1071">
        <f>PGL_Supplies!AB9/1000+PGL_Supplies!K9/1000-PGL_Requirements!N9/1000+C15-PGL_Requirements!S9/1000</f>
        <v>20.352</v>
      </c>
      <c r="D6" s="1071">
        <f>PGL_Supplies!AB10/1000+PGL_Supplies!K10/1000-PGL_Requirements!N10/1000+D15-PGL_Requirements!S10/1000</f>
        <v>20.352</v>
      </c>
      <c r="E6" s="1071">
        <f>PGL_Supplies!AB11/1000+PGL_Supplies!K11/1000-PGL_Requirements!N11/1000+E15-PGL_Requirements!S11/1000</f>
        <v>20.352</v>
      </c>
      <c r="F6" s="1072">
        <f>PGL_Supplies!AB12/1000+PGL_Supplies!K12/1000-PGL_Requirements!N12/1000+F15-PGL_Requirements!S12/1000</f>
        <v>20.352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6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Monday</v>
      </c>
      <c r="C21" s="1081" t="str">
        <f t="shared" si="0"/>
        <v>Tuesday</v>
      </c>
      <c r="D21" s="1081" t="str">
        <f t="shared" si="0"/>
        <v>Wednesday</v>
      </c>
      <c r="E21" s="1081" t="str">
        <f t="shared" si="0"/>
        <v>Thursday</v>
      </c>
      <c r="F21" s="1082" t="str">
        <f t="shared" si="0"/>
        <v>Friday</v>
      </c>
      <c r="G21" s="98"/>
    </row>
    <row r="22" spans="1:7">
      <c r="A22" s="105" t="s">
        <v>297</v>
      </c>
      <c r="B22" s="1083">
        <f t="shared" si="0"/>
        <v>37095</v>
      </c>
      <c r="C22" s="1083">
        <f t="shared" si="0"/>
        <v>37096</v>
      </c>
      <c r="D22" s="1083">
        <f t="shared" si="0"/>
        <v>37097</v>
      </c>
      <c r="E22" s="1083">
        <f t="shared" si="0"/>
        <v>37098</v>
      </c>
      <c r="F22" s="1084">
        <f t="shared" si="0"/>
        <v>37099</v>
      </c>
      <c r="G22" s="98"/>
    </row>
    <row r="23" spans="1:7">
      <c r="A23" s="98" t="s">
        <v>298</v>
      </c>
      <c r="B23" s="1077">
        <f>NSG_Supplies!Q8/1000+NSG_Supplies!F8/1000-NSG_Requirements!H8/1000</f>
        <v>25.234999999999999</v>
      </c>
      <c r="C23" s="1077">
        <f>NSG_Supplies!Q9/1000+NSG_Supplies!F9/1000-NSG_Requirements!H9/1000</f>
        <v>25.234999999999999</v>
      </c>
      <c r="D23" s="1077">
        <f>NSG_Supplies!Q10/1000+NSG_Supplies!F10/1000-NSG_Requirements!H10/1000</f>
        <v>25.234999999999999</v>
      </c>
      <c r="E23" s="1077">
        <f>NSG_Supplies!Q12/1000+NSG_Supplies!F11/1000-NSG_Requirements!H11/1000</f>
        <v>25.234999999999999</v>
      </c>
      <c r="F23" s="1072">
        <f>NSG_Supplies!Q12/1000+NSG_Supplies!F12/1000-NSG_Requirements!H12/1000</f>
        <v>25.234999999999999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 t="s">
        <v>9</v>
      </c>
      <c r="B1" s="796" t="s">
        <v>359</v>
      </c>
      <c r="C1" s="892">
        <f>Weather_Input!A6</f>
        <v>37095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4.2300000000000004</v>
      </c>
      <c r="E4" s="789"/>
      <c r="F4" s="169" t="s">
        <v>520</v>
      </c>
      <c r="G4" s="60"/>
      <c r="H4" s="151">
        <f>PGL_Requirements!O8/1000</f>
        <v>100</v>
      </c>
      <c r="I4" s="173">
        <f>AVERAGE(H4/1.025)</f>
        <v>97.560975609756099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7.77</v>
      </c>
      <c r="D5" s="433"/>
      <c r="E5" s="435">
        <f>AVERAGE(C5/24)</f>
        <v>0.32374999999999998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4.166666666666667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31.8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192.88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108.172</v>
      </c>
      <c r="D11" s="778"/>
      <c r="E11" s="1056"/>
      <c r="F11" s="430" t="s">
        <v>356</v>
      </c>
      <c r="G11" s="442">
        <f>G8+G10</f>
        <v>224.68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108.172</v>
      </c>
      <c r="D14" s="433"/>
      <c r="E14" s="435">
        <f>AVERAGE(C14/24)</f>
        <v>4.5071666666666665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-54.41</v>
      </c>
      <c r="H15" s="433" t="s">
        <v>9</v>
      </c>
      <c r="I15" s="435">
        <f>AVERAGE(G15/24)</f>
        <v>-2.2670833333333333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174.09</v>
      </c>
      <c r="H16" s="443" t="s">
        <v>9</v>
      </c>
      <c r="I16" s="435">
        <f>AVERAGE(G16/24)</f>
        <v>7.2537500000000001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443">
        <f>PGL_Requirements!J8/1000</f>
        <v>105</v>
      </c>
      <c r="H17" s="1024"/>
      <c r="I17" s="1104">
        <f>AVERAGE(G17/24)</f>
        <v>4.375</v>
      </c>
    </row>
    <row r="18" spans="1:9" ht="15.75" customHeight="1">
      <c r="B18" s="1255"/>
      <c r="C18" s="1256"/>
      <c r="D18" s="624"/>
      <c r="E18" s="1257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5"/>
      <c r="C19" s="624"/>
      <c r="D19" s="1256"/>
      <c r="E19" s="1257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4.4989999999999997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4.4989999999999997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4.4989999999999997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37095</v>
      </c>
      <c r="I1" s="914"/>
      <c r="J1" s="916"/>
      <c r="K1" s="916"/>
    </row>
    <row r="2" spans="1:22" ht="16.5" customHeight="1">
      <c r="A2" s="934" t="s">
        <v>641</v>
      </c>
      <c r="C2" s="982">
        <v>372</v>
      </c>
      <c r="F2" s="983">
        <v>376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7.77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25.234999999999999</v>
      </c>
      <c r="I9" s="987"/>
      <c r="K9" s="914" t="s">
        <v>645</v>
      </c>
      <c r="L9" s="936">
        <f>NSG_Deliveries!C6/1000</f>
        <v>33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4.9999999999954525E-3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108.172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377</v>
      </c>
      <c r="F15" s="988">
        <v>377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663</v>
      </c>
      <c r="D18" s="990"/>
      <c r="E18" s="990"/>
      <c r="F18" s="983">
        <v>793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-54.41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28.282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190</v>
      </c>
      <c r="L26" s="914" t="s">
        <v>645</v>
      </c>
      <c r="M26" s="936">
        <f>NSG_Deliveries!C6/1000</f>
        <v>33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-204.32800000000003</v>
      </c>
      <c r="L28" s="917" t="s">
        <v>689</v>
      </c>
      <c r="M28" s="942">
        <f>SUM(J2+K17+K19+H11+H9-M26)</f>
        <v>4.2349999999999994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37094</v>
      </c>
      <c r="G29" s="936">
        <f>PGL_Requirements!G7/1000</f>
        <v>58</v>
      </c>
      <c r="H29" s="915"/>
      <c r="J29" s="917" t="s">
        <v>649</v>
      </c>
      <c r="K29" s="936">
        <f>PGL_Supplies!AB8/1000+PGL_Supplies!K8/1000-PGL_Requirements!N8/1000</f>
        <v>101.212</v>
      </c>
    </row>
    <row r="30" spans="1:17" ht="10.5" customHeight="1">
      <c r="A30" s="919"/>
      <c r="B30" s="936"/>
      <c r="C30" s="917"/>
      <c r="D30" s="936"/>
      <c r="F30" s="1041">
        <f>PGL_Requirements!A8</f>
        <v>37095</v>
      </c>
      <c r="G30" s="936">
        <f>PGL_Requirements!G8/1000</f>
        <v>174.09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-293.11600000000004</v>
      </c>
    </row>
    <row r="32" spans="1:17">
      <c r="A32" s="936">
        <f>PGL_Supplies!G8/1000</f>
        <v>1</v>
      </c>
      <c r="G32" s="936">
        <f>PGL_Requirements!O8/1000</f>
        <v>100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666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69.762</v>
      </c>
      <c r="B40" s="930"/>
      <c r="C40" s="929"/>
      <c r="D40" s="930"/>
      <c r="E40" s="930"/>
      <c r="F40" s="998"/>
      <c r="G40" s="998">
        <f>SUM(G30:G35)</f>
        <v>274.09000000000003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-204.32800000000003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376.5</v>
      </c>
      <c r="E45" s="1003"/>
      <c r="F45" s="1004">
        <v>6.7000000000000004E-2</v>
      </c>
      <c r="G45" s="1005">
        <f>(C45-D45)*F45</f>
        <v>4.9245000000000001</v>
      </c>
      <c r="H45" s="1005">
        <f>(D45-B45)*F45</f>
        <v>6.8005000000000004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374.5</v>
      </c>
      <c r="E47" s="1003"/>
      <c r="F47" s="1004">
        <v>0.14099999999999999</v>
      </c>
      <c r="G47" s="1005">
        <f>(C47-D47)*F47</f>
        <v>10.645499999999998</v>
      </c>
      <c r="H47" s="1005">
        <f>(D47-B47)*F47</f>
        <v>14.029499999999999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664.5</v>
      </c>
      <c r="E48" s="1003"/>
      <c r="F48" s="1004">
        <v>0.161</v>
      </c>
      <c r="G48" s="1005">
        <f>(C48-D48)*F48</f>
        <v>13.765500000000001</v>
      </c>
      <c r="H48" s="1005">
        <f>(D48-B48)*F48</f>
        <v>61.099499999999999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29.3355</v>
      </c>
      <c r="H49" s="1005">
        <f>SUM(H45:H48)</f>
        <v>81.92949999999999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G6" sqref="G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37094</v>
      </c>
      <c r="B5" s="11">
        <v>93</v>
      </c>
      <c r="C5" s="49">
        <v>70</v>
      </c>
      <c r="D5" s="49">
        <v>6</v>
      </c>
      <c r="E5" s="11">
        <v>79.599999999999994</v>
      </c>
      <c r="F5" s="11">
        <v>5</v>
      </c>
      <c r="G5" s="11">
        <v>6704</v>
      </c>
      <c r="H5" s="11">
        <v>0</v>
      </c>
      <c r="I5" s="894" t="s">
        <v>810</v>
      </c>
      <c r="J5" s="894" t="s">
        <v>9</v>
      </c>
      <c r="K5" s="11">
        <v>3</v>
      </c>
      <c r="L5" s="11">
        <v>1</v>
      </c>
      <c r="N5" s="15" t="str">
        <f>I5&amp;" "&amp;I5</f>
        <v xml:space="preserve">PARTLY CLOUDY.  PARTLY CLOUDY. </v>
      </c>
      <c r="AE5" s="15">
        <v>1</v>
      </c>
      <c r="AH5" s="15" t="s">
        <v>32</v>
      </c>
    </row>
    <row r="6" spans="1:34" ht="16.5" customHeight="1">
      <c r="A6" s="86">
        <f>A5+1</f>
        <v>37095</v>
      </c>
      <c r="B6" s="11">
        <v>93</v>
      </c>
      <c r="C6" s="49">
        <v>73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9</v>
      </c>
      <c r="K6" s="11">
        <v>5</v>
      </c>
      <c r="L6" s="11" t="s">
        <v>590</v>
      </c>
      <c r="N6" s="15" t="str">
        <f>I6&amp;" "&amp;J6</f>
        <v xml:space="preserve">PARTLY CLOUDY.   </v>
      </c>
      <c r="AE6" s="15">
        <v>1</v>
      </c>
      <c r="AH6" s="15" t="s">
        <v>33</v>
      </c>
    </row>
    <row r="7" spans="1:34" ht="16.5" customHeight="1">
      <c r="A7" s="86">
        <f>A6+1</f>
        <v>37096</v>
      </c>
      <c r="B7" s="11">
        <v>89</v>
      </c>
      <c r="C7" s="49">
        <v>63</v>
      </c>
      <c r="D7" s="49">
        <v>9</v>
      </c>
      <c r="E7" s="11" t="s">
        <v>9</v>
      </c>
      <c r="F7" s="11" t="s">
        <v>9</v>
      </c>
      <c r="G7" s="11"/>
      <c r="H7" s="11" t="s">
        <v>9</v>
      </c>
      <c r="I7" s="894" t="s">
        <v>809</v>
      </c>
      <c r="J7" s="894" t="s">
        <v>9</v>
      </c>
      <c r="K7" s="11">
        <v>5</v>
      </c>
      <c r="L7" s="11" t="s">
        <v>20</v>
      </c>
      <c r="N7" s="15" t="str">
        <f>I7&amp;" "&amp;J7</f>
        <v xml:space="preserve">CHANCE OF T'STORMS.  </v>
      </c>
    </row>
    <row r="8" spans="1:34" ht="16.5" customHeight="1">
      <c r="A8" s="86">
        <f>A7+1</f>
        <v>37097</v>
      </c>
      <c r="B8" s="11">
        <v>75</v>
      </c>
      <c r="C8" s="49">
        <v>60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809</v>
      </c>
      <c r="J8" s="894" t="s">
        <v>9</v>
      </c>
      <c r="K8" s="11">
        <v>3</v>
      </c>
      <c r="L8" s="11"/>
      <c r="N8" s="15" t="str">
        <f>I8&amp;" "&amp;J8</f>
        <v xml:space="preserve">CHANCE OF T'STORMS.  </v>
      </c>
    </row>
    <row r="9" spans="1:34" ht="16.5" customHeight="1">
      <c r="A9" s="86">
        <f>A8+1</f>
        <v>37098</v>
      </c>
      <c r="B9" s="11">
        <v>78</v>
      </c>
      <c r="C9" s="49">
        <v>61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4" t="s">
        <v>809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CHANCE OF T'STORMS.  </v>
      </c>
    </row>
    <row r="10" spans="1:34" ht="16.5" customHeight="1">
      <c r="A10" s="86">
        <f>A9+1</f>
        <v>37099</v>
      </c>
      <c r="B10" s="11">
        <v>79</v>
      </c>
      <c r="C10" s="49">
        <v>63</v>
      </c>
      <c r="D10" s="49">
        <v>6</v>
      </c>
      <c r="E10" s="11" t="s">
        <v>9</v>
      </c>
      <c r="F10" s="11" t="s">
        <v>9</v>
      </c>
      <c r="G10" s="11"/>
      <c r="H10" s="11" t="s">
        <v>9</v>
      </c>
      <c r="I10" s="894" t="s">
        <v>809</v>
      </c>
      <c r="J10" s="894" t="s">
        <v>9</v>
      </c>
      <c r="K10" s="11">
        <v>6</v>
      </c>
      <c r="L10" s="11" t="s">
        <v>392</v>
      </c>
      <c r="N10" s="15" t="str">
        <f>I10&amp;" "&amp;J10</f>
        <v xml:space="preserve">CHANCE OF T'STORMS.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175.81800000000001</v>
      </c>
      <c r="C2" s="60"/>
      <c r="D2" s="118" t="s">
        <v>310</v>
      </c>
      <c r="E2" s="421">
        <f>Weather_Input!A5</f>
        <v>37094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163.946</v>
      </c>
      <c r="C6" s="166"/>
      <c r="D6" s="59" t="s">
        <v>545</v>
      </c>
      <c r="E6" s="151">
        <f>PGL_Deliveries!P5/1000</f>
        <v>0.72499999999999998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163.946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108.19799999999999</v>
      </c>
      <c r="C8" s="626"/>
      <c r="D8" s="115" t="s">
        <v>547</v>
      </c>
      <c r="E8" s="151">
        <f>PGL_Deliveries!N5/1000</f>
        <v>4.0620000000000003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0.69699999999999995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19.652000000000001</v>
      </c>
      <c r="C11" s="63"/>
      <c r="D11" s="115" t="s">
        <v>549</v>
      </c>
      <c r="E11" s="151">
        <f>PGL_Deliveries!R5/1000</f>
        <v>0.68700000000000006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140.33099999999999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1.6E-2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-108.53399999999998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4.2990000000000004</v>
      </c>
      <c r="C17" s="166" t="s">
        <v>9</v>
      </c>
      <c r="D17" s="1086" t="s">
        <v>208</v>
      </c>
      <c r="E17" s="207">
        <f>PGL_Deliveries!M5/1000</f>
        <v>1.484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163.946</v>
      </c>
      <c r="C18" s="166"/>
      <c r="D18" s="176" t="s">
        <v>554</v>
      </c>
      <c r="E18" s="175">
        <f>SUM(E5:E17)</f>
        <v>11.872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108.172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PGL_Deliveries!AW5/1000+B41</f>
        <v>32.010399999999997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43.882399999999997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108.172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23.53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4.4989999999999997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20.352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138.76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0.627</v>
      </c>
      <c r="C39" s="63"/>
      <c r="D39" s="209" t="s">
        <v>210</v>
      </c>
      <c r="E39" s="208">
        <f>SUM(E22:E33)-SUM(F23:F38)-E29</f>
        <v>43.882000000000005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28.282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PGL_Deliveries!AE5/1000</f>
        <v>29.928999999999998</v>
      </c>
      <c r="C41" s="63"/>
      <c r="D41" s="246" t="s">
        <v>498</v>
      </c>
      <c r="E41" s="795">
        <f>PGL_Supplies!AA7/1000</f>
        <v>192.88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2.0813999999999999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0.33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93</v>
      </c>
      <c r="C45" s="182"/>
      <c r="D45" s="60" t="s">
        <v>587</v>
      </c>
      <c r="E45" s="795">
        <f>PGL_Supplies!S7/1000</f>
        <v>20</v>
      </c>
      <c r="F45" s="168"/>
    </row>
    <row r="46" spans="1:13" ht="15">
      <c r="A46" s="169" t="s">
        <v>580</v>
      </c>
      <c r="B46" s="234">
        <f>Weather_Input!C5</f>
        <v>70</v>
      </c>
      <c r="C46" s="159"/>
      <c r="D46" s="72" t="s">
        <v>791</v>
      </c>
      <c r="E46" s="60"/>
      <c r="F46" s="173">
        <f>PGL_Deliveries!BE5/1000</f>
        <v>57.531999999999996</v>
      </c>
    </row>
    <row r="47" spans="1:13" ht="15">
      <c r="A47" s="170" t="s">
        <v>581</v>
      </c>
      <c r="B47" s="60">
        <f>Weather_Input!E5</f>
        <v>79.599999999999994</v>
      </c>
      <c r="C47" s="159"/>
      <c r="D47" s="769" t="s">
        <v>792</v>
      </c>
      <c r="E47" s="67"/>
      <c r="F47" s="1244">
        <f>PGL_Deliveries!BF5/1000</f>
        <v>28.282</v>
      </c>
    </row>
    <row r="48" spans="1:13" ht="15">
      <c r="A48" s="169" t="s">
        <v>582</v>
      </c>
      <c r="B48" s="223">
        <f>Weather_Input!D5</f>
        <v>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1.0469999999999999</v>
      </c>
      <c r="C49" s="159"/>
      <c r="D49" s="60" t="s">
        <v>727</v>
      </c>
      <c r="E49" s="151">
        <f>PGL_Deliveries!AJ5/1000</f>
        <v>19.652000000000001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abSelected="1"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29.427</v>
      </c>
      <c r="C3" s="117"/>
      <c r="D3" s="226" t="s">
        <v>310</v>
      </c>
      <c r="E3" s="424">
        <f>Weather_Input!A5</f>
        <v>37094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29.427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29.427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25.234999999999999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4.1920000000000002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4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4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4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4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29.427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37094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37093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112671</v>
      </c>
      <c r="O6" s="201">
        <v>0</v>
      </c>
      <c r="P6" s="201">
        <v>55346552</v>
      </c>
      <c r="Q6" s="201">
        <v>15045098</v>
      </c>
      <c r="R6" s="201">
        <v>40301454</v>
      </c>
      <c r="S6" s="201">
        <v>0</v>
      </c>
    </row>
    <row r="7" spans="1:19">
      <c r="A7" s="4">
        <f>B1</f>
        <v>37094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112671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55459223</v>
      </c>
      <c r="Q7">
        <f>IF(O7&gt;0,Q6+O7,Q6)</f>
        <v>15045098</v>
      </c>
      <c r="R7">
        <f>IF(P7&gt;Q7,P7-Q7,0)</f>
        <v>40414125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F1" zoomScale="75" workbookViewId="0">
      <selection activeCell="AP6" sqref="AP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37094</v>
      </c>
      <c r="B5" s="1">
        <f>(Weather_Input!B5+Weather_Input!C5)/2</f>
        <v>81.5</v>
      </c>
      <c r="C5" s="895">
        <v>177000</v>
      </c>
      <c r="D5" s="896">
        <v>0</v>
      </c>
      <c r="E5" s="896">
        <v>0</v>
      </c>
      <c r="F5" s="896">
        <v>0</v>
      </c>
      <c r="G5" s="896">
        <v>0</v>
      </c>
      <c r="H5" s="896">
        <v>16</v>
      </c>
      <c r="I5" s="896">
        <v>163946</v>
      </c>
      <c r="J5" s="896">
        <v>0</v>
      </c>
      <c r="K5" s="896">
        <v>0</v>
      </c>
      <c r="L5" s="896">
        <v>0</v>
      </c>
      <c r="M5" s="896">
        <v>1484</v>
      </c>
      <c r="N5" s="896">
        <v>4062</v>
      </c>
      <c r="O5" s="896">
        <v>1</v>
      </c>
      <c r="P5" s="896">
        <v>725</v>
      </c>
      <c r="Q5" s="896">
        <v>697</v>
      </c>
      <c r="R5" s="896">
        <v>687</v>
      </c>
      <c r="S5" s="901">
        <v>4200</v>
      </c>
      <c r="T5" s="1085">
        <v>0</v>
      </c>
      <c r="U5" s="895">
        <f>SUM(D5:S5)-T5</f>
        <v>175818</v>
      </c>
      <c r="V5" s="895">
        <v>108198</v>
      </c>
      <c r="W5" s="11">
        <v>0</v>
      </c>
      <c r="X5" s="11">
        <v>0</v>
      </c>
      <c r="Y5" s="11">
        <v>0</v>
      </c>
      <c r="Z5" s="11">
        <v>139863</v>
      </c>
      <c r="AA5" s="11">
        <v>86282</v>
      </c>
      <c r="AB5" s="11">
        <v>0</v>
      </c>
      <c r="AC5" s="11">
        <v>0</v>
      </c>
      <c r="AD5" s="11">
        <v>0</v>
      </c>
      <c r="AE5" s="11">
        <v>29929</v>
      </c>
      <c r="AF5" s="11">
        <v>0</v>
      </c>
      <c r="AG5" s="11">
        <v>0</v>
      </c>
      <c r="AH5" s="11">
        <v>0</v>
      </c>
      <c r="AI5" s="11">
        <v>0</v>
      </c>
      <c r="AJ5" s="11">
        <v>19652</v>
      </c>
      <c r="AK5" s="11">
        <v>0</v>
      </c>
      <c r="AL5" s="11">
        <v>0</v>
      </c>
      <c r="AM5" s="1">
        <v>1047</v>
      </c>
      <c r="AN5" s="1"/>
      <c r="AO5" s="1">
        <v>0</v>
      </c>
      <c r="AP5" s="1">
        <v>4299</v>
      </c>
      <c r="AQ5" s="1">
        <v>0</v>
      </c>
      <c r="AR5" s="1">
        <v>23530</v>
      </c>
      <c r="AS5" s="1">
        <v>0</v>
      </c>
      <c r="AT5" s="1">
        <v>627</v>
      </c>
      <c r="AU5" s="1">
        <v>138760</v>
      </c>
      <c r="AV5" s="1">
        <v>330</v>
      </c>
      <c r="AW5" s="622">
        <f>AU5*0.015</f>
        <v>2081.4</v>
      </c>
      <c r="AX5" s="1">
        <v>0</v>
      </c>
      <c r="AY5" s="1"/>
      <c r="AZ5" s="1">
        <v>0</v>
      </c>
      <c r="BA5" s="1">
        <v>14</v>
      </c>
      <c r="BB5" s="1">
        <v>0</v>
      </c>
      <c r="BC5" s="1">
        <v>0</v>
      </c>
      <c r="BD5" s="1"/>
      <c r="BE5" s="1">
        <v>57532</v>
      </c>
      <c r="BF5" s="1">
        <v>28282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37095</v>
      </c>
      <c r="B6" s="913">
        <f>(Weather_Input!B6+Weather_Input!C6)/2</f>
        <v>83</v>
      </c>
      <c r="C6" s="895">
        <v>190000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37096</v>
      </c>
      <c r="B7" s="913">
        <f>(Weather_Input!B7+Weather_Input!C7)/2</f>
        <v>76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37097</v>
      </c>
      <c r="B8" s="913">
        <f>(Weather_Input!B8+Weather_Input!C8)/2</f>
        <v>67.5</v>
      </c>
      <c r="C8" s="895">
        <v>195000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37098</v>
      </c>
      <c r="B9" s="913">
        <f>(Weather_Input!B9+Weather_Input!C9)/2</f>
        <v>69.5</v>
      </c>
      <c r="C9" s="895">
        <v>195000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37099</v>
      </c>
      <c r="B10" s="913">
        <f>(Weather_Input!B10+Weather_Input!C10)/2</f>
        <v>71</v>
      </c>
      <c r="C10" s="895">
        <v>185000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37094</v>
      </c>
      <c r="B5" s="1">
        <f>(Weather_Input!B5+Weather_Input!C5)/2</f>
        <v>81.5</v>
      </c>
      <c r="C5" s="895">
        <v>29300</v>
      </c>
      <c r="D5" s="895">
        <v>0</v>
      </c>
      <c r="E5" s="895">
        <v>29427</v>
      </c>
      <c r="F5" s="895">
        <v>0</v>
      </c>
      <c r="G5" s="895">
        <v>0</v>
      </c>
      <c r="H5" s="903">
        <f>SUM(D5:G5)</f>
        <v>29427</v>
      </c>
      <c r="I5" s="1">
        <v>1008</v>
      </c>
      <c r="J5" s="1" t="s">
        <v>9</v>
      </c>
      <c r="K5" s="1">
        <v>0</v>
      </c>
      <c r="L5" s="1">
        <v>4192</v>
      </c>
      <c r="M5" s="1">
        <v>12000</v>
      </c>
      <c r="N5" s="1">
        <v>0</v>
      </c>
    </row>
    <row r="6" spans="1:14">
      <c r="A6" s="12">
        <f>A5+1</f>
        <v>37095</v>
      </c>
      <c r="B6" s="913">
        <f>(Weather_Input!B6+Weather_Input!C6)/2</f>
        <v>83</v>
      </c>
      <c r="C6" s="895">
        <v>33000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37096</v>
      </c>
      <c r="B7" s="913">
        <f>(Weather_Input!B7+Weather_Input!C7)/2</f>
        <v>76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37097</v>
      </c>
      <c r="B8" s="913">
        <f>(Weather_Input!B8+Weather_Input!C8)/2</f>
        <v>67.5</v>
      </c>
      <c r="C8" s="895">
        <v>34000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37098</v>
      </c>
      <c r="B9" s="913">
        <f>(Weather_Input!B9+Weather_Input!C9)/2</f>
        <v>69.5</v>
      </c>
      <c r="C9" s="895">
        <v>34000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37099</v>
      </c>
      <c r="B10" s="913">
        <f>(Weather_Input!B10+Weather_Input!C10)/2</f>
        <v>71</v>
      </c>
      <c r="C10" s="895">
        <v>32000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A7" sqref="A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7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6" t="s">
        <v>798</v>
      </c>
      <c r="U4" s="1053"/>
      <c r="V4" s="1201" t="s">
        <v>762</v>
      </c>
      <c r="W4" s="1202"/>
      <c r="X4" s="1203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4" t="s">
        <v>764</v>
      </c>
      <c r="W6" s="1204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37094</v>
      </c>
      <c r="B7" s="904">
        <v>0</v>
      </c>
      <c r="C7" s="620">
        <v>0</v>
      </c>
      <c r="D7" s="620">
        <v>0</v>
      </c>
      <c r="E7" s="904">
        <v>4499</v>
      </c>
      <c r="F7" s="904">
        <v>0</v>
      </c>
      <c r="G7" s="906">
        <v>58000</v>
      </c>
      <c r="H7" s="619">
        <v>0</v>
      </c>
      <c r="I7" s="619">
        <v>0</v>
      </c>
      <c r="J7" s="620">
        <v>28282</v>
      </c>
      <c r="K7" s="619">
        <v>0</v>
      </c>
      <c r="L7" s="620">
        <v>0</v>
      </c>
      <c r="M7" s="620">
        <v>0</v>
      </c>
      <c r="N7" s="621">
        <v>0</v>
      </c>
      <c r="O7" s="620">
        <v>138760</v>
      </c>
      <c r="P7" s="622">
        <f t="shared" ref="P7:P12" si="0">O7*0.015</f>
        <v>2081.4</v>
      </c>
      <c r="Q7" s="620">
        <v>330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37095</v>
      </c>
      <c r="B8" s="904">
        <v>0</v>
      </c>
      <c r="C8" s="620">
        <v>0</v>
      </c>
      <c r="D8" s="620">
        <v>0</v>
      </c>
      <c r="E8" s="904">
        <v>4499</v>
      </c>
      <c r="F8" s="904">
        <v>0</v>
      </c>
      <c r="G8" s="906">
        <v>174090</v>
      </c>
      <c r="H8" s="619">
        <v>0</v>
      </c>
      <c r="I8" s="619">
        <v>0</v>
      </c>
      <c r="J8" s="620">
        <v>105000</v>
      </c>
      <c r="K8" s="619">
        <v>0</v>
      </c>
      <c r="L8" s="620">
        <v>0</v>
      </c>
      <c r="M8" s="620">
        <v>0</v>
      </c>
      <c r="N8" s="621">
        <v>0</v>
      </c>
      <c r="O8" s="620">
        <v>100000</v>
      </c>
      <c r="P8" s="622">
        <f t="shared" si="0"/>
        <v>1500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37096</v>
      </c>
      <c r="B9" s="904">
        <v>0</v>
      </c>
      <c r="C9" s="620">
        <v>0</v>
      </c>
      <c r="D9" s="620">
        <v>0</v>
      </c>
      <c r="E9" s="904">
        <v>4499</v>
      </c>
      <c r="F9" s="904">
        <v>0</v>
      </c>
      <c r="G9" s="906">
        <v>70000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37097</v>
      </c>
      <c r="B10" s="904">
        <v>0</v>
      </c>
      <c r="C10" s="620">
        <v>0</v>
      </c>
      <c r="D10" s="620">
        <v>0</v>
      </c>
      <c r="E10" s="904">
        <v>4499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37098</v>
      </c>
      <c r="B11" s="904">
        <v>0</v>
      </c>
      <c r="C11" s="620">
        <v>0</v>
      </c>
      <c r="D11" s="620">
        <v>0</v>
      </c>
      <c r="E11" s="904">
        <v>4499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37099</v>
      </c>
      <c r="B12" s="904">
        <v>0</v>
      </c>
      <c r="C12" s="620">
        <v>0</v>
      </c>
      <c r="D12" s="620">
        <v>0</v>
      </c>
      <c r="E12" s="904">
        <v>4499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B8" sqref="B8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6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7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37094</v>
      </c>
      <c r="B7" s="622">
        <v>4299</v>
      </c>
      <c r="C7" s="622">
        <v>0</v>
      </c>
      <c r="D7" s="622">
        <v>0</v>
      </c>
      <c r="E7" s="622">
        <v>0</v>
      </c>
      <c r="F7" s="904">
        <v>0</v>
      </c>
      <c r="G7" s="620">
        <v>627</v>
      </c>
      <c r="H7" s="620">
        <v>19652</v>
      </c>
      <c r="I7" s="620">
        <v>0</v>
      </c>
      <c r="J7" s="907">
        <v>0</v>
      </c>
      <c r="K7" s="621">
        <v>23530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39">
        <v>20000</v>
      </c>
      <c r="T7" s="620">
        <v>0</v>
      </c>
      <c r="U7" s="621">
        <v>114940</v>
      </c>
      <c r="V7" s="621">
        <v>0</v>
      </c>
      <c r="W7" s="619">
        <v>0</v>
      </c>
      <c r="X7" s="907">
        <v>108172</v>
      </c>
      <c r="Y7" s="621">
        <v>200</v>
      </c>
      <c r="Z7" s="1">
        <v>0</v>
      </c>
      <c r="AA7" s="619">
        <v>192880</v>
      </c>
      <c r="AB7" s="619">
        <v>20352</v>
      </c>
      <c r="AC7" s="619">
        <v>4499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37095</v>
      </c>
      <c r="B8" s="622">
        <v>50000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80860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39">
        <v>31800</v>
      </c>
      <c r="T8" s="620">
        <v>0</v>
      </c>
      <c r="U8" s="621">
        <v>114940</v>
      </c>
      <c r="V8" s="621">
        <v>0</v>
      </c>
      <c r="W8" s="619">
        <v>0</v>
      </c>
      <c r="X8" s="907">
        <v>108172</v>
      </c>
      <c r="Y8" s="621">
        <v>200</v>
      </c>
      <c r="Z8" s="1">
        <v>0</v>
      </c>
      <c r="AA8" s="619">
        <v>192880</v>
      </c>
      <c r="AB8" s="619">
        <v>20352</v>
      </c>
      <c r="AC8" s="619">
        <v>4499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37096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39">
        <v>0</v>
      </c>
      <c r="T9" s="620">
        <v>0</v>
      </c>
      <c r="U9" s="621">
        <v>114940</v>
      </c>
      <c r="V9" s="621">
        <v>0</v>
      </c>
      <c r="W9" s="619">
        <v>0</v>
      </c>
      <c r="X9" s="907">
        <v>108172</v>
      </c>
      <c r="Y9" s="621">
        <v>200</v>
      </c>
      <c r="Z9" s="1">
        <v>0</v>
      </c>
      <c r="AA9" s="619">
        <v>192880</v>
      </c>
      <c r="AB9" s="619">
        <v>20352</v>
      </c>
      <c r="AC9" s="619">
        <v>4499</v>
      </c>
      <c r="AD9" s="907">
        <v>0</v>
      </c>
      <c r="AE9" s="819">
        <f t="shared" si="0"/>
        <v>3</v>
      </c>
    </row>
    <row r="10" spans="1:36">
      <c r="A10" s="819">
        <f>A9+1</f>
        <v>37097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39">
        <v>0</v>
      </c>
      <c r="T10" s="620">
        <v>0</v>
      </c>
      <c r="U10" s="621">
        <v>114940</v>
      </c>
      <c r="V10" s="621">
        <v>0</v>
      </c>
      <c r="W10" s="619">
        <v>0</v>
      </c>
      <c r="X10" s="907">
        <v>108172</v>
      </c>
      <c r="Y10" s="621">
        <v>200</v>
      </c>
      <c r="Z10" s="1">
        <v>0</v>
      </c>
      <c r="AA10" s="619">
        <v>192880</v>
      </c>
      <c r="AB10" s="619">
        <v>20352</v>
      </c>
      <c r="AC10" s="619">
        <v>4499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37098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39">
        <v>0</v>
      </c>
      <c r="T11" s="620">
        <v>0</v>
      </c>
      <c r="U11" s="621">
        <v>114940</v>
      </c>
      <c r="V11" s="621">
        <v>0</v>
      </c>
      <c r="W11" s="619">
        <v>0</v>
      </c>
      <c r="X11" s="907">
        <v>108172</v>
      </c>
      <c r="Y11" s="621">
        <v>200</v>
      </c>
      <c r="Z11" s="1">
        <v>0</v>
      </c>
      <c r="AA11" s="619">
        <v>192880</v>
      </c>
      <c r="AB11" s="619">
        <v>20352</v>
      </c>
      <c r="AC11" s="619">
        <v>4499</v>
      </c>
      <c r="AD11" s="907">
        <v>0</v>
      </c>
      <c r="AE11" s="819">
        <f t="shared" si="0"/>
        <v>5</v>
      </c>
    </row>
    <row r="12" spans="1:36">
      <c r="A12" s="819">
        <f>A11+1</f>
        <v>37099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39">
        <v>0</v>
      </c>
      <c r="T12" s="620">
        <v>0</v>
      </c>
      <c r="U12" s="621">
        <v>114940</v>
      </c>
      <c r="V12" s="621">
        <v>0</v>
      </c>
      <c r="W12" s="619">
        <v>0</v>
      </c>
      <c r="X12" s="907">
        <v>108172</v>
      </c>
      <c r="Y12" s="621">
        <v>200</v>
      </c>
      <c r="Z12" s="1">
        <v>0</v>
      </c>
      <c r="AA12" s="619">
        <v>192880</v>
      </c>
      <c r="AB12" s="619">
        <v>20352</v>
      </c>
      <c r="AC12" s="619">
        <v>4499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38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1" sqref="H1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37094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12000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37094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37095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4230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37095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37096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37096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37097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37097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37098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37098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37099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37099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D1" zoomScale="75" workbookViewId="0">
      <selection activeCell="O8" sqref="O8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37094</v>
      </c>
      <c r="B7" s="622">
        <v>0</v>
      </c>
      <c r="C7" s="623">
        <v>0</v>
      </c>
      <c r="D7" s="622">
        <v>0</v>
      </c>
      <c r="E7" s="622">
        <v>0</v>
      </c>
      <c r="F7" s="622">
        <v>4192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25235</v>
      </c>
      <c r="R7" s="622">
        <v>13902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37095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25235</v>
      </c>
      <c r="R8" s="622">
        <v>13902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37096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25235</v>
      </c>
      <c r="R9" s="622">
        <v>13902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37097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25235</v>
      </c>
      <c r="R10" s="622">
        <v>13902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37098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25235</v>
      </c>
      <c r="R11" s="622">
        <v>13902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37099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25235</v>
      </c>
      <c r="R12" s="622">
        <v>13902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SUN</v>
      </c>
      <c r="I1" s="824">
        <f>D4</f>
        <v>37094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SUN</v>
      </c>
      <c r="E3" s="829" t="str">
        <f t="shared" si="0"/>
        <v>MON</v>
      </c>
      <c r="F3" s="829" t="str">
        <f t="shared" si="0"/>
        <v>TUE</v>
      </c>
      <c r="G3" s="829" t="str">
        <f t="shared" si="0"/>
        <v>WED</v>
      </c>
      <c r="H3" s="829" t="str">
        <f t="shared" si="0"/>
        <v>THU</v>
      </c>
      <c r="I3" s="830" t="str">
        <f t="shared" si="0"/>
        <v>FRI</v>
      </c>
    </row>
    <row r="4" spans="1:256" ht="18.899999999999999" customHeight="1" thickBot="1">
      <c r="A4" s="831"/>
      <c r="B4" s="832"/>
      <c r="C4" s="832"/>
      <c r="D4" s="461">
        <f>Weather_Input!A5</f>
        <v>37094</v>
      </c>
      <c r="E4" s="461">
        <f>Weather_Input!A6</f>
        <v>37095</v>
      </c>
      <c r="F4" s="461">
        <f>Weather_Input!A7</f>
        <v>37096</v>
      </c>
      <c r="G4" s="461">
        <f>Weather_Input!A8</f>
        <v>37097</v>
      </c>
      <c r="H4" s="461">
        <f>Weather_Input!A9</f>
        <v>37098</v>
      </c>
      <c r="I4" s="462">
        <f>Weather_Input!A10</f>
        <v>37099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93/70/82</v>
      </c>
      <c r="E5" s="463" t="str">
        <f>TEXT(Weather_Input!B6,"0")&amp;"/"&amp;TEXT(Weather_Input!C6,"0") &amp; "/" &amp; TEXT((Weather_Input!B6+Weather_Input!C6)/2,"0")</f>
        <v>93/73/83</v>
      </c>
      <c r="F5" s="463" t="str">
        <f>TEXT(Weather_Input!B7,"0")&amp;"/"&amp;TEXT(Weather_Input!C7,"0") &amp; "/" &amp; TEXT((Weather_Input!B7+Weather_Input!C7)/2,"0")</f>
        <v>89/63/76</v>
      </c>
      <c r="G5" s="463" t="str">
        <f>TEXT(Weather_Input!B8,"0")&amp;"/"&amp;TEXT(Weather_Input!C8,"0") &amp; "/" &amp; TEXT((Weather_Input!B8+Weather_Input!C8)/2,"0")</f>
        <v>75/60/68</v>
      </c>
      <c r="H5" s="463" t="str">
        <f>TEXT(Weather_Input!B9,"0")&amp;"/"&amp;TEXT(Weather_Input!C9,"0") &amp; "/" &amp; TEXT((Weather_Input!B9+Weather_Input!C9)/2,"0")</f>
        <v>78/61/70</v>
      </c>
      <c r="I5" s="464" t="str">
        <f>TEXT(Weather_Input!B10,"0")&amp;"/"&amp;TEXT(Weather_Input!C10,"0") &amp; "/" &amp; TEXT((Weather_Input!B10+Weather_Input!C10)/2,"0")</f>
        <v>79/63/71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177</v>
      </c>
      <c r="E6" s="463">
        <f>PGL_Deliveries!C6/1000</f>
        <v>190</v>
      </c>
      <c r="F6" s="463">
        <f>PGL_Deliveries!C7/1000</f>
        <v>195</v>
      </c>
      <c r="G6" s="463">
        <f>PGL_Deliveries!C8/1000</f>
        <v>195</v>
      </c>
      <c r="H6" s="463">
        <f>PGL_Deliveries!C9/1000</f>
        <v>195</v>
      </c>
      <c r="I6" s="464">
        <f>PGL_Deliveries!C10/1000</f>
        <v>185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29</v>
      </c>
      <c r="E7" s="463">
        <f>PGL_Requirements!G8/1000*0.5</f>
        <v>87.045000000000002</v>
      </c>
      <c r="F7" s="463">
        <f>PGL_Requirements!G9/1000*0.5</f>
        <v>35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28.282</v>
      </c>
      <c r="E8" s="463">
        <f>PGL_Requirements!J8/1000</f>
        <v>105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138.76</v>
      </c>
      <c r="E11" s="463">
        <f>PGL_Requirements!O8/1000</f>
        <v>100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2.0813999999999999</v>
      </c>
      <c r="E12" s="463">
        <f>PGL_Requirements!P8/1000</f>
        <v>1.5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0.33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4.4989999999999997</v>
      </c>
      <c r="E24" s="465">
        <f>PGL_Requirements!E8/1000</f>
        <v>4.4989999999999997</v>
      </c>
      <c r="F24" s="465">
        <f>PGL_Requirements!E9/1000</f>
        <v>4.4989999999999997</v>
      </c>
      <c r="G24" s="465">
        <f>PGL_Requirements!E10/1000</f>
        <v>4.4989999999999997</v>
      </c>
      <c r="H24" s="465">
        <f>PGL_Requirements!E11/1000</f>
        <v>4.4989999999999997</v>
      </c>
      <c r="I24" s="466">
        <f>PGL_Requirements!E12/1000</f>
        <v>4.4989999999999997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380.1524</v>
      </c>
      <c r="E25" s="467">
        <f t="shared" si="1"/>
        <v>488.86400000000003</v>
      </c>
      <c r="F25" s="467">
        <f t="shared" si="1"/>
        <v>369.29900000000004</v>
      </c>
      <c r="G25" s="467">
        <f t="shared" si="1"/>
        <v>334.29900000000004</v>
      </c>
      <c r="H25" s="467">
        <f t="shared" si="1"/>
        <v>334.29900000000004</v>
      </c>
      <c r="I25" s="1099">
        <f t="shared" si="1"/>
        <v>324.29900000000004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0.627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23.53</v>
      </c>
      <c r="E33" s="463">
        <f>PGL_Supplies!K8/1000</f>
        <v>80.86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10</v>
      </c>
      <c r="E36" s="463">
        <f>PGL_Supplies!S8/1000*0.5</f>
        <v>15.9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108.172</v>
      </c>
      <c r="E37" s="463">
        <f>PGL_Supplies!X8/1000</f>
        <v>108.172</v>
      </c>
      <c r="F37" s="463">
        <f>PGL_Supplies!X9/1000</f>
        <v>108.172</v>
      </c>
      <c r="G37" s="463">
        <f>PGL_Supplies!X10/1000</f>
        <v>108.172</v>
      </c>
      <c r="H37" s="463">
        <f>PGL_Supplies!X11/1000</f>
        <v>108.172</v>
      </c>
      <c r="I37" s="464">
        <f>PGL_Supplies!X12/1000</f>
        <v>108.172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192.88</v>
      </c>
      <c r="E40" s="463">
        <f>PGL_Supplies!AA8/1000</f>
        <v>192.88</v>
      </c>
      <c r="F40" s="463">
        <f>PGL_Supplies!AA9/1000</f>
        <v>192.88</v>
      </c>
      <c r="G40" s="463">
        <f>PGL_Supplies!AA10/1000</f>
        <v>192.88</v>
      </c>
      <c r="H40" s="463">
        <f>PGL_Supplies!AA11/1000</f>
        <v>192.88</v>
      </c>
      <c r="I40" s="464">
        <f>PGL_Supplies!AA12/1000</f>
        <v>192.88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20.352</v>
      </c>
      <c r="E41" s="463">
        <f>PGL_Supplies!AB8/1000</f>
        <v>20.352</v>
      </c>
      <c r="F41" s="463">
        <f>PGL_Supplies!AB9/1000</f>
        <v>20.352</v>
      </c>
      <c r="G41" s="463">
        <f>PGL_Supplies!AB10/1000</f>
        <v>20.352</v>
      </c>
      <c r="H41" s="463">
        <f>PGL_Supplies!AB11/1000</f>
        <v>20.352</v>
      </c>
      <c r="I41" s="464">
        <f>PGL_Supplies!AB12/1000</f>
        <v>20.352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4.4989999999999997</v>
      </c>
      <c r="E42" s="463">
        <f>PGL_Supplies!AC8/1000</f>
        <v>4.4989999999999997</v>
      </c>
      <c r="F42" s="463">
        <f>PGL_Supplies!AC9/1000</f>
        <v>4.4989999999999997</v>
      </c>
      <c r="G42" s="463">
        <f>PGL_Supplies!AC10/1000</f>
        <v>4.4989999999999997</v>
      </c>
      <c r="H42" s="463">
        <f>PGL_Supplies!AC11/1000</f>
        <v>4.4989999999999997</v>
      </c>
      <c r="I42" s="464">
        <f>PGL_Supplies!AC12/1000</f>
        <v>4.4989999999999997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19.652000000000001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4.2990000000000004</v>
      </c>
      <c r="E45" s="463">
        <f>PGL_Supplies!B8/1000</f>
        <v>50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384.21099999999996</v>
      </c>
      <c r="E50" s="473">
        <f t="shared" si="2"/>
        <v>488.863</v>
      </c>
      <c r="F50" s="473">
        <f t="shared" si="2"/>
        <v>342.10300000000001</v>
      </c>
      <c r="G50" s="473">
        <f t="shared" si="2"/>
        <v>342.10300000000001</v>
      </c>
      <c r="H50" s="473">
        <f t="shared" si="2"/>
        <v>342.10300000000001</v>
      </c>
      <c r="I50" s="1101">
        <f t="shared" si="2"/>
        <v>342.10300000000001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4.0585999999999558</v>
      </c>
      <c r="E51" s="474">
        <f t="shared" si="3"/>
        <v>0</v>
      </c>
      <c r="F51" s="474">
        <f t="shared" si="3"/>
        <v>0</v>
      </c>
      <c r="G51" s="474">
        <f t="shared" si="3"/>
        <v>7.8039999999999736</v>
      </c>
      <c r="H51" s="474">
        <f t="shared" si="3"/>
        <v>7.8039999999999736</v>
      </c>
      <c r="I51" s="1102">
        <f t="shared" si="3"/>
        <v>17.803999999999974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1.0000000000331966E-3</v>
      </c>
      <c r="F52" s="475">
        <f t="shared" si="4"/>
        <v>27.196000000000026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114.94</v>
      </c>
      <c r="E53" s="1092">
        <f>PGL_Supplies!U8/1000</f>
        <v>114.94</v>
      </c>
      <c r="F53" s="1092">
        <f>PGL_Supplies!U9/1000</f>
        <v>114.94</v>
      </c>
      <c r="G53" s="1092">
        <f>PGL_Supplies!U10/1000</f>
        <v>114.94</v>
      </c>
      <c r="H53" s="1092">
        <f>PGL_Supplies!U11/1000</f>
        <v>114.94</v>
      </c>
      <c r="I53" s="1093">
        <f>PGL_Supplies!U12/1000</f>
        <v>114.94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2001-07-23T16:56:42Z</cp:lastPrinted>
  <dcterms:created xsi:type="dcterms:W3CDTF">1997-07-16T16:14:22Z</dcterms:created>
  <dcterms:modified xsi:type="dcterms:W3CDTF">2023-09-10T11:13:20Z</dcterms:modified>
</cp:coreProperties>
</file>