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<sst xmlns="http://schemas.openxmlformats.org/spreadsheetml/2006/main" count="2073" uniqueCount="816">
  <si>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</si>
  <si>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</si>
  <si>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</si>
  <si>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</si>
  <si>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</si>
  <si>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</si>
  <si>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</si>
  <si>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</si>
  <si>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</si>
  <si>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</si>
  <si>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</si>
  <si>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</si>
  <si>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</si>
  <si>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</si>
  <si>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</si>
  <si>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</si>
  <si>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</si>
  <si>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</si>
  <si>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</si>
  <si>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</si>
  <si>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</si>
  <si>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</si>
  <si>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</si>
  <si>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</si>
  <si>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</si>
  <si>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</si>
  <si>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</si>
  <si>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</si>
  <si>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</si>
  <si>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</si>
  <si>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</si>
  <si>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</si>
  <si>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</si>
  <si>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</si>
  <si>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</si>
  <si>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</si>
  <si>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</si>
  <si>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</si>
  <si>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</si>
  <si>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</si>
  <si>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</si>
  <si>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</si>
  <si>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</si>
  <si>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</si>
  <si>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</si>
  <si>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</si>
  <si>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</si>
  <si>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</si>
  <si>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</si>
  <si>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</si>
  <si>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</si>
  <si>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</si>
  <si>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</si>
  <si>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</si>
  <si>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</si>
  <si>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</si>
  <si>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</si>
  <si>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</si>
  <si>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</si>
  <si>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</si>
  <si>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</si>
  <si>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</si>
  <si>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</si>
  <si>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</si>
  <si>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</si>
  <si>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</si>
  <si>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</si>
  <si>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</si>
  <si>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</si>
  <si>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</si>
  <si>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</si>
  <si>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</si>
  <si>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</si>
  <si>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</si>
  <si>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</si>
  <si>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</si>
  <si>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</si>
  <si>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</si>
  <si>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</si>
  <si>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</si>
  <si>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</si>
  <si>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</si>
  <si>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</si>
  <si>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</si>
  <si>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</si>
  <si>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</si>
  <si>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</si>
  <si>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</si>
  <si>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</si>
  <si>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</si>
  <si>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</si>
  <si>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</si>
  <si>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</si>
  <si>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</si>
  <si>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</si>
  <si>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</si>
  <si>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</si>
  <si>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</si>
  <si>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</si>
  <si>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</si>
  <si>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</si>
  <si>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</si>
  <si>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</si>
  <si>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</si>
  <si>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</si>
  <si>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</si>
  <si>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</si>
  <si>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</si>
  <si>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</si>
  <si>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</si>
  <si>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</si>
  <si>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</si>
  <si>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</si>
  <si>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</si>
  <si>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</si>
  <si>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</si>
  <si>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</si>
  <si>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</si>
  <si>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</si>
  <si>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</si>
  <si>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</si>
  <si>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</si>
  <si>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</si>
  <si>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</si>
  <si>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</si>
  <si>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</si>
  <si>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</si>
  <si>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</si>
  <si>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</si>
  <si>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</si>
  <si>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</si>
  <si>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</si>
  <si>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</si>
  <si>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</si>
  <si>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</si>
  <si>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</si>
  <si>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</si>
  <si>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</si>
  <si>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</si>
  <si>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</si>
  <si>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</si>
  <si>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</si>
  <si>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</si>
  <si>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</si>
  <si>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</si>
  <si>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</si>
  <si>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</si>
  <si>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</si>
  <si>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</si>
  <si>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</si>
  <si>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</si>
  <si>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</si>
  <si>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</si>
  <si>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</si>
  <si>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</si>
  <si>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</si>
  <si>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</si>
  <si>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</si>
  <si>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</si>
  <si>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</si>
  <si>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</si>
  <si>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</si>
  <si>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</si>
  <si>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</si>
  <si>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</si>
  <si>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</si>
  <si>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</si>
  <si>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</si>
  <si>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</si>
  <si>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</si>
  <si>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</si>
  <si>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</si>
  <si>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</si>
  <si>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</si>
  <si>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</si>
  <si>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</si>
  <si>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</si>
  <si>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</si>
  <si>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</si>
  <si>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</si>
  <si>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</si>
  <si>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</si>
  <si>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</si>
  <si>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</si>
  <si>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</si>
  <si>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</si>
  <si>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</si>
  <si>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</si>
  <si>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</si>
  <si>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</si>
  <si>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</si>
  <si>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</si>
  <si>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</si>
  <si>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</si>
  <si>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</si>
  <si>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</si>
  <si>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</si>
  <si>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</si>
  <si>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</si>
  <si>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</si>
  <si>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</si>
  <si>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</si>
  <si>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</si>
  <si>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</si>
  <si>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</si>
  <si>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</si>
  <si>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</si>
  <si>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</si>
  <si>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</si>
  <si>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</si>
  <si>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</si>
  <si>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</si>
  <si>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</si>
  <si>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</si>
  <si>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</si>
  <si>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</si>
  <si>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</si>
  <si>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</si>
  <si>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</si>
  <si>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</si>
  <si>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</si>
  <si>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</si>
  <si>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</si>
  <si>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</si>
  <si>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</si>
  <si>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</si>
  <si>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</si>
  <si>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</si>
  <si>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</si>
  <si>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</si>
  <si>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</si>
  <si>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</si>
  <si>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</si>
  <si>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</si>
  <si>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</si>
  <si>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</si>
  <si>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</si>
  <si>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</si>
  <si>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</si>
  <si>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</si>
  <si>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</si>
  <si>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</si>
  <si>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</si>
  <si>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</si>
  <si>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</si>
  <si>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</si>
  <si>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</si>
  <si>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</si>
  <si>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</si>
  <si>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</si>
  <si>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</si>
  <si>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</si>
  <si>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</si>
  <si>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</si>
  <si>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</si>
  <si>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</si>
  <si>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</si>
  <si>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</si>
  <si>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</si>
  <si>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</si>
  <si>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</si>
  <si>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</si>
  <si>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</si>
  <si>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</si>
  <si>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</si>
  <si>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</si>
  <si>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</si>
  <si>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</si>
  <si>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</si>
  <si>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</si>
  <si>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</si>
  <si>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</si>
  <si>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</si>
  <si>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</si>
  <si>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</si>
  <si>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</si>
  <si>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</si>
  <si>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</si>
  <si>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</si>
  <si>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</si>
  <si>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</si>
  <si>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</si>
  <si>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</si>
  <si>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</si>
  <si>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</si>
  <si>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</si>
  <si>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</si>
  <si>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</si>
  <si>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</si>
  <si>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</si>
  <si>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</si>
  <si>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</si>
  <si>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</si>
  <si>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</si>
  <si>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</si>
  <si>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</si>
  <si>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</si>
  <si>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</si>
  <si>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</si>
  <si>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</si>
  <si>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</si>
  <si>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</si>
  <si>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</si>
  <si>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</si>
  <si>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</si>
  <si>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</si>
  <si>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</si>
  <si>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</si>
  <si>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</si>
  <si>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</si>
  <si>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</si>
  <si>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</si>
  <si>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</si>
  <si>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</si>
  <si>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</si>
  <si>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</si>
  <si>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</si>
  <si>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</si>
  <si>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</si>
  <si>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</si>
  <si>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</si>
  <si>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</si>
  <si>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</si>
  <si>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</si>
  <si>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</si>
  <si>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</si>
  <si>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</si>
  <si>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</si>
  <si>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</si>
  <si>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</si>
  <si>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</si>
  <si>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</si>
  <si>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</si>
  <si>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</si>
  <si>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</si>
  <si>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</si>
  <si>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</si>
  <si>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</si>
  <si>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</si>
  <si>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</si>
  <si>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</si>
  <si>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</si>
  <si>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</si>
  <si>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</si>
  <si>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</si>
  <si>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</si>
  <si>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</si>
  <si>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</si>
  <si>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</si>
  <si>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</si>
  <si>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</si>
  <si>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</si>
  <si>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</si>
  <si>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</si>
  <si>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</si>
  <si>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</si>
  <si>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</si>
  <si>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</si>
  <si>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</si>
  <si>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</si>
  <si>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</si>
  <si>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</si>
  <si>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</si>
  <si>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</si>
  <si>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</si>
  <si>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</si>
  <si>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</si>
  <si>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</si>
  <si>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</si>
  <si>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</si>
  <si>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</si>
  <si>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</si>
  <si>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</si>
  <si>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</si>
  <si>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</si>
  <si>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</si>
  <si>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</si>
  <si>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</si>
  <si>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</si>
  <si>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</si>
  <si>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</si>
  <si>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</si>
  <si>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</si>
  <si>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</si>
  <si>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</si>
  <si>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</si>
  <si>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</si>
  <si>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</si>
  <si>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</si>
  <si>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</si>
  <si>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</si>
  <si>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</si>
  <si>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</si>
  <si>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</si>
  <si>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</si>
  <si>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</si>
  <si>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</si>
  <si>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</si>
  <si>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</si>
  <si>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</si>
  <si>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</si>
  <si>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</si>
  <si>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</si>
  <si>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</si>
  <si>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</si>
  <si>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</si>
  <si>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</si>
  <si>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</si>
  <si>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</si>
  <si>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</si>
  <si>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</si>
  <si>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</si>
  <si>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</si>
  <si>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</si>
  <si>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</si>
  <si>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</si>
  <si>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</si>
  <si>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</si>
  <si>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</si>
  <si>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</si>
  <si>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</si>
  <si>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</si>
  <si>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</si>
  <si>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</si>
  <si>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</si>
  <si>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</si>
  <si>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</si>
  <si>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</si>
  <si>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</si>
  <si>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</si>
  <si>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</si>
  <si>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</si>
  <si>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</si>
  <si>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</si>
  <si>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</si>
  <si>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</si>
  <si>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</si>
  <si>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</si>
  <si>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</si>
  <si>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</si>
  <si>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</si>
  <si>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</si>
  <si>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</si>
  <si>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</si>
  <si>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</si>
  <si>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</si>
  <si>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</si>
  <si>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</si>
  <si>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</si>
  <si>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</si>
  <si>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</si>
  <si>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</si>
  <si>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</si>
  <si>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</si>
  <si>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</si>
  <si>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</si>
  <si>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</si>
  <si>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</si>
  <si>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</si>
  <si>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</si>
  <si>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</si>
  <si>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</si>
  <si>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</si>
  <si>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</si>
  <si>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</si>
  <si>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</si>
  <si>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</si>
  <si>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</si>
  <si>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</si>
  <si>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</si>
  <si>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</si>
  <si>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</si>
  <si>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</si>
  <si>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</si>
  <si>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</si>
  <si>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</si>
  <si>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</si>
  <si>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</si>
  <si>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</si>
  <si>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</si>
  <si>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</si>
  <si>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</si>
  <si>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</si>
  <si>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</si>
  <si>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</si>
  <si>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</si>
  <si>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</si>
  <si>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</si>
  <si>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</si>
  <si>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</si>
  <si>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</si>
  <si>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</si>
  <si>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</si>
  <si>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</si>
  <si>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</si>
  <si>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</si>
  <si>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</si>
  <si>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</si>
  <si>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</si>
  <si>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</si>
  <si>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</si>
  <si>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</si>
  <si>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</si>
  <si>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</si>
  <si>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</si>
  <si>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</si>
  <si>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</si>
  <si>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</si>
  <si>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</si>
  <si>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</si>
  <si>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</si>
  <si>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</si>
  <si>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</si>
  <si>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</si>
  <si>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</si>
  <si>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</si>
  <si>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</si>
  <si>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</si>
  <si>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</si>
  <si>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</si>
  <si>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</si>
  <si>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</si>
  <si>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</si>
  <si>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</si>
  <si>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</si>
  <si>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</si>
  <si>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</si>
  <si>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</si>
  <si>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</si>
  <si>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</si>
  <si>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</si>
  <si>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</si>
  <si>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</si>
  <si>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</si>
  <si>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</si>
  <si>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</si>
  <si>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</si>
  <si>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</si>
  <si>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</si>
  <si>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</si>
  <si>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</si>
  <si>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</si>
  <si>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</si>
  <si>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</si>
  <si>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</si>
  <si>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</si>
  <si>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</si>
  <si>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</si>
  <si>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</si>
  <si>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</si>
  <si>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</si>
  <si>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</si>
  <si>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</si>
  <si>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</si>
  <si>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</si>
  <si>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</si>
  <si>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</si>
  <si>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</si>
  <si>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</si>
  <si>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</si>
  <si>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</si>
  <si>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</si>
  <si>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</si>
  <si>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</si>
  <si>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</si>
  <si>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</si>
  <si>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</si>
  <si>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</si>
  <si>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</si>
  <si>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</si>
  <si>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</si>
  <si>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</si>
  <si>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</si>
  <si>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</si>
  <si>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</si>
  <si>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</si>
  <si>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</si>
  <si>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</si>
  <si>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</si>
  <si>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</si>
  <si>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</si>
  <si>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</si>
  <si>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</si>
  <si>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</si>
  <si>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</si>
  <si>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</si>
  <si>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</si>
  <si>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</si>
  <si>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</si>
  <si>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</si>
  <si>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</si>
  <si>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</si>
  <si>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</si>
  <si>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</si>
  <si>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</si>
  <si>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</si>
  <si>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</si>
  <si>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</si>
  <si>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</si>
  <si>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</si>
  <si>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</si>
  <si>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</si>
  <si>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</si>
  <si>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</si>
  <si>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</si>
  <si>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</si>
  <si>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</si>
  <si>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</si>
  <si>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</si>
  <si>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</si>
  <si>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</si>
  <si>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</si>
  <si>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</si>
  <si>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</si>
  <si>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</si>
  <si>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</si>
  <si>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</si>
  <si>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</si>
  <si>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</si>
  <si>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</si>
  <si>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</si>
  <si>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</si>
  <si>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</si>
  <si>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</si>
  <si>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</si>
  <si>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</si>
  <si>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</si>
  <si>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</si>
  <si>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</si>
  <si>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</si>
  <si>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</si>
  <si>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</si>
  <si>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</si>
  <si>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</si>
  <si>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</si>
  <si>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</si>
  <si>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</si>
  <si>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</si>
  <si>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</si>
  <si>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</si>
  <si>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</si>
  <si>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</si>
  <si>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</si>
  <si>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</si>
  <si>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</si>
  <si>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</si>
  <si>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</si>
  <si>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</si>
  <si>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</si>
  <si>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</si>
  <si>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</si>
  <si>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</si>
  <si>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</si>
  <si>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</si>
  <si>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</si>
  <si>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</si>
  <si>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</si>
  <si>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</si>
  <si>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</si>
  <si>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</si>
  <si>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</si>
  <si>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</si>
  <si>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</si>
  <si>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</si>
  <si>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</si>
  <si>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</si>
  <si>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</si>
  <si>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</si>
  <si>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</si>
  <si>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</si>
  <si>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</si>
  <si>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</si>
  <si>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</si>
  <si>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</si>
  <si>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</si>
  <si>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</si>
  <si>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</si>
  <si>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</si>
  <si>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</si>
  <si>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</si>
  <si>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</si>
  <si>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</si>
  <si>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</si>
  <si>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</si>
  <si>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</si>
  <si>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</si>
  <si>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</si>
  <si>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</si>
  <si>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</si>
  <si>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</si>
  <si>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</si>
  <si>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</si>
  <si>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</si>
  <si>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</si>
  <si>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</si>
  <si>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</si>
  <si>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</si>
  <si>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</si>
  <si>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</si>
  <si>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</si>
  <si>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</si>
  <si>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</si>
  <si>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</si>
  <si>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</si>
  <si>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</si>
  <si>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</si>
  <si>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</si>
  <si>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</si>
  <si>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</si>
  <si>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</si>
  <si>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</si>
  <si>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</si>
  <si>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</si>
  <si>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</si>
  <si>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</si>
  <si>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</si>
  <si>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</si>
  <si>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</si>
  <si>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</si>
  <si>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</si>
  <si>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</si>
  <si>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</si>
  <si>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</si>
  <si>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</si>
  <si>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</si>
  <si>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</si>
  <si>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</si>
  <si>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</si>
  <si>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</si>
  <si>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</si>
  <si>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</si>
  <si>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</si>
  <si>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</si>
  <si>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</si>
  <si>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</si>
  <si>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</si>
  <si>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</si>
  <si>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</si>
  <si>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</si>
  <si>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</si>
  <si>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</si>
  <si>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</si>
  <si>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</si>
  <si>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</si>
  <si>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</si>
  <si>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</si>
  <si>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</si>
  <si>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</si>
  <si>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</si>
  <si>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</si>
  <si>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</si>
  <si>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</si>
  <si>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</si>
  <si>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</si>
  <si>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</si>
  <si>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</si>
  <si>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</si>
  <si>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</si>
  <si>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</si>
  <si>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</si>
  <si>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</si>
  <si>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</si>
  <si>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</si>
  <si>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</si>
  <si>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</si>
  <si>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</si>
  <si>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</si>
  <si>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</si>
  <si>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</si>
  <si>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</si>
  <si>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</si>
  <si>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</si>
  <si>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</si>
  <si>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</si>
  <si>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</si>
  <si>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</si>
  <si>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</si>
  <si>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</si>
  <si>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</si>
  <si>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</si>
  <si>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</si>
  <si>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</si>
  <si>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</si>
  <si>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</si>
  <si>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</si>
  <si>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</si>
  <si>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</si>
  <si>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</si>
  <si>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</si>
  <si>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</si>
  <si>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</si>
  <si>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</si>
  <si>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</si>
  <si>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</si>
  <si>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</si>
  <si>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</si>
  <si>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</si>
  <si>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</si>
  <si>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</si>
  <si>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</si>
  <si>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</si>
  <si>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</si>
  <si>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</si>
  <si>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</si>
  <si>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</si>
  <si>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</si>
  <si>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</si>
  <si>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</si>
  <si>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</si>
  <si>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N/A</t>
  </si>
  <si>
    <t>PARTLY CLOUDY. MORE HUMID. S.W. WINDS 10 TO 15 MPH. OVERNIGHT…INCREASING</t>
  </si>
  <si>
    <t>CLOUDS.</t>
  </si>
  <si>
    <t xml:space="preserve">A 50% CHANCE OF T'STORMS. OVERNIGHT…A 50% CHANCE OF T'STORMS. </t>
  </si>
  <si>
    <t>CHANCE OF T'STORMS.</t>
  </si>
  <si>
    <t xml:space="preserve">PARTLY CLOUDY. </t>
  </si>
  <si>
    <t>SUNNY.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</si>
</sst>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6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679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680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681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682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683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684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40" t="s">
        <v>9</v>
      </c>
      <c r="B1" s="798"/>
    </row>
    <row r="2" spans="1:88">
      <c r="A2" s="1040" t="s">
        <v>9</v>
      </c>
      <c r="B2" t="s">
        <v>9</v>
      </c>
    </row>
    <row r="3" spans="1:88" ht="15.6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158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24" sqref="A24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MON</v>
      </c>
      <c r="I1" s="865">
        <f>D4</f>
        <v>37088</v>
      </c>
      <c r="J1" s="110"/>
    </row>
    <row r="2" spans="1:10" ht="24.9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" customHeight="1" thickBot="1">
      <c r="A3" s="828"/>
      <c r="B3" s="826"/>
      <c r="C3" s="826"/>
      <c r="D3" s="829" t="str">
        <f t="shared" ref="D3:I3" si="0">CHOOSE(WEEKDAY(D4),"SUN","MON","TUE","WED","THU","FRI","SAT")</f>
        <v>MON</v>
      </c>
      <c r="E3" s="829" t="str">
        <f t="shared" si="0"/>
        <v>TUE</v>
      </c>
      <c r="F3" s="829" t="str">
        <f t="shared" si="0"/>
        <v>WED</v>
      </c>
      <c r="G3" s="829" t="str">
        <f t="shared" si="0"/>
        <v>THU</v>
      </c>
      <c r="H3" s="829" t="str">
        <f t="shared" si="0"/>
        <v>FRI</v>
      </c>
      <c r="I3" s="830" t="str">
        <f t="shared" si="0"/>
        <v>SAT</v>
      </c>
      <c r="J3" s="110"/>
    </row>
    <row r="4" spans="1:10" ht="24.9" customHeight="1" thickBot="1">
      <c r="A4" s="831" t="s">
        <v>153</v>
      </c>
      <c r="B4" s="832"/>
      <c r="C4" s="832"/>
      <c r="D4" s="833">
        <f>Weather_Input!A5</f>
        <v>37088</v>
      </c>
      <c r="E4" s="833">
        <f>Weather_Input!A6</f>
        <v>37089</v>
      </c>
      <c r="F4" s="833">
        <f>Weather_Input!A7</f>
        <v>37090</v>
      </c>
      <c r="G4" s="833">
        <f>Weather_Input!A8</f>
        <v>37091</v>
      </c>
      <c r="H4" s="833">
        <f>Weather_Input!A9</f>
        <v>37092</v>
      </c>
      <c r="I4" s="834">
        <f>Weather_Input!A10</f>
        <v>37093</v>
      </c>
      <c r="J4" s="110"/>
    </row>
    <row r="5" spans="1:10" s="111" customFormat="1" ht="24.9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87/68/78</v>
      </c>
      <c r="E5" s="866" t="str">
        <f>TEXT(Weather_Input!B6,"0")&amp;"/"&amp;TEXT(Weather_Input!C6,"0") &amp; "/" &amp; TEXT((Weather_Input!B6+Weather_Input!C6)/2,"0")</f>
        <v>90/69/80</v>
      </c>
      <c r="F5" s="866" t="str">
        <f>TEXT(Weather_Input!B7,"0")&amp;"/"&amp;TEXT(Weather_Input!C7,"0") &amp; "/" &amp; TEXT((Weather_Input!B7+Weather_Input!C7)/2,"0")</f>
        <v>87/70/79</v>
      </c>
      <c r="G5" s="866" t="str">
        <f>TEXT(Weather_Input!B8,"0")&amp;"/"&amp;TEXT(Weather_Input!C8,"0") &amp; "/" &amp; TEXT((Weather_Input!B8+Weather_Input!C8)/2,"0")</f>
        <v>91/70/81</v>
      </c>
      <c r="H5" s="866" t="str">
        <f>TEXT(Weather_Input!B9,"0")&amp;"/"&amp;TEXT(Weather_Input!C9,"0") &amp; "/" &amp; TEXT((Weather_Input!B9+Weather_Input!C9)/2,"0")</f>
        <v>91/71/81</v>
      </c>
      <c r="I5" s="867" t="str">
        <f>TEXT(Weather_Input!B10,"0")&amp;"/"&amp;TEXT(Weather_Input!C10,"0") &amp; "/" &amp; TEXT((Weather_Input!B10+Weather_Input!C10)/2,"0")</f>
        <v>91/71/81</v>
      </c>
      <c r="J5" s="110"/>
    </row>
    <row r="6" spans="1:10" ht="24.9" customHeight="1">
      <c r="A6" s="838" t="s">
        <v>134</v>
      </c>
      <c r="B6" s="826"/>
      <c r="C6" s="826"/>
      <c r="D6" s="836">
        <f ca="1">VLOOKUP(D4,NSG_Sendouts,CELL("Col",NSG_Deliveries!C5),FALSE)/1000</f>
        <v>34</v>
      </c>
      <c r="E6" s="836">
        <f ca="1">VLOOKUP(E4,NSG_Sendouts,CELL("Col",NSG_Deliveries!C6),FALSE)/1000</f>
        <v>34</v>
      </c>
      <c r="F6" s="836">
        <f ca="1">VLOOKUP(F4,NSG_Sendouts,CELL("Col",NSG_Deliveries!C7),FALSE)/1000</f>
        <v>34</v>
      </c>
      <c r="G6" s="836">
        <f ca="1">VLOOKUP(G4,NSG_Sendouts,CELL("Col",NSG_Deliveries!C8),FALSE)/1000</f>
        <v>34</v>
      </c>
      <c r="H6" s="836">
        <f ca="1">VLOOKUP(H4,NSG_Sendouts,CELL("Col",NSG_Deliveries!C9),FALSE)/1000</f>
        <v>33</v>
      </c>
      <c r="I6" s="841">
        <f ca="1">VLOOKUP(I4,NSG_Sendouts,CELL("Col",NSG_Deliveries!C10),FALSE)/1000</f>
        <v>30</v>
      </c>
      <c r="J6" s="111"/>
    </row>
    <row r="7" spans="1:10" ht="24.9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" customHeight="1">
      <c r="A8" s="835"/>
      <c r="B8" s="826" t="s">
        <v>137</v>
      </c>
      <c r="C8" s="840" t="s">
        <v>87</v>
      </c>
      <c r="D8" s="836">
        <f>NSG_Requirements!J7/1000</f>
        <v>5.92</v>
      </c>
      <c r="E8" s="836">
        <f>NSG_Requirements!J8/1000</f>
        <v>0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" customHeight="1" thickBot="1">
      <c r="A11" s="870" t="s">
        <v>143</v>
      </c>
      <c r="B11" s="860"/>
      <c r="C11" s="860"/>
      <c r="D11" s="845">
        <f t="shared" ref="D11:I11" ca="1" si="1">SUM(D6:D10)</f>
        <v>39.92</v>
      </c>
      <c r="E11" s="845">
        <f t="shared" ca="1" si="1"/>
        <v>34</v>
      </c>
      <c r="F11" s="845">
        <f t="shared" ca="1" si="1"/>
        <v>34</v>
      </c>
      <c r="G11" s="845">
        <f t="shared" ca="1" si="1"/>
        <v>34</v>
      </c>
      <c r="H11" s="845">
        <f t="shared" ca="1" si="1"/>
        <v>33</v>
      </c>
      <c r="I11" s="846">
        <f t="shared" ca="1" si="1"/>
        <v>30</v>
      </c>
      <c r="J11" s="110"/>
    </row>
    <row r="12" spans="1:10" ht="24.9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" customHeight="1">
      <c r="A17" s="835"/>
      <c r="B17" s="826" t="s">
        <v>135</v>
      </c>
      <c r="C17" s="840" t="s">
        <v>789</v>
      </c>
      <c r="D17" s="836">
        <f>NSG_Supplies!F7/1000</f>
        <v>0.6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27.323</v>
      </c>
      <c r="E19" s="836">
        <f>NSG_Supplies!Q8/1000</f>
        <v>27.323</v>
      </c>
      <c r="F19" s="836">
        <f>NSG_Supplies!Q9/1000</f>
        <v>27.323</v>
      </c>
      <c r="G19" s="836">
        <f>NSG_Supplies!Q10/1000</f>
        <v>27.323</v>
      </c>
      <c r="H19" s="836">
        <f>NSG_Supplies!Q11/1000</f>
        <v>27.323</v>
      </c>
      <c r="I19" s="837">
        <f>NSG_Supplies!Q12/1000</f>
        <v>27.323</v>
      </c>
      <c r="J19" s="110"/>
    </row>
    <row r="20" spans="1:13" ht="24.9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" customHeight="1" thickBot="1">
      <c r="A21" s="1242" t="s">
        <v>149</v>
      </c>
      <c r="B21" s="1243"/>
      <c r="C21" s="1243"/>
      <c r="D21" s="1244">
        <f t="shared" ref="D21:I21" si="2">SUM(D14:D20)</f>
        <v>39.923000000000002</v>
      </c>
      <c r="E21" s="1244">
        <f t="shared" si="2"/>
        <v>39.323</v>
      </c>
      <c r="F21" s="1244">
        <f t="shared" si="2"/>
        <v>39.323</v>
      </c>
      <c r="G21" s="1244">
        <f t="shared" si="2"/>
        <v>39.323</v>
      </c>
      <c r="H21" s="1244">
        <f t="shared" si="2"/>
        <v>39.323</v>
      </c>
      <c r="I21" s="1245">
        <f t="shared" si="2"/>
        <v>39.323</v>
      </c>
      <c r="J21" s="110"/>
      <c r="K21" s="111"/>
      <c r="L21" s="93"/>
      <c r="M21" s="111"/>
    </row>
    <row r="22" spans="1:13" ht="24.9" customHeight="1">
      <c r="A22" s="875" t="s">
        <v>150</v>
      </c>
      <c r="B22" s="876"/>
      <c r="C22" s="876"/>
      <c r="D22" s="877">
        <f t="shared" ref="D22:I22" ca="1" si="3">IF(D21-D11&lt;0,0,D21-D11)</f>
        <v>3.0000000000001137E-3</v>
      </c>
      <c r="E22" s="877">
        <f t="shared" ca="1" si="3"/>
        <v>5.3230000000000004</v>
      </c>
      <c r="F22" s="877">
        <f t="shared" ca="1" si="3"/>
        <v>5.3230000000000004</v>
      </c>
      <c r="G22" s="877">
        <f t="shared" ca="1" si="3"/>
        <v>5.3230000000000004</v>
      </c>
      <c r="H22" s="877">
        <f t="shared" ca="1" si="3"/>
        <v>6.3230000000000004</v>
      </c>
      <c r="I22" s="878">
        <f t="shared" ca="1" si="3"/>
        <v>9.3230000000000004</v>
      </c>
      <c r="J22" s="110"/>
      <c r="K22" s="111"/>
      <c r="L22" s="93"/>
      <c r="M22" s="111"/>
    </row>
    <row r="23" spans="1:13" ht="24.9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95" t="s">
        <v>723</v>
      </c>
      <c r="B24" s="1096"/>
      <c r="C24" s="1096"/>
      <c r="D24" s="1097">
        <f>NSG_Supplies!R7/1000</f>
        <v>15.99</v>
      </c>
      <c r="E24" s="1097">
        <f>NSG_Supplies!R8/1000</f>
        <v>15.99</v>
      </c>
      <c r="F24" s="1097">
        <f>NSG_Supplies!R9/1000</f>
        <v>15.99</v>
      </c>
      <c r="G24" s="1097">
        <f>NSG_Supplies!R10/1000</f>
        <v>15.99</v>
      </c>
      <c r="H24" s="1097">
        <f>NSG_Supplies!R11/1000</f>
        <v>15.99</v>
      </c>
      <c r="I24" s="1098">
        <f>NSG_Supplies!R12/1000</f>
        <v>15.99</v>
      </c>
    </row>
    <row r="25" spans="1:13" ht="24.9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" customHeight="1" thickTop="1" thickBot="1">
      <c r="A26" s="882" t="s">
        <v>157</v>
      </c>
      <c r="B26" s="883"/>
      <c r="C26" s="883"/>
      <c r="D26" s="884">
        <f>Weather_Input!D5</f>
        <v>8</v>
      </c>
      <c r="E26" s="884">
        <f>Weather_Input!D6</f>
        <v>8</v>
      </c>
      <c r="F26" s="884">
        <f>Weather_Input!D7</f>
        <v>8</v>
      </c>
      <c r="G26" s="885"/>
      <c r="H26" s="880"/>
      <c r="I26" s="880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37088</v>
      </c>
      <c r="N1" s="1218" t="str">
        <f>CHOOSE(WEEKDAY(M1),"SUN","MON","TUE","WED","THU","FRI","SAT")</f>
        <v>MON</v>
      </c>
      <c r="O1" s="588"/>
    </row>
    <row r="2" spans="1:17" ht="16.2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6">
      <c r="A3" s="420" t="s">
        <v>736</v>
      </c>
      <c r="B3" s="1178">
        <f>PGL_Requirements!I7/1000</f>
        <v>0.5</v>
      </c>
      <c r="C3" s="958" t="s">
        <v>9</v>
      </c>
      <c r="D3" s="308"/>
      <c r="E3" s="563" t="s">
        <v>453</v>
      </c>
      <c r="F3" s="319">
        <f>PGL_Supplies!H7/1000</f>
        <v>15</v>
      </c>
      <c r="G3" s="383" t="s">
        <v>9</v>
      </c>
      <c r="H3" s="1132" t="s">
        <v>9</v>
      </c>
      <c r="I3" s="1187" t="s">
        <v>9</v>
      </c>
      <c r="J3" s="944">
        <f>Weather_Input!B5</f>
        <v>87</v>
      </c>
      <c r="K3" s="945">
        <f>Weather_Input!C5</f>
        <v>68</v>
      </c>
      <c r="L3" s="599" t="s">
        <v>9</v>
      </c>
      <c r="M3" s="264" t="s">
        <v>9</v>
      </c>
      <c r="N3" s="264"/>
      <c r="O3" s="262"/>
    </row>
    <row r="4" spans="1:17" ht="15.6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>
        <v>79.2</v>
      </c>
      <c r="K4" s="1260"/>
      <c r="L4" s="429"/>
      <c r="M4" s="1046"/>
      <c r="N4" s="429"/>
      <c r="O4" s="799"/>
    </row>
    <row r="5" spans="1:17" ht="16.2" thickBot="1">
      <c r="A5" s="1058" t="s">
        <v>3</v>
      </c>
      <c r="B5" s="319">
        <f>PGL_Supplies!X7/1000</f>
        <v>90.021000000000001</v>
      </c>
      <c r="C5" s="1047" t="s">
        <v>9</v>
      </c>
      <c r="D5" s="344"/>
      <c r="E5" s="1197" t="s">
        <v>430</v>
      </c>
      <c r="F5" s="964">
        <f>F3+F4</f>
        <v>15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190</v>
      </c>
      <c r="L5" s="597"/>
      <c r="M5" s="264"/>
      <c r="N5" s="597"/>
      <c r="O5" s="262"/>
    </row>
    <row r="6" spans="1:17" ht="16.2" thickBot="1">
      <c r="A6" s="554" t="s">
        <v>421</v>
      </c>
      <c r="B6" s="1050">
        <f>+B5-B3+B2-B4</f>
        <v>89.521000000000001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2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3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6"/>
      <c r="I9" s="119" t="s">
        <v>695</v>
      </c>
      <c r="J9" s="1044"/>
      <c r="K9" s="1264">
        <f>+B6</f>
        <v>89.521000000000001</v>
      </c>
      <c r="L9" s="1044"/>
      <c r="M9" s="1046"/>
      <c r="N9" s="429"/>
      <c r="O9" s="280" t="s">
        <v>9</v>
      </c>
    </row>
    <row r="10" spans="1:17" ht="15.6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3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2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-131.62</v>
      </c>
      <c r="L11" s="597"/>
      <c r="M11" s="264" t="s">
        <v>9</v>
      </c>
      <c r="N11" s="597"/>
      <c r="O11" s="262"/>
    </row>
    <row r="12" spans="1:17" ht="16.2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132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230.83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15</v>
      </c>
      <c r="L14" s="597"/>
      <c r="M14" s="264" t="s">
        <v>9</v>
      </c>
      <c r="N14" s="597"/>
      <c r="O14" s="262"/>
    </row>
    <row r="15" spans="1:17" ht="16.2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0</v>
      </c>
      <c r="L15" s="597"/>
      <c r="M15" s="264" t="s">
        <v>9</v>
      </c>
      <c r="N15" s="597"/>
      <c r="O15" s="262"/>
    </row>
    <row r="16" spans="1:17" ht="16.2" thickBot="1">
      <c r="A16" s="420" t="s">
        <v>428</v>
      </c>
      <c r="B16" s="319">
        <f>PGL_Supplies!G7/1000</f>
        <v>1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9.7200000000000006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0.62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0</v>
      </c>
      <c r="L17" s="597"/>
      <c r="M17" s="264"/>
      <c r="N17" s="597"/>
      <c r="O17" s="262"/>
    </row>
    <row r="18" spans="1:15" ht="16.2" thickBot="1">
      <c r="A18" s="420" t="s">
        <v>692</v>
      </c>
      <c r="B18" s="319">
        <f>PGL_Requirements!P7/1000</f>
        <v>1.98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0</v>
      </c>
      <c r="L18" s="1044"/>
      <c r="M18" s="221"/>
      <c r="N18" s="1044"/>
      <c r="O18" s="799"/>
    </row>
    <row r="19" spans="1:15" ht="16.2" thickBot="1">
      <c r="A19" s="513" t="s">
        <v>430</v>
      </c>
      <c r="B19" s="1208">
        <f>-B13+B14+B16-B17-B15+B20+B21</f>
        <v>-131.62</v>
      </c>
      <c r="C19" s="515"/>
      <c r="D19" s="527"/>
      <c r="E19" s="1146" t="s">
        <v>743</v>
      </c>
      <c r="F19" s="1211">
        <f>PGL_Requirements!J7/1000</f>
        <v>0</v>
      </c>
      <c r="G19" s="1033" t="s">
        <v>9</v>
      </c>
      <c r="H19" s="1147" t="s">
        <v>9</v>
      </c>
      <c r="I19" t="s">
        <v>536</v>
      </c>
      <c r="J19" s="1214"/>
      <c r="K19" s="1268">
        <f>-F24</f>
        <v>-58.3</v>
      </c>
      <c r="L19" s="1214"/>
      <c r="M19" s="157"/>
      <c r="N19" s="1214"/>
      <c r="O19" s="1213"/>
    </row>
    <row r="20" spans="1:15" ht="16.2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155.15100000000001</v>
      </c>
      <c r="L20" s="616" t="s">
        <v>9</v>
      </c>
      <c r="M20" s="506" t="s">
        <v>9</v>
      </c>
      <c r="N20" s="616" t="s">
        <v>9</v>
      </c>
      <c r="O20" s="617"/>
    </row>
    <row r="21" spans="1:15" ht="16.2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6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34.84899999999999</v>
      </c>
      <c r="L23" s="261"/>
      <c r="M23" s="609" t="s">
        <v>9</v>
      </c>
      <c r="N23" s="261"/>
      <c r="O23" s="291"/>
    </row>
    <row r="24" spans="1:15" ht="16.2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58.3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2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1.98</v>
      </c>
      <c r="L25" s="951"/>
      <c r="M25" s="1225"/>
      <c r="N25" s="952" t="s">
        <v>9</v>
      </c>
      <c r="O25" s="255"/>
    </row>
    <row r="26" spans="1:15" ht="16.8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36.828999999999986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2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0</v>
      </c>
      <c r="L28" s="302"/>
      <c r="M28" s="946" t="s">
        <v>9</v>
      </c>
      <c r="N28" s="509"/>
      <c r="O28" s="957" t="s">
        <v>9</v>
      </c>
    </row>
    <row r="29" spans="1:15" ht="16.2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6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-36.831000000000003</v>
      </c>
      <c r="L30" s="1161"/>
      <c r="M30" s="1061">
        <f>-PGL_Supplies!AB7/1000</f>
        <v>-36.831000000000003</v>
      </c>
      <c r="N30" s="1162"/>
      <c r="O30" s="1222">
        <f>-PGL_Supplies!AB7/1000</f>
        <v>-36.831000000000003</v>
      </c>
    </row>
    <row r="31" spans="1:15" ht="16.2" thickBot="1">
      <c r="A31" s="365" t="s">
        <v>459</v>
      </c>
      <c r="B31" s="966">
        <f>PGL_Supplies!D7/1000</f>
        <v>18.3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2" thickBot="1">
      <c r="A32" s="420" t="s">
        <v>104</v>
      </c>
      <c r="B32" s="966">
        <f>PGL_Supplies!AA7/1000+NSG_Supplies!M7/1000</f>
        <v>192.53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6" thickBot="1">
      <c r="A33" s="1117" t="s">
        <v>587</v>
      </c>
      <c r="B33" s="966">
        <f>PGL_Supplies!S7/1000</f>
        <v>40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2" thickBot="1">
      <c r="A34" s="1173" t="s">
        <v>650</v>
      </c>
      <c r="B34" s="1198">
        <f>-B30+B31+B32+B33*0.5</f>
        <v>230.83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807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172.53000000000003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58.3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806</v>
      </c>
      <c r="B38" s="1179">
        <f>PGL_Requirements!J7/1000</f>
        <v>0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2" thickBot="1">
      <c r="A39" s="1119" t="s">
        <v>2</v>
      </c>
      <c r="B39" s="1221">
        <f>B35+B36+B37+B38</f>
        <v>230.83000000000004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808</v>
      </c>
      <c r="M39" s="1089"/>
      <c r="N39" s="1254"/>
      <c r="O39" s="1235"/>
    </row>
    <row r="40" spans="1:15" ht="16.8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6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topLeftCell="A21" zoomScale="75" workbookViewId="0">
      <selection activeCell="A27" sqref="A27"/>
    </sheetView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MON</v>
      </c>
      <c r="G1" s="1224">
        <f>Weather_Input!A5</f>
        <v>37088</v>
      </c>
      <c r="H1" s="584" t="s">
        <v>244</v>
      </c>
      <c r="I1" s="588"/>
    </row>
    <row r="2" spans="1:9" ht="20.399999999999999">
      <c r="A2" s="634" t="s">
        <v>9</v>
      </c>
      <c r="B2" s="780" t="s">
        <v>529</v>
      </c>
      <c r="C2" s="935">
        <v>79.2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1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87</v>
      </c>
      <c r="C4" s="750">
        <f>Weather_Input!C5</f>
        <v>68</v>
      </c>
      <c r="D4" s="644"/>
      <c r="E4" s="645"/>
      <c r="F4" s="644"/>
      <c r="G4" s="645"/>
      <c r="H4" s="646"/>
      <c r="I4" s="647"/>
    </row>
    <row r="5" spans="1:9" ht="23.4" thickBot="1">
      <c r="A5" s="648" t="s">
        <v>134</v>
      </c>
      <c r="B5" s="649"/>
      <c r="C5" s="650">
        <f>NSG_Deliveries!C5/1000</f>
        <v>34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3.4" thickBot="1">
      <c r="A7" s="658" t="s">
        <v>84</v>
      </c>
      <c r="B7" s="649"/>
      <c r="C7" s="755">
        <f>C5-C9-C11-C12</f>
        <v>27.92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6.08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2.8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2.8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3.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.6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3.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.6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3.4" thickBot="1">
      <c r="A19" s="695" t="s">
        <v>406</v>
      </c>
      <c r="B19" s="696"/>
      <c r="C19" s="697">
        <f>C7+C12</f>
        <v>27.92</v>
      </c>
      <c r="D19" s="698"/>
      <c r="E19" s="699"/>
      <c r="F19" s="698"/>
      <c r="G19" s="698" t="s">
        <v>9</v>
      </c>
      <c r="H19" s="696"/>
      <c r="I19" s="700"/>
    </row>
    <row r="20" spans="1:9" ht="20.399999999999999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399999999999999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399999999999999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399999999999999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399999999999999">
      <c r="A24" s="701" t="s">
        <v>415</v>
      </c>
      <c r="B24" s="706"/>
      <c r="C24" s="703">
        <f>-NSG_Supplies!F7/1000</f>
        <v>-0.6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399999999999999">
      <c r="A25" s="701" t="s">
        <v>183</v>
      </c>
      <c r="B25" s="709"/>
      <c r="C25" s="703">
        <f>-NSG_Supplies!Q7/1000</f>
        <v>-27.323</v>
      </c>
      <c r="D25" s="710"/>
      <c r="E25" s="703">
        <f>-NSG_Supplies!Q7/1000</f>
        <v>-27.323</v>
      </c>
      <c r="F25" s="710"/>
      <c r="G25" s="703">
        <f>-NSG_Supplies!Q7/1000</f>
        <v>-27.323</v>
      </c>
      <c r="H25" s="709"/>
      <c r="I25" s="766">
        <f>-NSG_Supplies!Q7/1000</f>
        <v>-27.323</v>
      </c>
    </row>
    <row r="26" spans="1:9" ht="20.399999999999999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3.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1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399999999999999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399999999999999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399999999999999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399999999999999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399999999999999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399999999999999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.6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3.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399999999999999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399999999999999">
      <c r="A40" s="701" t="s">
        <v>484</v>
      </c>
      <c r="B40" s="808">
        <f>NSG_Requirements!J7/1000</f>
        <v>5.92</v>
      </c>
      <c r="C40" s="710"/>
      <c r="D40" s="728"/>
      <c r="E40" s="711"/>
      <c r="F40" s="635"/>
      <c r="G40" s="707"/>
      <c r="H40" s="707"/>
      <c r="I40" s="726"/>
    </row>
    <row r="41" spans="1:9" ht="20.399999999999999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399999999999999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399999999999999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.6" thickBot="1">
      <c r="A45" s="733" t="s">
        <v>482</v>
      </c>
      <c r="B45" s="810">
        <f>B44+B41-B40</f>
        <v>6.08</v>
      </c>
      <c r="C45" s="741"/>
      <c r="D45" s="740"/>
      <c r="E45" s="742"/>
      <c r="F45" s="635"/>
      <c r="G45" s="707"/>
      <c r="H45" s="707"/>
      <c r="I45" s="726"/>
    </row>
    <row r="46" spans="1:9" ht="23.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399999999999999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399999999999999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399999999999999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3.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399999999999999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.6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37088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87</v>
      </c>
      <c r="C5" s="261">
        <f>Weather_Input!C5</f>
        <v>68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190</v>
      </c>
      <c r="C8" s="269">
        <f>NSG_Deliveries!C5/1000</f>
        <v>34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117.604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-41.978999999999999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9.7200000000000006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34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1.98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34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0.62</v>
      </c>
      <c r="C27" s="305">
        <f>NSG_Requirements!P7/1000</f>
        <v>0</v>
      </c>
      <c r="D27" s="305">
        <f>PGL_Requirements!Q7/1000</f>
        <v>0.62</v>
      </c>
      <c r="E27" s="305">
        <f>NSG_Requirements!P7/1000</f>
        <v>0</v>
      </c>
      <c r="F27" s="305">
        <f>PGL_Requirements!Q7/1000</f>
        <v>0.62</v>
      </c>
      <c r="G27" s="305">
        <f>NSG_Requirements!P7/1000</f>
        <v>0</v>
      </c>
      <c r="H27" s="306">
        <f>+B27</f>
        <v>0.62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-36.831000000000003</v>
      </c>
      <c r="C32" s="310">
        <f>-NSG_Supplies!Q7/1000</f>
        <v>-27.323</v>
      </c>
      <c r="D32" s="310">
        <f>B32</f>
        <v>-36.831000000000003</v>
      </c>
      <c r="E32" s="310">
        <f>C32</f>
        <v>-27.323</v>
      </c>
      <c r="F32" s="310">
        <f>B32</f>
        <v>-36.831000000000003</v>
      </c>
      <c r="G32" s="310">
        <f>C32</f>
        <v>-27.323</v>
      </c>
      <c r="H32" s="315">
        <f>B32</f>
        <v>-36.831000000000003</v>
      </c>
      <c r="I32" s="316">
        <f>C32</f>
        <v>-27.323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-15.99</v>
      </c>
      <c r="D33" s="310">
        <f>B33</f>
        <v>0</v>
      </c>
      <c r="E33" s="310">
        <f>C33</f>
        <v>-15.99</v>
      </c>
      <c r="F33" s="310">
        <f>B33</f>
        <v>0</v>
      </c>
      <c r="G33" s="310">
        <f>C33</f>
        <v>-15.99</v>
      </c>
      <c r="H33" s="315">
        <f>B33</f>
        <v>0</v>
      </c>
      <c r="I33" s="316">
        <f>C33</f>
        <v>-15.99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-0.6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132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1.98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1.98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118.104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0.5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117.604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90.021000000000001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132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3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-41.978999999999999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MON</v>
      </c>
      <c r="H73" s="401">
        <f>Weather_Input!A5</f>
        <v>37088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6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6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2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2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-381.89600000000002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90.021000000000001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</v>
      </c>
      <c r="D103" s="615"/>
      <c r="E103" s="264"/>
      <c r="F103" s="597"/>
      <c r="G103" s="264"/>
      <c r="H103" s="597"/>
      <c r="I103" s="262"/>
    </row>
    <row r="104" spans="1:9" ht="15.6" thickBot="1">
      <c r="A104" s="287" t="s">
        <v>105</v>
      </c>
      <c r="B104" s="610" t="s">
        <v>9</v>
      </c>
      <c r="C104" s="618">
        <f>PGL_Supplies!B7/1000</f>
        <v>9.7200000000000006</v>
      </c>
      <c r="D104" s="596"/>
      <c r="E104" s="264"/>
      <c r="F104" s="597"/>
      <c r="G104" s="264"/>
      <c r="H104" s="597"/>
      <c r="I104" s="262"/>
    </row>
    <row r="105" spans="1:9" ht="16.2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2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6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-15.99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0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6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2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6.2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500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6" thickBot="1">
      <c r="A140" s="420" t="s">
        <v>371</v>
      </c>
      <c r="B140" s="319">
        <f>PGL_Supplies!U7/1000</f>
        <v>118.104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2" thickBot="1">
      <c r="A141" s="554" t="s">
        <v>421</v>
      </c>
      <c r="B141" s="556">
        <f>-B135+B136+B137-B138+B139+B140</f>
        <v>-381.89600000000002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2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132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6" thickBot="1">
      <c r="A146" s="420" t="s">
        <v>428</v>
      </c>
      <c r="B146" s="319">
        <f>PGL_Supplies!G7/1000</f>
        <v>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2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6" thickBot="1">
      <c r="A148" s="420" t="s">
        <v>429</v>
      </c>
      <c r="B148" s="319">
        <f>PGL_Requirements!P7/1000</f>
        <v>1.98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2" thickBot="1">
      <c r="A149" s="513" t="s">
        <v>430</v>
      </c>
      <c r="B149" s="514">
        <f>B144+B146</f>
        <v>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6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2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6.2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3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6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6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6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2" thickBot="1">
      <c r="A159" s="420" t="s">
        <v>104</v>
      </c>
      <c r="B159" s="319">
        <f>PGL_Supplies!AC7/1000</f>
        <v>3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6" thickBot="1">
      <c r="A160" s="420" t="s">
        <v>371</v>
      </c>
      <c r="B160" s="606">
        <f>PGL_Supplies!X7/1000</f>
        <v>90.021000000000001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2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2" thickBot="1">
      <c r="A162" s="394" t="s">
        <v>430</v>
      </c>
      <c r="B162" s="607">
        <f>B154+B156+B158+B159+B160-B153-B155-B157-B161</f>
        <v>90.021000000000001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37089.177498611112</v>
      </c>
      <c r="F22" s="161" t="s">
        <v>257</v>
      </c>
      <c r="G22" s="188">
        <f ca="1">NOW()</f>
        <v>37089.177498611112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37088</v>
      </c>
      <c r="C5" s="15"/>
      <c r="D5" s="22" t="s">
        <v>275</v>
      </c>
      <c r="E5" s="23">
        <f>Weather_Input!B5</f>
        <v>87</v>
      </c>
      <c r="F5" s="24" t="s">
        <v>276</v>
      </c>
      <c r="G5" s="25" t="str">
        <f>Weather_Input!H5</f>
        <v xml:space="preserve"> 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68</v>
      </c>
      <c r="F6" s="24" t="s">
        <v>278</v>
      </c>
      <c r="G6" s="25" t="str">
        <f>Weather_Input!F5</f>
        <v xml:space="preserve"> </v>
      </c>
      <c r="H6" s="26" t="s">
        <v>279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77.5</v>
      </c>
      <c r="F7" s="24" t="s">
        <v>281</v>
      </c>
      <c r="G7" s="25">
        <f>Weather_Input!G5</f>
        <v>0</v>
      </c>
      <c r="H7" s="26" t="s">
        <v>281</v>
      </c>
      <c r="I7" s="120">
        <f ca="1">G7-(VLOOKUP(B5,DD_Normal_Data,CELL("Col",D4),FALSE))</f>
        <v>-6422</v>
      </c>
      <c r="J7" s="120"/>
    </row>
    <row r="8" spans="1:109" ht="15">
      <c r="A8" s="18"/>
      <c r="B8" s="20"/>
      <c r="C8" s="15"/>
      <c r="D8" s="32" t="str">
        <f>IF(Weather_Input!I5=""," ",Weather_Input!I5)</f>
        <v>PARTLY CLOUDY. MORE HUMID. S.W. WINDS 10 TO 15 MPH. OVERNIGHT…INCREASING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CLOUDS.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37089</v>
      </c>
      <c r="C10" s="15"/>
      <c r="D10" s="150" t="s">
        <v>275</v>
      </c>
      <c r="E10" s="23">
        <f>Weather_Input!B6</f>
        <v>90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69</v>
      </c>
      <c r="F11" s="24" t="s">
        <v>278</v>
      </c>
      <c r="G11" s="25">
        <f>IF(DAY(B10)=1,G10,G6+G10)</f>
        <v>0</v>
      </c>
      <c r="H11" s="30" t="s">
        <v>279</v>
      </c>
      <c r="I11" s="27">
        <f ca="1">G11-(VLOOKUP(B10,DD_Normal_Data,CELL("Col",C12),FALSE))</f>
        <v>0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79.5</v>
      </c>
      <c r="F12" s="24" t="s">
        <v>281</v>
      </c>
      <c r="G12" s="25">
        <f>IF(AND(DAY(B10)=1,MONTH(B10)=8),G10,G7+G10)</f>
        <v>0</v>
      </c>
      <c r="H12" s="26" t="s">
        <v>281</v>
      </c>
      <c r="I12" s="27">
        <f ca="1">G12-(VLOOKUP(B10,DD_Normal_Data,CELL("Col",D9),FALSE))</f>
        <v>-6422</v>
      </c>
    </row>
    <row r="13" spans="1:109" ht="15">
      <c r="A13" s="18"/>
      <c r="B13" s="21"/>
      <c r="C13" s="15"/>
      <c r="D13" s="32" t="str">
        <f>IF(Weather_Input!I6=""," ",Weather_Input!I6)</f>
        <v xml:space="preserve">A 50% CHANCE OF T'STORMS. OVERNIGHT…A 50% CHANCE OF T'STORMS.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37090</v>
      </c>
      <c r="C15" s="15"/>
      <c r="D15" s="22" t="s">
        <v>275</v>
      </c>
      <c r="E15" s="23">
        <f>Weather_Input!B7</f>
        <v>87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70</v>
      </c>
      <c r="F16" s="24" t="s">
        <v>278</v>
      </c>
      <c r="G16" s="25">
        <f>IF(DAY(B15)=1,G15,G11+G15)</f>
        <v>0</v>
      </c>
      <c r="H16" s="30" t="s">
        <v>279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78.5</v>
      </c>
      <c r="F17" s="24" t="s">
        <v>281</v>
      </c>
      <c r="G17" s="25">
        <f>IF(AND(DAY(B15)=1,MONTH(B15)=8),G15,G12+G15)</f>
        <v>0</v>
      </c>
      <c r="H17" s="26" t="s">
        <v>281</v>
      </c>
      <c r="I17" s="27">
        <f ca="1">G17-(VLOOKUP(B15,DD_Normal_Data,CELL("Col",D14),FALSE))</f>
        <v>-6422</v>
      </c>
    </row>
    <row r="18" spans="1:109" ht="15">
      <c r="A18" s="18"/>
      <c r="B18" s="20"/>
      <c r="C18" s="15"/>
      <c r="D18" s="32" t="str">
        <f>IF(Weather_Input!I7=""," ",Weather_Input!I7)</f>
        <v>CHANCE OF T'STORMS.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37091</v>
      </c>
      <c r="C20" s="15"/>
      <c r="D20" s="22" t="s">
        <v>275</v>
      </c>
      <c r="E20" s="23">
        <f>Weather_Input!B8</f>
        <v>91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70</v>
      </c>
      <c r="F21" s="24" t="s">
        <v>278</v>
      </c>
      <c r="G21" s="25">
        <f>IF(DAY(B20)=1,G20,G16+G20)</f>
        <v>0</v>
      </c>
      <c r="H21" s="30" t="s">
        <v>279</v>
      </c>
      <c r="I21" s="27">
        <f ca="1">G21-(VLOOKUP(B20,DD_Normal_Data,CELL("Col",C22),FALSE))</f>
        <v>0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80.5</v>
      </c>
      <c r="F22" s="24" t="s">
        <v>281</v>
      </c>
      <c r="G22" s="25">
        <f>IF(AND(DAY(B20)=1,MONTH(B20)=8),G20,G17+G20)</f>
        <v>0</v>
      </c>
      <c r="H22" s="26" t="s">
        <v>281</v>
      </c>
      <c r="I22" s="27">
        <f ca="1">G22-(VLOOKUP(B20,DD_Normal_Data,CELL("Col",D19),FALSE))</f>
        <v>-6422</v>
      </c>
    </row>
    <row r="23" spans="1:109" ht="15">
      <c r="A23" s="18"/>
      <c r="B23" s="21"/>
      <c r="C23" s="15"/>
      <c r="D23" s="32" t="str">
        <f>IF(Weather_Input!I8=""," ",Weather_Input!I8)</f>
        <v xml:space="preserve">PARTLY CLOUDY.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37092</v>
      </c>
      <c r="C25" s="15"/>
      <c r="D25" s="22" t="s">
        <v>275</v>
      </c>
      <c r="E25" s="23">
        <f>Weather_Input!B9</f>
        <v>91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71</v>
      </c>
      <c r="F26" s="24" t="s">
        <v>278</v>
      </c>
      <c r="G26" s="25">
        <f>IF(DAY(B25)=1,G25,G21+G25)</f>
        <v>0</v>
      </c>
      <c r="H26" s="30" t="s">
        <v>279</v>
      </c>
      <c r="I26" s="27">
        <f ca="1">G26-(VLOOKUP(B25,DD_Normal_Data,CELL("Col",C27),FALSE))</f>
        <v>0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81</v>
      </c>
      <c r="F27" s="24" t="s">
        <v>281</v>
      </c>
      <c r="G27" s="25">
        <f>IF(AND(DAY(B25)=1,MONTH(B25)=8),G25,G22+G25)</f>
        <v>0</v>
      </c>
      <c r="H27" s="26" t="s">
        <v>281</v>
      </c>
      <c r="I27" s="27">
        <f ca="1">G27-(VLOOKUP(B25,DD_Normal_Data,CELL("Col",D24),FALSE))</f>
        <v>-6422</v>
      </c>
    </row>
    <row r="28" spans="1:109" ht="15">
      <c r="A28" s="18"/>
      <c r="B28" s="20"/>
      <c r="C28" s="15"/>
      <c r="D28" s="32" t="str">
        <f>IF(Weather_Input!I9=""," ",Weather_Input!I9)</f>
        <v>SUNNY.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37093</v>
      </c>
      <c r="C30" s="15"/>
      <c r="D30" s="22" t="s">
        <v>275</v>
      </c>
      <c r="E30" s="23">
        <f>Weather_Input!B10</f>
        <v>91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71</v>
      </c>
      <c r="F31" s="24" t="s">
        <v>278</v>
      </c>
      <c r="G31" s="25">
        <f>IF(DAY(B30)=1,G30,G26+G30)</f>
        <v>0</v>
      </c>
      <c r="H31" s="30" t="s">
        <v>279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81</v>
      </c>
      <c r="F32" s="24" t="s">
        <v>281</v>
      </c>
      <c r="G32" s="25">
        <f>IF(AND(DAY(B30)=1,MONTH(B30)=8),G30,G27+G30)</f>
        <v>0</v>
      </c>
      <c r="H32" s="26" t="s">
        <v>281</v>
      </c>
      <c r="I32" s="27">
        <f ca="1">G32-(VLOOKUP(B30,DD_Normal_Data,CELL("Col",D29),FALSE))</f>
        <v>-6422</v>
      </c>
    </row>
    <row r="33" spans="1:9" ht="15">
      <c r="A33" s="15"/>
      <c r="B33" s="34"/>
      <c r="C33" s="15"/>
      <c r="D33" s="32" t="str">
        <f>IF(Weather_Input!I10=""," ",Weather_Input!I10)</f>
        <v>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37088</v>
      </c>
      <c r="C36" s="89">
        <f>B10</f>
        <v>37089</v>
      </c>
      <c r="D36" s="89">
        <f>B15</f>
        <v>37090</v>
      </c>
      <c r="E36" s="89">
        <f xml:space="preserve">       B20</f>
        <v>37091</v>
      </c>
      <c r="F36" s="89">
        <f>B25</f>
        <v>37092</v>
      </c>
      <c r="G36" s="89">
        <f>B30</f>
        <v>37093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190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195</v>
      </c>
      <c r="F37" s="41">
        <f ca="1">(VLOOKUP(F36,PGL_Sendouts,(CELL("COL",PGL_Deliveries!C10))))/1000</f>
        <v>185</v>
      </c>
      <c r="G37" s="41">
        <f ca="1">(VLOOKUP(G36,PGL_Sendouts,(CELL("COL",PGL_Deliveries!C10))))/1000</f>
        <v>175</v>
      </c>
      <c r="H37" s="14"/>
      <c r="I37" s="15"/>
    </row>
    <row r="38" spans="1:9" ht="15">
      <c r="A38" s="15" t="s">
        <v>286</v>
      </c>
      <c r="B38" s="41">
        <f>PGL_6_Day_Report!D25</f>
        <v>386.6</v>
      </c>
      <c r="C38" s="41">
        <f>PGL_6_Day_Report!E25</f>
        <v>398.20550000000003</v>
      </c>
      <c r="D38" s="41">
        <f>PGL_6_Day_Report!F25</f>
        <v>332.8</v>
      </c>
      <c r="E38" s="41">
        <f>PGL_6_Day_Report!G25</f>
        <v>332.8</v>
      </c>
      <c r="F38" s="41">
        <f>PGL_6_Day_Report!H25</f>
        <v>322.8</v>
      </c>
      <c r="G38" s="41">
        <f>PGL_6_Day_Report!I25</f>
        <v>312.8</v>
      </c>
      <c r="H38" s="14"/>
      <c r="I38" s="15"/>
    </row>
    <row r="39" spans="1:9" ht="15">
      <c r="A39" s="42" t="s">
        <v>104</v>
      </c>
      <c r="B39" s="41">
        <f>SUM(PGL_Supplies!Y7:AD7)/1000</f>
        <v>232.56100000000001</v>
      </c>
      <c r="C39" s="41">
        <f>SUM(PGL_Supplies!Y8:AD8)/1000</f>
        <v>268.03300000000002</v>
      </c>
      <c r="D39" s="41">
        <f>SUM(PGL_Supplies!Y9:AD9)/1000</f>
        <v>258.03300000000002</v>
      </c>
      <c r="E39" s="41">
        <f>SUM(PGL_Supplies!Y10:AD10)/1000</f>
        <v>258.03300000000002</v>
      </c>
      <c r="F39" s="41">
        <f>SUM(PGL_Supplies!Y11:AD11)/1000</f>
        <v>258.03300000000002</v>
      </c>
      <c r="G39" s="41">
        <f>SUM(PGL_Supplies!Y12:AD12)/1000</f>
        <v>258.03300000000002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0.82</v>
      </c>
      <c r="C41" s="41">
        <f>SUM(PGL_Requirements!Q7:T7)/1000</f>
        <v>0.82</v>
      </c>
      <c r="D41" s="41">
        <f>SUM(PGL_Requirements!Q7:T7)/1000</f>
        <v>0.82</v>
      </c>
      <c r="E41" s="41">
        <f>SUM(PGL_Requirements!Q7:T7)/1000</f>
        <v>0.82</v>
      </c>
      <c r="F41" s="41">
        <f>SUM(PGL_Requirements!Q7:T7)/1000</f>
        <v>0.82</v>
      </c>
      <c r="G41" s="41">
        <f>SUM(PGL_Requirements!Q7:T7)/1000</f>
        <v>0.82</v>
      </c>
      <c r="H41" s="14"/>
      <c r="I41" s="15"/>
    </row>
    <row r="42" spans="1:9" ht="15">
      <c r="A42" s="15" t="s">
        <v>127</v>
      </c>
      <c r="B42" s="41">
        <f>PGL_Supplies!U7/1000</f>
        <v>118.104</v>
      </c>
      <c r="C42" s="41">
        <f>PGL_Supplies!U8/1000</f>
        <v>118.104</v>
      </c>
      <c r="D42" s="41">
        <f>PGL_Supplies!U9/1000</f>
        <v>118.104</v>
      </c>
      <c r="E42" s="41">
        <f>PGL_Supplies!U10/1000</f>
        <v>118.104</v>
      </c>
      <c r="F42" s="41">
        <f>PGL_Supplies!U11/1000</f>
        <v>118.104</v>
      </c>
      <c r="G42" s="41">
        <f>PGL_Supplies!U12/1000</f>
        <v>118.104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37088</v>
      </c>
      <c r="C44" s="89">
        <f t="shared" si="0"/>
        <v>37089</v>
      </c>
      <c r="D44" s="89">
        <f t="shared" si="0"/>
        <v>37090</v>
      </c>
      <c r="E44" s="89">
        <f t="shared" si="0"/>
        <v>37091</v>
      </c>
      <c r="F44" s="89">
        <f t="shared" si="0"/>
        <v>37092</v>
      </c>
      <c r="G44" s="89">
        <f t="shared" si="0"/>
        <v>37093</v>
      </c>
      <c r="H44" s="14"/>
      <c r="I44" s="15"/>
    </row>
    <row r="45" spans="1:9" ht="15">
      <c r="A45" s="15" t="s">
        <v>54</v>
      </c>
      <c r="B45" s="41">
        <f ca="1">NSG_6_Day_Report!D6</f>
        <v>34</v>
      </c>
      <c r="C45" s="41">
        <f ca="1">NSG_6_Day_Report!E6</f>
        <v>34</v>
      </c>
      <c r="D45" s="41">
        <f ca="1">NSG_6_Day_Report!F6</f>
        <v>34</v>
      </c>
      <c r="E45" s="41">
        <f ca="1">NSG_6_Day_Report!G6</f>
        <v>34</v>
      </c>
      <c r="F45" s="41">
        <f ca="1">NSG_6_Day_Report!H6</f>
        <v>33</v>
      </c>
      <c r="G45" s="41">
        <f ca="1">NSG_6_Day_Report!I6</f>
        <v>30</v>
      </c>
      <c r="H45" s="14"/>
      <c r="I45" s="15"/>
    </row>
    <row r="46" spans="1:9" ht="15">
      <c r="A46" s="42" t="s">
        <v>286</v>
      </c>
      <c r="B46" s="41">
        <f ca="1">NSG_6_Day_Report!D11</f>
        <v>39.92</v>
      </c>
      <c r="C46" s="41">
        <f ca="1">NSG_6_Day_Report!E11</f>
        <v>34</v>
      </c>
      <c r="D46" s="41">
        <f ca="1">NSG_6_Day_Report!F11</f>
        <v>34</v>
      </c>
      <c r="E46" s="41">
        <f ca="1">NSG_6_Day_Report!G11</f>
        <v>34</v>
      </c>
      <c r="F46" s="41">
        <f ca="1">NSG_6_Day_Report!H11</f>
        <v>33</v>
      </c>
      <c r="G46" s="41">
        <f ca="1">NSG_6_Day_Report!I11</f>
        <v>30</v>
      </c>
      <c r="H46" s="14"/>
      <c r="I46" s="15"/>
    </row>
    <row r="47" spans="1:9" ht="15">
      <c r="A47" s="42" t="s">
        <v>104</v>
      </c>
      <c r="B47" s="41">
        <f>SUM(NSG_Supplies!O7:Q7)/1000</f>
        <v>39.323</v>
      </c>
      <c r="C47" s="41">
        <f>SUM(NSG_Supplies!O8:Q8)/1000</f>
        <v>39.323</v>
      </c>
      <c r="D47" s="41">
        <f>SUM(NSG_Supplies!O9:Q9)/1000</f>
        <v>39.323</v>
      </c>
      <c r="E47" s="41">
        <f>SUM(NSG_Supplies!O10:Q10)/1000</f>
        <v>39.323</v>
      </c>
      <c r="F47" s="41">
        <f>SUM(NSG_Supplies!O11:Q11)/1000</f>
        <v>39.323</v>
      </c>
      <c r="G47" s="41">
        <f>SUM(NSG_Supplies!O12:Q12)/1000</f>
        <v>39.323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15.99</v>
      </c>
      <c r="C50" s="41">
        <f>NSG_Supplies!R8/1000</f>
        <v>15.99</v>
      </c>
      <c r="D50" s="41">
        <f>NSG_Supplies!R9/1000</f>
        <v>15.99</v>
      </c>
      <c r="E50" s="41">
        <f>NSG_Supplies!R10/1000</f>
        <v>15.99</v>
      </c>
      <c r="F50" s="41">
        <f>NSG_Supplies!R11/1000</f>
        <v>15.99</v>
      </c>
      <c r="G50" s="41">
        <f>NSG_Supplies!R12/1000</f>
        <v>15.99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37088</v>
      </c>
      <c r="C52" s="89">
        <f t="shared" si="1"/>
        <v>37089</v>
      </c>
      <c r="D52" s="89">
        <f t="shared" si="1"/>
        <v>37090</v>
      </c>
      <c r="E52" s="89">
        <f t="shared" si="1"/>
        <v>37091</v>
      </c>
      <c r="F52" s="89">
        <f t="shared" si="1"/>
        <v>37092</v>
      </c>
      <c r="G52" s="89">
        <f t="shared" si="1"/>
        <v>37093</v>
      </c>
      <c r="H52" s="14"/>
      <c r="I52" s="15"/>
    </row>
    <row r="53" spans="1:9" ht="15">
      <c r="A53" s="92" t="s">
        <v>290</v>
      </c>
      <c r="B53" s="41">
        <f>PGL_Requirements!O7/1000</f>
        <v>132</v>
      </c>
      <c r="C53" s="41">
        <f>PGL_Requirements!O8/1000</f>
        <v>132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5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64"/>
    </row>
    <row r="3" spans="1:8" ht="16.2" thickBot="1">
      <c r="A3" s="96" t="s">
        <v>296</v>
      </c>
    </row>
    <row r="4" spans="1:8">
      <c r="A4" s="97"/>
      <c r="B4" s="1065" t="str">
        <f>Six_Day_Summary!A10</f>
        <v>Tuesday</v>
      </c>
      <c r="C4" s="1066" t="str">
        <f>Six_Day_Summary!A15</f>
        <v>Wednesday</v>
      </c>
      <c r="D4" s="1066" t="str">
        <f>Six_Day_Summary!A20</f>
        <v>Thursday</v>
      </c>
      <c r="E4" s="1066" t="str">
        <f>Six_Day_Summary!A25</f>
        <v>Friday</v>
      </c>
      <c r="F4" s="1067" t="str">
        <f>Six_Day_Summary!A30</f>
        <v>Saturday</v>
      </c>
      <c r="G4" s="98"/>
    </row>
    <row r="5" spans="1:8">
      <c r="A5" s="101" t="s">
        <v>297</v>
      </c>
      <c r="B5" s="1068">
        <f>Weather_Input!A6</f>
        <v>37089</v>
      </c>
      <c r="C5" s="1069">
        <f>Weather_Input!A7</f>
        <v>37090</v>
      </c>
      <c r="D5" s="1069">
        <f>Weather_Input!A8</f>
        <v>37091</v>
      </c>
      <c r="E5" s="1069">
        <f>Weather_Input!A9</f>
        <v>37092</v>
      </c>
      <c r="F5" s="1070">
        <f>Weather_Input!A10</f>
        <v>37093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43.286999999999999</v>
      </c>
      <c r="C6" s="1071">
        <f>PGL_Supplies!AB9/1000+PGL_Supplies!K9/1000-PGL_Requirements!N9/1000+C15-PGL_Requirements!S9/1000</f>
        <v>33.286999999999999</v>
      </c>
      <c r="D6" s="1071">
        <f>PGL_Supplies!AB10/1000+PGL_Supplies!K10/1000-PGL_Requirements!N10/1000+D15-PGL_Requirements!S10/1000</f>
        <v>33.286999999999999</v>
      </c>
      <c r="E6" s="1071">
        <f>PGL_Supplies!AB11/1000+PGL_Supplies!K11/1000-PGL_Requirements!N11/1000+E15-PGL_Requirements!S11/1000</f>
        <v>33.286999999999999</v>
      </c>
      <c r="F6" s="1072">
        <f>PGL_Supplies!AB12/1000+PGL_Supplies!K12/1000-PGL_Requirements!N12/1000+F15-PGL_Requirements!S12/1000</f>
        <v>33.286999999999999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6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Tuesday</v>
      </c>
      <c r="C21" s="1081" t="str">
        <f t="shared" si="0"/>
        <v>Wednesday</v>
      </c>
      <c r="D21" s="1081" t="str">
        <f t="shared" si="0"/>
        <v>Thursday</v>
      </c>
      <c r="E21" s="1081" t="str">
        <f t="shared" si="0"/>
        <v>Friday</v>
      </c>
      <c r="F21" s="1082" t="str">
        <f t="shared" si="0"/>
        <v>Saturday</v>
      </c>
      <c r="G21" s="98"/>
    </row>
    <row r="22" spans="1:7">
      <c r="A22" s="105" t="s">
        <v>297</v>
      </c>
      <c r="B22" s="1083">
        <f t="shared" si="0"/>
        <v>37089</v>
      </c>
      <c r="C22" s="1083">
        <f t="shared" si="0"/>
        <v>37090</v>
      </c>
      <c r="D22" s="1083">
        <f t="shared" si="0"/>
        <v>37091</v>
      </c>
      <c r="E22" s="1083">
        <f t="shared" si="0"/>
        <v>37092</v>
      </c>
      <c r="F22" s="1084">
        <f t="shared" si="0"/>
        <v>37093</v>
      </c>
      <c r="G22" s="98"/>
    </row>
    <row r="23" spans="1:7">
      <c r="A23" s="98" t="s">
        <v>298</v>
      </c>
      <c r="B23" s="1077">
        <f>NSG_Supplies!Q8/1000+NSG_Supplies!F8/1000-NSG_Requirements!H8/1000</f>
        <v>27.323</v>
      </c>
      <c r="C23" s="1077">
        <f>NSG_Supplies!Q9/1000+NSG_Supplies!F9/1000-NSG_Requirements!H9/1000</f>
        <v>27.323</v>
      </c>
      <c r="D23" s="1077">
        <f>NSG_Supplies!Q10/1000+NSG_Supplies!F10/1000-NSG_Requirements!H10/1000</f>
        <v>27.323</v>
      </c>
      <c r="E23" s="1077">
        <f>NSG_Supplies!Q12/1000+NSG_Supplies!F11/1000-NSG_Requirements!H11/1000</f>
        <v>27.323</v>
      </c>
      <c r="F23" s="1072">
        <f>NSG_Supplies!Q12/1000+NSG_Supplies!F12/1000-NSG_Requirements!H12/1000</f>
        <v>27.323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6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0" t="s">
        <v>9</v>
      </c>
      <c r="B1" s="796" t="s">
        <v>359</v>
      </c>
      <c r="C1" s="892">
        <f>Weather_Input!A6</f>
        <v>37089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0</v>
      </c>
      <c r="E4" s="789"/>
      <c r="F4" s="169" t="s">
        <v>520</v>
      </c>
      <c r="G4" s="60"/>
      <c r="H4" s="151">
        <f>PGL_Requirements!O8/1000</f>
        <v>132</v>
      </c>
      <c r="I4" s="173">
        <f>AVERAGE(H4/1.025)</f>
        <v>128.78048780487805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12</v>
      </c>
      <c r="D5" s="433"/>
      <c r="E5" s="435">
        <f>AVERAGE(C5/24)</f>
        <v>0.5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5.5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70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221.54599999999999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106.79600000000001</v>
      </c>
      <c r="D11" s="778"/>
      <c r="E11" s="1056"/>
      <c r="F11" s="430" t="s">
        <v>356</v>
      </c>
      <c r="G11" s="442">
        <f>G8+G10</f>
        <v>291.54599999999999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106.79600000000001</v>
      </c>
      <c r="D14" s="433"/>
      <c r="E14" s="435">
        <f>AVERAGE(C14/24)</f>
        <v>4.4498333333333333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160.73499999999999</v>
      </c>
      <c r="H15" s="433" t="s">
        <v>9</v>
      </c>
      <c r="I15" s="435">
        <f>AVERAGE(G15/24)</f>
        <v>6.6972916666666658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130.81100000000001</v>
      </c>
      <c r="H16" s="443" t="s">
        <v>9</v>
      </c>
      <c r="I16" s="435">
        <f>AVERAGE(G16/24)</f>
        <v>5.4504583333333336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3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3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3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81" customWidth="1"/>
    <col min="2" max="2" width="8.08984375" style="981" customWidth="1"/>
    <col min="3" max="3" width="7.90625" style="981" customWidth="1"/>
    <col min="4" max="4" width="5.90625" style="981" customWidth="1"/>
    <col min="5" max="5" width="4.453125" style="981" customWidth="1"/>
    <col min="6" max="6" width="5.1796875" style="981" customWidth="1"/>
    <col min="7" max="7" width="9" style="981" customWidth="1"/>
    <col min="8" max="11" width="8.90625" style="981"/>
    <col min="12" max="12" width="14.90625" style="981" customWidth="1"/>
    <col min="13" max="13" width="5.6328125" style="981" customWidth="1"/>
    <col min="14" max="16384" width="8.90625" style="981"/>
  </cols>
  <sheetData>
    <row r="1" spans="1:22" ht="20.399999999999999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37089</v>
      </c>
      <c r="I1" s="914"/>
      <c r="J1" s="916"/>
      <c r="K1" s="916"/>
    </row>
    <row r="2" spans="1:22" ht="16.5" customHeight="1">
      <c r="A2" s="934" t="s">
        <v>641</v>
      </c>
      <c r="C2" s="982">
        <v>347</v>
      </c>
      <c r="F2" s="983">
        <v>349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12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" customHeight="1">
      <c r="A9" s="936">
        <f>PGL_Supplies!H8/1000</f>
        <v>15</v>
      </c>
      <c r="H9" s="936">
        <f>NSG_Supplies!Q8/1000+NSG_Supplies!F8/1000-NSG_Requirements!H8/1000</f>
        <v>27.323</v>
      </c>
      <c r="I9" s="987"/>
      <c r="K9" s="914" t="s">
        <v>645</v>
      </c>
      <c r="L9" s="936">
        <f>NSG_Deliveries!C6/1000</f>
        <v>34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5.3230000000000004</v>
      </c>
      <c r="N11" s="917"/>
      <c r="O11" s="942"/>
      <c r="U11" s="916"/>
      <c r="V11" s="930"/>
    </row>
    <row r="12" spans="1:22" ht="14.4" customHeight="1">
      <c r="A12" s="914" t="s">
        <v>697</v>
      </c>
      <c r="H12" s="936"/>
      <c r="U12" s="916"/>
      <c r="V12" s="936"/>
    </row>
    <row r="13" spans="1:22" ht="14.4" customHeight="1">
      <c r="A13" s="985">
        <f>PGL_Supplies!X8/1000</f>
        <v>106.79600000000001</v>
      </c>
      <c r="H13" s="936"/>
      <c r="U13" s="916"/>
      <c r="V13" s="936"/>
    </row>
    <row r="14" spans="1:22" ht="14.4" customHeight="1">
      <c r="H14" s="936"/>
      <c r="U14" s="916"/>
      <c r="V14" s="936"/>
    </row>
    <row r="15" spans="1:22" ht="15.6" customHeight="1">
      <c r="B15" s="981" t="s">
        <v>9</v>
      </c>
      <c r="C15" s="988">
        <v>350</v>
      </c>
      <c r="F15" s="988">
        <v>350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587</v>
      </c>
      <c r="D18" s="990"/>
      <c r="E18" s="990"/>
      <c r="F18" s="983">
        <v>796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160.73499999999999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0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0</v>
      </c>
      <c r="H26" s="917"/>
      <c r="I26" s="917"/>
      <c r="J26" s="917" t="s">
        <v>542</v>
      </c>
      <c r="K26" s="995">
        <f>PGL_Deliveries!C6/1000</f>
        <v>195</v>
      </c>
      <c r="L26" s="914" t="s">
        <v>645</v>
      </c>
      <c r="M26" s="936">
        <f>NSG_Deliveries!C6/1000</f>
        <v>34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20.71999999999997</v>
      </c>
      <c r="L28" s="917" t="s">
        <v>689</v>
      </c>
      <c r="M28" s="942">
        <f>SUM(J2+K17+K19+H11+H9-M26)</f>
        <v>5.3230000000000004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37088</v>
      </c>
      <c r="G29" s="936">
        <f>PGL_Requirements!G7/1000</f>
        <v>116.6</v>
      </c>
      <c r="H29" s="915"/>
      <c r="J29" s="917" t="s">
        <v>649</v>
      </c>
      <c r="K29" s="936">
        <f>PGL_Supplies!AB8/1000+PGL_Supplies!K8/1000-PGL_Requirements!N8/1000</f>
        <v>43.286999999999999</v>
      </c>
    </row>
    <row r="30" spans="1:17" ht="10.5" customHeight="1">
      <c r="A30" s="919"/>
      <c r="B30" s="936"/>
      <c r="C30" s="917"/>
      <c r="D30" s="936"/>
      <c r="F30" s="1041">
        <f>PGL_Requirements!A8</f>
        <v>37089</v>
      </c>
      <c r="G30" s="936">
        <f>PGL_Requirements!G8/1000</f>
        <v>130.81100000000001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-130.99300000000002</v>
      </c>
    </row>
    <row r="32" spans="1:17">
      <c r="A32" s="936">
        <f>PGL_Supplies!G8/1000</f>
        <v>1</v>
      </c>
      <c r="G32" s="936">
        <f>PGL_Requirements!O8/1000</f>
        <v>132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589</v>
      </c>
      <c r="F38" s="988">
        <v>754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283.53100000000001</v>
      </c>
      <c r="B40" s="930"/>
      <c r="C40" s="929"/>
      <c r="D40" s="930"/>
      <c r="E40" s="930"/>
      <c r="F40" s="998"/>
      <c r="G40" s="998">
        <f>SUM(G30:G35)</f>
        <v>262.81100000000004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20.71999999999997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349.5</v>
      </c>
      <c r="E45" s="1003"/>
      <c r="F45" s="1004">
        <v>6.7000000000000004E-2</v>
      </c>
      <c r="G45" s="1005">
        <f>(C45-D45)*F45</f>
        <v>6.7335000000000003</v>
      </c>
      <c r="H45" s="1005">
        <f>(D45-B45)*F45</f>
        <v>4.9915000000000003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348.5</v>
      </c>
      <c r="E47" s="1003"/>
      <c r="F47" s="1004">
        <v>0.14099999999999999</v>
      </c>
      <c r="G47" s="1005">
        <f>(C47-D47)*F47</f>
        <v>14.311499999999999</v>
      </c>
      <c r="H47" s="1005">
        <f>(D47-B47)*F47</f>
        <v>10.363499999999998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588</v>
      </c>
      <c r="E48" s="1003"/>
      <c r="F48" s="1004">
        <v>0.161</v>
      </c>
      <c r="G48" s="1005">
        <f>(C48-D48)*F48</f>
        <v>26.082000000000001</v>
      </c>
      <c r="H48" s="1005">
        <f>(D48-B48)*F48</f>
        <v>48.783000000000001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47.126999999999995</v>
      </c>
      <c r="H49" s="1005">
        <f>SUM(H45:H48)</f>
        <v>64.138000000000005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37088</v>
      </c>
      <c r="B5" s="11">
        <v>87</v>
      </c>
      <c r="C5" s="49">
        <v>68</v>
      </c>
      <c r="D5" s="49">
        <v>8</v>
      </c>
      <c r="E5" s="11" t="s">
        <v>809</v>
      </c>
      <c r="F5" s="11" t="s">
        <v>9</v>
      </c>
      <c r="G5" s="11"/>
      <c r="H5" s="11" t="s">
        <v>9</v>
      </c>
      <c r="I5" s="894" t="s">
        <v>810</v>
      </c>
      <c r="J5" s="894" t="s">
        <v>811</v>
      </c>
      <c r="K5" s="11">
        <v>3</v>
      </c>
      <c r="L5" s="11">
        <v>1</v>
      </c>
      <c r="N5" s="15" t="str">
        <f>I5&amp;" "&amp;I5</f>
        <v>PARTLY CLOUDY. MORE HUMID. S.W. WINDS 10 TO 15 MPH. OVERNIGHT…INCREASING PARTLY CLOUDY. MORE HUMID. S.W. WINDS 10 TO 15 MPH. OVERNIGHT…INCREASING</v>
      </c>
      <c r="AE5" s="15">
        <v>1</v>
      </c>
      <c r="AH5" s="15" t="s">
        <v>32</v>
      </c>
    </row>
    <row r="6" spans="1:34" ht="16.5" customHeight="1">
      <c r="A6" s="86">
        <f>A5+1</f>
        <v>37089</v>
      </c>
      <c r="B6" s="11">
        <v>90</v>
      </c>
      <c r="C6" s="49">
        <v>69</v>
      </c>
      <c r="D6" s="49">
        <v>8</v>
      </c>
      <c r="E6" s="11" t="s">
        <v>9</v>
      </c>
      <c r="F6" s="11" t="s">
        <v>9</v>
      </c>
      <c r="G6" s="11"/>
      <c r="H6" s="11" t="s">
        <v>9</v>
      </c>
      <c r="I6" s="894" t="s">
        <v>812</v>
      </c>
      <c r="J6" s="894" t="s">
        <v>9</v>
      </c>
      <c r="K6" s="11">
        <v>3</v>
      </c>
      <c r="L6" s="11" t="s">
        <v>590</v>
      </c>
      <c r="N6" s="15" t="str">
        <f>I6&amp;" "&amp;J6</f>
        <v xml:space="preserve">A 50% CHANCE OF T'STORMS. OVERNIGHT…A 50% CHANCE OF T'STORMS.   </v>
      </c>
      <c r="AE6" s="15">
        <v>1</v>
      </c>
      <c r="AH6" s="15" t="s">
        <v>33</v>
      </c>
    </row>
    <row r="7" spans="1:34" ht="16.5" customHeight="1">
      <c r="A7" s="86">
        <f>A6+1</f>
        <v>37090</v>
      </c>
      <c r="B7" s="11">
        <v>87</v>
      </c>
      <c r="C7" s="49">
        <v>70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94" t="s">
        <v>813</v>
      </c>
      <c r="J7" s="894" t="s">
        <v>9</v>
      </c>
      <c r="K7" s="11">
        <v>6</v>
      </c>
      <c r="L7" s="11" t="s">
        <v>20</v>
      </c>
      <c r="N7" s="15" t="str">
        <f>I7&amp;" "&amp;J7</f>
        <v xml:space="preserve">CHANCE OF T'STORMS.  </v>
      </c>
    </row>
    <row r="8" spans="1:34" ht="16.5" customHeight="1">
      <c r="A8" s="86">
        <f>A7+1</f>
        <v>37091</v>
      </c>
      <c r="B8" s="11">
        <v>91</v>
      </c>
      <c r="C8" s="49">
        <v>70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814</v>
      </c>
      <c r="J8" s="894" t="s">
        <v>9</v>
      </c>
      <c r="K8" s="11">
        <v>6</v>
      </c>
      <c r="L8" s="11"/>
      <c r="N8" s="15" t="str">
        <f>I8&amp;" "&amp;J8</f>
        <v xml:space="preserve">PARTLY CLOUDY.   </v>
      </c>
    </row>
    <row r="9" spans="1:34" ht="16.5" customHeight="1">
      <c r="A9" s="86">
        <f>A8+1</f>
        <v>37092</v>
      </c>
      <c r="B9" s="11">
        <v>91</v>
      </c>
      <c r="C9" s="49">
        <v>71</v>
      </c>
      <c r="D9" s="49">
        <v>8</v>
      </c>
      <c r="E9" s="11" t="s">
        <v>9</v>
      </c>
      <c r="F9" s="11" t="s">
        <v>9</v>
      </c>
      <c r="G9" s="11"/>
      <c r="H9" s="11" t="s">
        <v>9</v>
      </c>
      <c r="I9" s="894" t="s">
        <v>815</v>
      </c>
      <c r="J9" s="894" t="s">
        <v>9</v>
      </c>
      <c r="K9" s="11">
        <v>3</v>
      </c>
      <c r="L9" s="11">
        <v>0</v>
      </c>
      <c r="M9" s="87"/>
      <c r="N9" s="15" t="str">
        <f>I9&amp;" "&amp;J9</f>
        <v xml:space="preserve">SUNNY.  </v>
      </c>
    </row>
    <row r="10" spans="1:34" ht="16.5" customHeight="1">
      <c r="A10" s="86">
        <f>A9+1</f>
        <v>37093</v>
      </c>
      <c r="B10" s="11">
        <v>91</v>
      </c>
      <c r="C10" s="49">
        <v>71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94" t="s">
        <v>815</v>
      </c>
      <c r="J10" s="894" t="s">
        <v>9</v>
      </c>
      <c r="K10" s="11">
        <v>1</v>
      </c>
      <c r="L10" s="11" t="s">
        <v>392</v>
      </c>
      <c r="N10" s="15" t="str">
        <f>I10&amp;" "&amp;J10</f>
        <v xml:space="preserve">SUNNY.  </v>
      </c>
    </row>
    <row r="11" spans="1:34" ht="16.5" customHeight="1">
      <c r="G11"/>
    </row>
    <row r="12" spans="1:34" ht="15.6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542</v>
      </c>
      <c r="B2" s="183">
        <f>PGL_Deliveries!U5/1000</f>
        <v>4.4980000000000002</v>
      </c>
      <c r="C2" s="60"/>
      <c r="D2" s="118" t="s">
        <v>310</v>
      </c>
      <c r="E2" s="421">
        <f>Weather_Input!A5</f>
        <v>37088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0</v>
      </c>
      <c r="C6" s="166"/>
      <c r="D6" s="59" t="s">
        <v>545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2" thickBot="1">
      <c r="A7" s="178" t="s">
        <v>548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89.966999999999999</v>
      </c>
      <c r="C8" s="626"/>
      <c r="D8" s="115" t="s">
        <v>547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4.4980000000000002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17.167999999999999</v>
      </c>
      <c r="C11" s="63"/>
      <c r="D11" s="115" t="s">
        <v>549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196.71799999999999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-153.774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3.8140000000000001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PGL_Deliveries!AP5/1000</f>
        <v>0</v>
      </c>
      <c r="C17" s="166" t="s">
        <v>9</v>
      </c>
      <c r="D17" s="1086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2" thickBot="1">
      <c r="A18" s="177" t="s">
        <v>553</v>
      </c>
      <c r="B18" s="888">
        <f>SUM(B8:B17)-C16</f>
        <v>146.26499999999996</v>
      </c>
      <c r="C18" s="166"/>
      <c r="D18" s="176" t="s">
        <v>554</v>
      </c>
      <c r="E18" s="175">
        <f>SUM(E5:E17)</f>
        <v>4.4980000000000002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90.021000000000001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PGL_Deliveries!AW5/1000+B40</f>
        <v>2.30985</v>
      </c>
      <c r="F20" s="168"/>
      <c r="H20"/>
      <c r="I20"/>
      <c r="J20"/>
      <c r="K20"/>
      <c r="L20"/>
      <c r="M20"/>
    </row>
    <row r="21" spans="1:13" ht="16.2" thickBot="1">
      <c r="A21" s="169" t="s">
        <v>701</v>
      </c>
      <c r="C21" s="173">
        <f>PGL_Requirements!I7/1000</f>
        <v>0.5</v>
      </c>
      <c r="D21" s="625" t="s">
        <v>555</v>
      </c>
      <c r="E21" s="208">
        <f>SUM(E18:E20)</f>
        <v>6.8078500000000002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89.521000000000001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8.9139999999999997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0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3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36.831000000000003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153.99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PGL_Deliveries!AT5/1000</f>
        <v>0.83599999999999997</v>
      </c>
      <c r="C39" s="63"/>
      <c r="D39" s="209" t="s">
        <v>210</v>
      </c>
      <c r="E39" s="208">
        <f>SUM(E22:E33)-SUM(F23:F38)-E29</f>
        <v>27.917000000000002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0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192.53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2.30985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694</v>
      </c>
      <c r="B44" s="165"/>
      <c r="C44" s="222">
        <f>PGL_Requirements!Q7/1000</f>
        <v>0.62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87</v>
      </c>
      <c r="C45" s="182"/>
      <c r="D45" s="60" t="s">
        <v>587</v>
      </c>
      <c r="E45" s="795">
        <f>PGL_Supplies!S7/1000</f>
        <v>40</v>
      </c>
      <c r="F45" s="168"/>
    </row>
    <row r="46" spans="1:13" ht="15">
      <c r="A46" s="169" t="s">
        <v>580</v>
      </c>
      <c r="B46" s="234">
        <f>Weather_Input!C5</f>
        <v>68</v>
      </c>
      <c r="C46" s="159"/>
      <c r="D46" s="72" t="s">
        <v>791</v>
      </c>
      <c r="E46" s="60"/>
      <c r="F46" s="173">
        <f>PGL_Deliveries!BE5/1000</f>
        <v>0</v>
      </c>
    </row>
    <row r="47" spans="1:13" ht="15">
      <c r="A47" s="170" t="s">
        <v>581</v>
      </c>
      <c r="B47" s="60" t="str">
        <f>Weather_Input!E5</f>
        <v>N/A</v>
      </c>
      <c r="C47" s="159"/>
      <c r="D47" s="769" t="s">
        <v>792</v>
      </c>
      <c r="E47" s="67"/>
      <c r="F47" s="1246">
        <f>PGL_Deliveries!BF5/1000</f>
        <v>0</v>
      </c>
    </row>
    <row r="48" spans="1:13" ht="15">
      <c r="A48" s="169" t="s">
        <v>582</v>
      </c>
      <c r="B48" s="223">
        <f>Weather_Input!D5</f>
        <v>8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1.0309999999999999</v>
      </c>
      <c r="C49" s="159"/>
      <c r="D49" s="60" t="s">
        <v>727</v>
      </c>
      <c r="E49" s="151">
        <f>PGL_Deliveries!AJ5/1000</f>
        <v>17.167999999999999</v>
      </c>
      <c r="F49" s="158"/>
    </row>
    <row r="50" spans="1:6" ht="15.6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60" t="s">
        <v>4</v>
      </c>
      <c r="B3" s="239">
        <f>NSG_Deliveries!H5/1000</f>
        <v>0</v>
      </c>
      <c r="C3" s="117"/>
      <c r="D3" s="226" t="s">
        <v>310</v>
      </c>
      <c r="E3" s="424">
        <f>Weather_Input!A5</f>
        <v>37088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0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10.875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27.323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0.99099999999999999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28.314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87" customWidth="1"/>
    <col min="3" max="3" width="20.63281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37088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37087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93021</v>
      </c>
      <c r="O6" s="201">
        <v>0</v>
      </c>
      <c r="P6" s="201">
        <v>54697634</v>
      </c>
      <c r="Q6" s="201">
        <v>15045098</v>
      </c>
      <c r="R6" s="201">
        <v>39652536</v>
      </c>
      <c r="S6" s="201">
        <v>0</v>
      </c>
    </row>
    <row r="7" spans="1:19">
      <c r="A7" s="4">
        <f>B1</f>
        <v>37088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93021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54790655</v>
      </c>
      <c r="Q7">
        <f>IF(O7&gt;0,Q6+O7,Q6)</f>
        <v>15045098</v>
      </c>
      <c r="R7">
        <f>IF(P7&gt;Q7,P7-Q7,0)</f>
        <v>39745557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  <col min="59" max="59" width="4.8164062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37088</v>
      </c>
      <c r="B5" s="1">
        <f>(Weather_Input!B5+Weather_Input!C5)/2</f>
        <v>77.5</v>
      </c>
      <c r="C5" s="895">
        <v>190000</v>
      </c>
      <c r="D5" s="896">
        <v>0</v>
      </c>
      <c r="E5" s="896">
        <v>0</v>
      </c>
      <c r="F5" s="896">
        <v>0</v>
      </c>
      <c r="G5" s="896">
        <v>0</v>
      </c>
      <c r="H5" s="896">
        <v>0</v>
      </c>
      <c r="I5" s="896">
        <v>0</v>
      </c>
      <c r="J5" s="896">
        <v>0</v>
      </c>
      <c r="K5" s="896">
        <v>0</v>
      </c>
      <c r="L5" s="896">
        <v>0</v>
      </c>
      <c r="M5" s="896">
        <v>0</v>
      </c>
      <c r="N5" s="896">
        <v>0</v>
      </c>
      <c r="O5" s="896">
        <v>0</v>
      </c>
      <c r="P5" s="896">
        <v>0</v>
      </c>
      <c r="Q5" s="896">
        <v>0</v>
      </c>
      <c r="R5" s="896">
        <v>0</v>
      </c>
      <c r="S5" s="901">
        <v>4498</v>
      </c>
      <c r="T5" s="1085">
        <v>0</v>
      </c>
      <c r="U5" s="895">
        <f>SUM(D5:S5)-T5</f>
        <v>4498</v>
      </c>
      <c r="V5" s="895">
        <v>89967</v>
      </c>
      <c r="W5" s="11">
        <v>0</v>
      </c>
      <c r="X5" s="11">
        <v>0</v>
      </c>
      <c r="Y5" s="11">
        <v>0</v>
      </c>
      <c r="Z5" s="11">
        <v>196718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17168</v>
      </c>
      <c r="AK5" s="11">
        <v>0</v>
      </c>
      <c r="AL5" s="11">
        <v>0</v>
      </c>
      <c r="AM5" s="1">
        <v>1031</v>
      </c>
      <c r="AN5" s="1"/>
      <c r="AO5" s="1">
        <v>3814</v>
      </c>
      <c r="AP5" s="1">
        <v>0</v>
      </c>
      <c r="AQ5" s="1">
        <v>8914</v>
      </c>
      <c r="AR5" s="1">
        <v>0</v>
      </c>
      <c r="AS5" s="1">
        <v>0</v>
      </c>
      <c r="AT5" s="1">
        <v>836</v>
      </c>
      <c r="AU5" s="1">
        <v>153990</v>
      </c>
      <c r="AV5" s="1">
        <v>620</v>
      </c>
      <c r="AW5" s="622">
        <f>AU5*0.015</f>
        <v>2309.85</v>
      </c>
      <c r="AX5" s="1">
        <v>0</v>
      </c>
      <c r="AY5" s="1"/>
      <c r="AZ5" s="1">
        <v>11</v>
      </c>
      <c r="BA5" s="1">
        <v>0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37089</v>
      </c>
      <c r="B6" s="913">
        <f>(Weather_Input!B6+Weather_Input!C6)/2</f>
        <v>79.5</v>
      </c>
      <c r="C6" s="895">
        <v>195000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37090</v>
      </c>
      <c r="B7" s="913">
        <f>(Weather_Input!B7+Weather_Input!C7)/2</f>
        <v>78.5</v>
      </c>
      <c r="C7" s="895">
        <v>195000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37091</v>
      </c>
      <c r="B8" s="913">
        <f>(Weather_Input!B8+Weather_Input!C8)/2</f>
        <v>80.5</v>
      </c>
      <c r="C8" s="895">
        <v>195000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37092</v>
      </c>
      <c r="B9" s="913">
        <f>(Weather_Input!B9+Weather_Input!C9)/2</f>
        <v>81</v>
      </c>
      <c r="C9" s="895">
        <v>185000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37093</v>
      </c>
      <c r="B10" s="913">
        <f>(Weather_Input!B10+Weather_Input!C10)/2</f>
        <v>81</v>
      </c>
      <c r="C10" s="895">
        <v>175000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37088</v>
      </c>
      <c r="B5" s="1">
        <f>(Weather_Input!B5+Weather_Input!C5)/2</f>
        <v>77.5</v>
      </c>
      <c r="C5" s="895">
        <v>34000</v>
      </c>
      <c r="D5" s="895">
        <v>0</v>
      </c>
      <c r="E5" s="895">
        <v>0</v>
      </c>
      <c r="F5" s="895">
        <v>0</v>
      </c>
      <c r="G5" s="895">
        <v>0</v>
      </c>
      <c r="H5" s="903">
        <f>SUM(D5:G5)</f>
        <v>0</v>
      </c>
      <c r="I5" s="1">
        <v>1004</v>
      </c>
      <c r="J5" s="1" t="s">
        <v>9</v>
      </c>
      <c r="K5" s="1">
        <v>0</v>
      </c>
      <c r="L5" s="1">
        <v>991</v>
      </c>
      <c r="M5" s="1">
        <v>10875</v>
      </c>
      <c r="N5" s="1">
        <v>0</v>
      </c>
    </row>
    <row r="6" spans="1:14">
      <c r="A6" s="12">
        <f>A5+1</f>
        <v>37089</v>
      </c>
      <c r="B6" s="913">
        <f>(Weather_Input!B6+Weather_Input!C6)/2</f>
        <v>79.5</v>
      </c>
      <c r="C6" s="895">
        <v>34000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37090</v>
      </c>
      <c r="B7" s="913">
        <f>(Weather_Input!B7+Weather_Input!C7)/2</f>
        <v>78.5</v>
      </c>
      <c r="C7" s="895">
        <v>34000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37091</v>
      </c>
      <c r="B8" s="913">
        <f>(Weather_Input!B8+Weather_Input!C8)/2</f>
        <v>80.5</v>
      </c>
      <c r="C8" s="895">
        <v>34000</v>
      </c>
      <c r="D8" s="898" t="s">
        <v>9</v>
      </c>
      <c r="E8" s="898"/>
      <c r="F8" s="898"/>
      <c r="G8" s="898"/>
      <c r="H8" s="15"/>
    </row>
    <row r="9" spans="1:14">
      <c r="A9" s="12">
        <f>A8+1</f>
        <v>37092</v>
      </c>
      <c r="B9" s="913">
        <f>(Weather_Input!B9+Weather_Input!C9)/2</f>
        <v>81</v>
      </c>
      <c r="C9" s="895">
        <v>33000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37093</v>
      </c>
      <c r="B10" s="913">
        <f>(Weather_Input!B10+Weather_Input!C10)/2</f>
        <v>81</v>
      </c>
      <c r="C10" s="895">
        <v>30000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8" t="s">
        <v>798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3.2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3.2">
      <c r="A7" s="819">
        <f>Weather_Input!A5</f>
        <v>37088</v>
      </c>
      <c r="B7" s="904">
        <v>0</v>
      </c>
      <c r="C7" s="620">
        <v>0</v>
      </c>
      <c r="D7" s="620">
        <v>0</v>
      </c>
      <c r="E7" s="904">
        <v>3000</v>
      </c>
      <c r="F7" s="904">
        <v>0</v>
      </c>
      <c r="G7" s="906">
        <v>116600</v>
      </c>
      <c r="H7" s="619">
        <v>0</v>
      </c>
      <c r="I7" s="619">
        <v>500</v>
      </c>
      <c r="J7" s="620">
        <v>0</v>
      </c>
      <c r="K7" s="619">
        <v>0</v>
      </c>
      <c r="L7" s="620">
        <v>0</v>
      </c>
      <c r="M7" s="620">
        <v>0</v>
      </c>
      <c r="N7" s="621">
        <v>0</v>
      </c>
      <c r="O7" s="620">
        <v>132000</v>
      </c>
      <c r="P7" s="622">
        <f t="shared" ref="P7:P12" si="0">O7*0.015</f>
        <v>1980</v>
      </c>
      <c r="Q7" s="620">
        <v>620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3.2">
      <c r="A8" s="819">
        <f>A7+1</f>
        <v>37089</v>
      </c>
      <c r="B8" s="904">
        <v>0</v>
      </c>
      <c r="C8" s="620">
        <v>0</v>
      </c>
      <c r="D8" s="620">
        <v>0</v>
      </c>
      <c r="E8" s="904">
        <v>3000</v>
      </c>
      <c r="F8" s="904">
        <v>0</v>
      </c>
      <c r="G8" s="906">
        <v>130811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132000</v>
      </c>
      <c r="P8" s="622">
        <f t="shared" si="0"/>
        <v>1980</v>
      </c>
      <c r="Q8" s="620">
        <v>620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3.2">
      <c r="A9" s="819">
        <f>A8+1</f>
        <v>37090</v>
      </c>
      <c r="B9" s="904">
        <v>0</v>
      </c>
      <c r="C9" s="620">
        <v>0</v>
      </c>
      <c r="D9" s="620">
        <v>0</v>
      </c>
      <c r="E9" s="904">
        <v>3000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620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3.2">
      <c r="A10" s="819">
        <f>A9+1</f>
        <v>37091</v>
      </c>
      <c r="B10" s="904">
        <v>0</v>
      </c>
      <c r="C10" s="620">
        <v>0</v>
      </c>
      <c r="D10" s="620">
        <v>0</v>
      </c>
      <c r="E10" s="904">
        <v>3000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620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3.2">
      <c r="A11" s="819">
        <f>A10+1</f>
        <v>37092</v>
      </c>
      <c r="B11" s="904">
        <v>0</v>
      </c>
      <c r="C11" s="620">
        <v>0</v>
      </c>
      <c r="D11" s="620">
        <v>0</v>
      </c>
      <c r="E11" s="904">
        <v>3000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620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3.2">
      <c r="A12" s="819">
        <f>A11+1</f>
        <v>37093</v>
      </c>
      <c r="B12" s="904">
        <v>0</v>
      </c>
      <c r="C12" s="620">
        <v>0</v>
      </c>
      <c r="D12" s="620">
        <v>0</v>
      </c>
      <c r="E12" s="904">
        <v>3000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620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8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9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37088</v>
      </c>
      <c r="B7" s="622">
        <v>9720</v>
      </c>
      <c r="C7" s="622">
        <v>0</v>
      </c>
      <c r="D7" s="622">
        <v>18300</v>
      </c>
      <c r="E7" s="622">
        <v>0</v>
      </c>
      <c r="F7" s="904">
        <v>0</v>
      </c>
      <c r="G7" s="620">
        <v>1000</v>
      </c>
      <c r="H7" s="620">
        <v>15000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40000</v>
      </c>
      <c r="T7" s="620">
        <v>0</v>
      </c>
      <c r="U7" s="621">
        <v>118104</v>
      </c>
      <c r="V7" s="621">
        <v>0</v>
      </c>
      <c r="W7" s="619">
        <v>0</v>
      </c>
      <c r="X7" s="907">
        <v>90021</v>
      </c>
      <c r="Y7" s="621">
        <v>200</v>
      </c>
      <c r="Z7" s="1">
        <v>0</v>
      </c>
      <c r="AA7" s="619">
        <v>192530</v>
      </c>
      <c r="AB7" s="619">
        <v>36831</v>
      </c>
      <c r="AC7" s="619">
        <v>3000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37089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70000</v>
      </c>
      <c r="T8" s="620">
        <v>0</v>
      </c>
      <c r="U8" s="621">
        <v>118104</v>
      </c>
      <c r="V8" s="621">
        <v>0</v>
      </c>
      <c r="W8" s="619">
        <v>0</v>
      </c>
      <c r="X8" s="907">
        <v>106796</v>
      </c>
      <c r="Y8" s="621">
        <v>200</v>
      </c>
      <c r="Z8" s="1">
        <v>0</v>
      </c>
      <c r="AA8" s="619">
        <v>221546</v>
      </c>
      <c r="AB8" s="619">
        <v>43287</v>
      </c>
      <c r="AC8" s="619">
        <v>3000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37090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0</v>
      </c>
      <c r="T9" s="620">
        <v>0</v>
      </c>
      <c r="U9" s="621">
        <v>118104</v>
      </c>
      <c r="V9" s="621">
        <v>0</v>
      </c>
      <c r="W9" s="619">
        <v>0</v>
      </c>
      <c r="X9" s="907">
        <v>96396</v>
      </c>
      <c r="Y9" s="621">
        <v>200</v>
      </c>
      <c r="Z9" s="1">
        <v>0</v>
      </c>
      <c r="AA9" s="619">
        <v>221546</v>
      </c>
      <c r="AB9" s="619">
        <v>33287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37091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118104</v>
      </c>
      <c r="V10" s="621">
        <v>0</v>
      </c>
      <c r="W10" s="619">
        <v>0</v>
      </c>
      <c r="X10" s="907">
        <v>96396</v>
      </c>
      <c r="Y10" s="621">
        <v>200</v>
      </c>
      <c r="Z10" s="1">
        <v>0</v>
      </c>
      <c r="AA10" s="619">
        <v>221546</v>
      </c>
      <c r="AB10" s="619">
        <v>33287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37092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118104</v>
      </c>
      <c r="V11" s="621">
        <v>0</v>
      </c>
      <c r="W11" s="619">
        <v>0</v>
      </c>
      <c r="X11" s="907">
        <v>96396</v>
      </c>
      <c r="Y11" s="621">
        <v>200</v>
      </c>
      <c r="Z11" s="1">
        <v>0</v>
      </c>
      <c r="AA11" s="619">
        <v>221546</v>
      </c>
      <c r="AB11" s="619">
        <v>33287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37093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118104</v>
      </c>
      <c r="V12" s="621">
        <v>0</v>
      </c>
      <c r="W12" s="619">
        <v>0</v>
      </c>
      <c r="X12" s="907">
        <v>96396</v>
      </c>
      <c r="Y12" s="621">
        <v>200</v>
      </c>
      <c r="Z12" s="1">
        <v>0</v>
      </c>
      <c r="AA12" s="619">
        <v>221546</v>
      </c>
      <c r="AB12" s="619">
        <v>33287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3.2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3.2">
      <c r="A7" s="820">
        <f>Weather_Input!A5</f>
        <v>37088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5920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37088</v>
      </c>
      <c r="AG7" s="619"/>
      <c r="AH7" s="619"/>
      <c r="AI7" s="619"/>
      <c r="AJ7" s="619"/>
      <c r="AK7" s="619"/>
    </row>
    <row r="8" spans="1:128" s="1" customFormat="1" ht="13.2">
      <c r="A8" s="820">
        <f>Weather_Input!A6</f>
        <v>37089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37089</v>
      </c>
      <c r="AG8" s="619"/>
      <c r="AH8" s="619"/>
      <c r="AI8" s="619"/>
      <c r="AJ8" s="619"/>
      <c r="AK8" s="619"/>
    </row>
    <row r="9" spans="1:128" s="1" customFormat="1" ht="13.2">
      <c r="A9" s="819">
        <f>A8+1</f>
        <v>37090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37090</v>
      </c>
      <c r="AG9" s="619"/>
      <c r="AH9" s="619"/>
      <c r="AI9" s="619"/>
      <c r="AJ9" s="619"/>
      <c r="AK9" s="619"/>
    </row>
    <row r="10" spans="1:128" s="1" customFormat="1" ht="13.2">
      <c r="A10" s="819">
        <f>A9+1</f>
        <v>37091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37091</v>
      </c>
      <c r="AG10" s="619"/>
      <c r="AH10" s="619"/>
      <c r="AI10" s="619"/>
      <c r="AJ10" s="619"/>
      <c r="AK10" s="619"/>
    </row>
    <row r="11" spans="1:128" s="1" customFormat="1" ht="13.2">
      <c r="A11" s="819">
        <f>A10+1</f>
        <v>37092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37092</v>
      </c>
      <c r="AG11" s="619"/>
      <c r="AH11" s="619"/>
      <c r="AI11" s="619"/>
      <c r="AJ11" s="619"/>
      <c r="AK11" s="619"/>
    </row>
    <row r="12" spans="1:128" s="1" customFormat="1" ht="13.2">
      <c r="A12" s="819">
        <f>A11+1</f>
        <v>37093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37093</v>
      </c>
      <c r="AG12" s="619"/>
      <c r="AH12" s="619"/>
      <c r="AI12" s="619"/>
      <c r="AJ12" s="619"/>
      <c r="AK12" s="619"/>
    </row>
    <row r="13" spans="1:128" s="1" customFormat="1" ht="13.2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3.2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37088</v>
      </c>
      <c r="B7" s="622">
        <v>0</v>
      </c>
      <c r="C7" s="623">
        <v>0</v>
      </c>
      <c r="D7" s="622">
        <v>0</v>
      </c>
      <c r="E7" s="622">
        <v>0</v>
      </c>
      <c r="F7" s="622">
        <v>600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27323</v>
      </c>
      <c r="R7" s="622">
        <v>15990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37089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27323</v>
      </c>
      <c r="R8" s="622">
        <v>15990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37090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27323</v>
      </c>
      <c r="R9" s="622">
        <v>15990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37091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27323</v>
      </c>
      <c r="R10" s="622">
        <v>15990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37092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27323</v>
      </c>
      <c r="R11" s="622">
        <v>15990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37093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27323</v>
      </c>
      <c r="R12" s="622">
        <v>15990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/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MON</v>
      </c>
      <c r="I1" s="824">
        <f>D4</f>
        <v>37088</v>
      </c>
    </row>
    <row r="2" spans="1:256" ht="18.899999999999999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899999999999999" customHeight="1" thickBot="1">
      <c r="A3" s="828"/>
      <c r="B3" s="826"/>
      <c r="C3" s="826"/>
      <c r="D3" s="829" t="str">
        <f t="shared" ref="D3:I3" si="0">CHOOSE(WEEKDAY(D4),"SUN","MON","TUE","WED","THU","FRI","SAT")</f>
        <v>MON</v>
      </c>
      <c r="E3" s="829" t="str">
        <f t="shared" si="0"/>
        <v>TUE</v>
      </c>
      <c r="F3" s="829" t="str">
        <f t="shared" si="0"/>
        <v>WED</v>
      </c>
      <c r="G3" s="829" t="str">
        <f t="shared" si="0"/>
        <v>THU</v>
      </c>
      <c r="H3" s="829" t="str">
        <f t="shared" si="0"/>
        <v>FRI</v>
      </c>
      <c r="I3" s="830" t="str">
        <f t="shared" si="0"/>
        <v>SAT</v>
      </c>
    </row>
    <row r="4" spans="1:256" ht="18.899999999999999" customHeight="1" thickBot="1">
      <c r="A4" s="831"/>
      <c r="B4" s="832"/>
      <c r="C4" s="832"/>
      <c r="D4" s="461">
        <f>Weather_Input!A5</f>
        <v>37088</v>
      </c>
      <c r="E4" s="461">
        <f>Weather_Input!A6</f>
        <v>37089</v>
      </c>
      <c r="F4" s="461">
        <f>Weather_Input!A7</f>
        <v>37090</v>
      </c>
      <c r="G4" s="461">
        <f>Weather_Input!A8</f>
        <v>37091</v>
      </c>
      <c r="H4" s="461">
        <f>Weather_Input!A9</f>
        <v>37092</v>
      </c>
      <c r="I4" s="462">
        <f>Weather_Input!A10</f>
        <v>37093</v>
      </c>
    </row>
    <row r="5" spans="1:256" ht="18.899999999999999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87/68/78</v>
      </c>
      <c r="E5" s="463" t="str">
        <f>TEXT(Weather_Input!B6,"0")&amp;"/"&amp;TEXT(Weather_Input!C6,"0") &amp; "/" &amp; TEXT((Weather_Input!B6+Weather_Input!C6)/2,"0")</f>
        <v>90/69/80</v>
      </c>
      <c r="F5" s="463" t="str">
        <f>TEXT(Weather_Input!B7,"0")&amp;"/"&amp;TEXT(Weather_Input!C7,"0") &amp; "/" &amp; TEXT((Weather_Input!B7+Weather_Input!C7)/2,"0")</f>
        <v>87/70/79</v>
      </c>
      <c r="G5" s="463" t="str">
        <f>TEXT(Weather_Input!B8,"0")&amp;"/"&amp;TEXT(Weather_Input!C8,"0") &amp; "/" &amp; TEXT((Weather_Input!B8+Weather_Input!C8)/2,"0")</f>
        <v>91/70/81</v>
      </c>
      <c r="H5" s="463" t="str">
        <f>TEXT(Weather_Input!B9,"0")&amp;"/"&amp;TEXT(Weather_Input!C9,"0") &amp; "/" &amp; TEXT((Weather_Input!B9+Weather_Input!C9)/2,"0")</f>
        <v>91/71/81</v>
      </c>
      <c r="I5" s="464" t="str">
        <f>TEXT(Weather_Input!B10,"0")&amp;"/"&amp;TEXT(Weather_Input!C10,"0") &amp; "/" &amp; TEXT((Weather_Input!B10+Weather_Input!C10)/2,"0")</f>
        <v>91/71/81</v>
      </c>
    </row>
    <row r="6" spans="1:256" ht="18.899999999999999" customHeight="1">
      <c r="A6" s="838" t="s">
        <v>134</v>
      </c>
      <c r="B6" s="826"/>
      <c r="C6" s="826"/>
      <c r="D6" s="463">
        <f>PGL_Deliveries!C5/1000</f>
        <v>190</v>
      </c>
      <c r="E6" s="463">
        <f>PGL_Deliveries!C6/1000</f>
        <v>195</v>
      </c>
      <c r="F6" s="463">
        <f>PGL_Deliveries!C7/1000</f>
        <v>195</v>
      </c>
      <c r="G6" s="463">
        <f>PGL_Deliveries!C8/1000</f>
        <v>195</v>
      </c>
      <c r="H6" s="463">
        <f>PGL_Deliveries!C9/1000</f>
        <v>185</v>
      </c>
      <c r="I6" s="464">
        <f>PGL_Deliveries!C10/1000</f>
        <v>175</v>
      </c>
    </row>
    <row r="7" spans="1:256" ht="18.899999999999999" customHeight="1">
      <c r="A7" s="838" t="s">
        <v>536</v>
      </c>
      <c r="B7" s="826" t="s">
        <v>9</v>
      </c>
      <c r="C7" s="826"/>
      <c r="D7" s="463">
        <f>PGL_Requirements!G7/1000*0.5</f>
        <v>58.3</v>
      </c>
      <c r="E7" s="463">
        <f>PGL_Requirements!G8/1000*0.5</f>
        <v>65.405500000000004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899999999999999" customHeight="1">
      <c r="A8" s="838" t="s">
        <v>774</v>
      </c>
      <c r="B8" s="826"/>
      <c r="C8" s="826"/>
      <c r="D8" s="463">
        <f>PGL_Requirements!J7/1000</f>
        <v>0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899999999999999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899999999999999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899999999999999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132</v>
      </c>
      <c r="E11" s="463">
        <f>PGL_Requirements!O8/1000</f>
        <v>132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899999999999999" customHeight="1">
      <c r="A12" s="835"/>
      <c r="B12" s="826"/>
      <c r="C12" s="826" t="s">
        <v>97</v>
      </c>
      <c r="D12" s="463">
        <f>PGL_Requirements!P7/1000</f>
        <v>1.98</v>
      </c>
      <c r="E12" s="463">
        <f>PGL_Requirements!P8/1000</f>
        <v>1.98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899999999999999" customHeight="1">
      <c r="A13" s="835"/>
      <c r="C13" s="826" t="s">
        <v>690</v>
      </c>
      <c r="D13" s="463">
        <f>PGL_Requirements!Q7/1000</f>
        <v>0.62</v>
      </c>
      <c r="E13" s="463">
        <f>PGL_Requirements!Q8/1000</f>
        <v>0.62</v>
      </c>
      <c r="F13" s="463">
        <f>PGL_Requirements!Q9/1000</f>
        <v>0.62</v>
      </c>
      <c r="G13" s="463">
        <f>PGL_Requirements!Q10/1000</f>
        <v>0.62</v>
      </c>
      <c r="H13" s="463">
        <f>PGL_Requirements!Q11/1000</f>
        <v>0.62</v>
      </c>
      <c r="I13" s="464">
        <f>PGL_Requirements!Q12/1000</f>
        <v>0.62</v>
      </c>
    </row>
    <row r="14" spans="1:256" ht="18.899999999999999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899999999999999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899999999999999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899999999999999" customHeight="1">
      <c r="A17" s="835"/>
      <c r="B17" s="826" t="s">
        <v>135</v>
      </c>
      <c r="C17" s="826" t="s">
        <v>87</v>
      </c>
      <c r="D17" s="463">
        <f>PGL_Requirements!N7/1000</f>
        <v>0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899999999999999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899999999999999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899999999999999" customHeight="1">
      <c r="A20" s="838" t="s">
        <v>141</v>
      </c>
      <c r="B20" s="826"/>
      <c r="C20" s="826"/>
      <c r="D20" s="463">
        <f>PGL_Requirements!F7/1000</f>
        <v>0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899999999999999" customHeight="1">
      <c r="A21" s="835" t="s">
        <v>142</v>
      </c>
      <c r="B21" s="826" t="s">
        <v>705</v>
      </c>
      <c r="C21" s="826"/>
      <c r="D21" s="463">
        <f>PGL_Requirements!I7/1000</f>
        <v>0.5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899999999999999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899999999999999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899999999999999" customHeight="1">
      <c r="A24" s="835"/>
      <c r="B24" s="826" t="s">
        <v>92</v>
      </c>
      <c r="C24" s="826"/>
      <c r="D24" s="465">
        <f>PGL_Requirements!E7/1000</f>
        <v>3</v>
      </c>
      <c r="E24" s="465">
        <f>PGL_Requirements!E8/1000</f>
        <v>3</v>
      </c>
      <c r="F24" s="465">
        <f>PGL_Requirements!E9/1000</f>
        <v>3</v>
      </c>
      <c r="G24" s="465">
        <f>PGL_Requirements!E10/1000</f>
        <v>3</v>
      </c>
      <c r="H24" s="465">
        <f>PGL_Requirements!E11/1000</f>
        <v>3</v>
      </c>
      <c r="I24" s="466">
        <f>PGL_Requirements!E12/1000</f>
        <v>3</v>
      </c>
    </row>
    <row r="25" spans="1:10" ht="18.899999999999999" customHeight="1" thickBot="1">
      <c r="A25" s="843" t="s">
        <v>143</v>
      </c>
      <c r="B25" s="844"/>
      <c r="C25" s="844"/>
      <c r="D25" s="467">
        <f t="shared" ref="D25:I25" si="1">SUM(D6:D24)</f>
        <v>386.6</v>
      </c>
      <c r="E25" s="467">
        <f t="shared" si="1"/>
        <v>398.20550000000003</v>
      </c>
      <c r="F25" s="467">
        <f t="shared" si="1"/>
        <v>332.8</v>
      </c>
      <c r="G25" s="467">
        <f t="shared" si="1"/>
        <v>332.8</v>
      </c>
      <c r="H25" s="467">
        <f t="shared" si="1"/>
        <v>322.8</v>
      </c>
      <c r="I25" s="1099">
        <f t="shared" si="1"/>
        <v>312.8</v>
      </c>
    </row>
    <row r="26" spans="1:10" ht="18.899999999999999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899999999999999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899999999999999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899999999999999" customHeight="1">
      <c r="A29" s="835"/>
      <c r="B29" s="826"/>
      <c r="C29" s="826" t="s">
        <v>90</v>
      </c>
      <c r="D29" s="463">
        <f>PGL_Supplies!G7/1000</f>
        <v>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899999999999999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899999999999999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899999999999999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899999999999999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899999999999999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899999999999999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899999999999999" customHeight="1">
      <c r="A36" s="838" t="s">
        <v>776</v>
      </c>
      <c r="B36" s="826" t="s">
        <v>394</v>
      </c>
      <c r="C36" s="826"/>
      <c r="D36" s="463">
        <f>PGL_Supplies!S7/1000*0.5</f>
        <v>20</v>
      </c>
      <c r="E36" s="463">
        <f>PGL_Supplies!S8/1000*0.5</f>
        <v>35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899999999999999" customHeight="1">
      <c r="A37" s="852" t="s">
        <v>715</v>
      </c>
      <c r="B37" s="826" t="s">
        <v>696</v>
      </c>
      <c r="C37" s="826"/>
      <c r="D37" s="463">
        <f>PGL_Supplies!X7/1000</f>
        <v>90.021000000000001</v>
      </c>
      <c r="E37" s="463">
        <f>PGL_Supplies!X8/1000</f>
        <v>106.79600000000001</v>
      </c>
      <c r="F37" s="463">
        <f>PGL_Supplies!X9/1000</f>
        <v>96.396000000000001</v>
      </c>
      <c r="G37" s="463">
        <f>PGL_Supplies!X10/1000</f>
        <v>96.396000000000001</v>
      </c>
      <c r="H37" s="463">
        <f>PGL_Supplies!X11/1000</f>
        <v>96.396000000000001</v>
      </c>
      <c r="I37" s="464">
        <f>PGL_Supplies!X12/1000</f>
        <v>96.396000000000001</v>
      </c>
    </row>
    <row r="38" spans="1:10" ht="18.899999999999999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899999999999999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899999999999999" customHeight="1">
      <c r="A40" s="838"/>
      <c r="B40" s="826" t="s">
        <v>394</v>
      </c>
      <c r="C40" s="839"/>
      <c r="D40" s="463">
        <f>PGL_Supplies!AA7/1000</f>
        <v>192.53</v>
      </c>
      <c r="E40" s="463">
        <f>PGL_Supplies!AA8/1000</f>
        <v>221.54599999999999</v>
      </c>
      <c r="F40" s="463">
        <f>PGL_Supplies!AA9/1000</f>
        <v>221.54599999999999</v>
      </c>
      <c r="G40" s="463">
        <f>PGL_Supplies!AA10/1000</f>
        <v>221.54599999999999</v>
      </c>
      <c r="H40" s="463">
        <f>PGL_Supplies!AA11/1000</f>
        <v>221.54599999999999</v>
      </c>
      <c r="I40" s="464">
        <f>PGL_Supplies!AA12/1000</f>
        <v>221.54599999999999</v>
      </c>
    </row>
    <row r="41" spans="1:10" ht="18.899999999999999" customHeight="1">
      <c r="A41" s="838"/>
      <c r="B41" s="826" t="s">
        <v>135</v>
      </c>
      <c r="C41" s="826"/>
      <c r="D41" s="463">
        <f>PGL_Supplies!AB7/1000</f>
        <v>36.831000000000003</v>
      </c>
      <c r="E41" s="463">
        <f>PGL_Supplies!AB8/1000</f>
        <v>43.286999999999999</v>
      </c>
      <c r="F41" s="463">
        <f>PGL_Supplies!AB9/1000</f>
        <v>33.286999999999999</v>
      </c>
      <c r="G41" s="463">
        <f>PGL_Supplies!AB10/1000</f>
        <v>33.286999999999999</v>
      </c>
      <c r="H41" s="463">
        <f>PGL_Supplies!AB11/1000</f>
        <v>33.286999999999999</v>
      </c>
      <c r="I41" s="464">
        <f>PGL_Supplies!AB12/1000</f>
        <v>33.286999999999999</v>
      </c>
    </row>
    <row r="42" spans="1:10" ht="18.899999999999999" customHeight="1">
      <c r="A42" s="838"/>
      <c r="B42" s="826" t="s">
        <v>136</v>
      </c>
      <c r="C42" s="826"/>
      <c r="D42" s="463">
        <f>PGL_Supplies!AC7/1000</f>
        <v>3</v>
      </c>
      <c r="E42" s="463">
        <f>PGL_Supplies!AC8/1000</f>
        <v>3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899999999999999" customHeight="1">
      <c r="A43" s="852"/>
      <c r="B43" s="826" t="s">
        <v>147</v>
      </c>
      <c r="C43" s="826"/>
      <c r="D43" s="463">
        <f>PGL_Supplies!H7/1000</f>
        <v>15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899999999999999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899999999999999" customHeight="1">
      <c r="A45" s="838" t="s">
        <v>728</v>
      </c>
      <c r="B45" s="826"/>
      <c r="C45" s="826"/>
      <c r="D45" s="463">
        <f>PGL_Supplies!B7/1000</f>
        <v>9.7200000000000006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899999999999999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899999999999999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899999999999999" customHeight="1">
      <c r="A48" s="835"/>
      <c r="B48" s="826" t="s">
        <v>394</v>
      </c>
      <c r="C48" s="826"/>
      <c r="D48" s="463">
        <f>PGL_Supplies!D7/1000</f>
        <v>18.3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899999999999999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899999999999999" customHeight="1" thickBot="1">
      <c r="A50" s="855" t="s">
        <v>149</v>
      </c>
      <c r="B50" s="856"/>
      <c r="C50" s="856"/>
      <c r="D50" s="473">
        <f t="shared" ref="D50:I50" si="2">SUM(D28:D49)</f>
        <v>386.60200000000003</v>
      </c>
      <c r="E50" s="473">
        <f t="shared" si="2"/>
        <v>425.82899999999995</v>
      </c>
      <c r="F50" s="473">
        <f t="shared" si="2"/>
        <v>370.42899999999997</v>
      </c>
      <c r="G50" s="473">
        <f t="shared" si="2"/>
        <v>370.42899999999997</v>
      </c>
      <c r="H50" s="473">
        <f t="shared" si="2"/>
        <v>370.42899999999997</v>
      </c>
      <c r="I50" s="1101">
        <f t="shared" si="2"/>
        <v>370.42899999999997</v>
      </c>
    </row>
    <row r="51" spans="1:9" ht="18.899999999999999" customHeight="1">
      <c r="A51" s="857" t="s">
        <v>150</v>
      </c>
      <c r="B51" s="858"/>
      <c r="C51" s="858"/>
      <c r="D51" s="474">
        <f t="shared" ref="D51:I51" si="3">IF(D50-D25&lt;0,0,D50-D25)</f>
        <v>2.0000000000095497E-3</v>
      </c>
      <c r="E51" s="474">
        <f t="shared" si="3"/>
        <v>27.623499999999922</v>
      </c>
      <c r="F51" s="474">
        <f t="shared" si="3"/>
        <v>37.628999999999962</v>
      </c>
      <c r="G51" s="474">
        <f t="shared" si="3"/>
        <v>37.628999999999962</v>
      </c>
      <c r="H51" s="474">
        <f t="shared" si="3"/>
        <v>47.628999999999962</v>
      </c>
      <c r="I51" s="1102">
        <f t="shared" si="3"/>
        <v>57.628999999999962</v>
      </c>
    </row>
    <row r="52" spans="1:9" ht="18.899999999999999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0</v>
      </c>
      <c r="F52" s="475">
        <f t="shared" si="4"/>
        <v>0</v>
      </c>
      <c r="G52" s="475">
        <f t="shared" si="4"/>
        <v>0</v>
      </c>
      <c r="H52" s="475">
        <f t="shared" si="4"/>
        <v>0</v>
      </c>
      <c r="I52" s="1103">
        <f t="shared" si="4"/>
        <v>0</v>
      </c>
    </row>
    <row r="53" spans="1:9" ht="18.899999999999999" customHeight="1" thickTop="1" thickBot="1">
      <c r="A53" s="1090" t="s">
        <v>718</v>
      </c>
      <c r="B53" s="1091"/>
      <c r="C53" s="1091"/>
      <c r="D53" s="1092">
        <f>PGL_Supplies!U7/1000</f>
        <v>118.104</v>
      </c>
      <c r="E53" s="1092">
        <f>PGL_Supplies!U8/1000</f>
        <v>118.104</v>
      </c>
      <c r="F53" s="1092">
        <f>PGL_Supplies!U9/1000</f>
        <v>118.104</v>
      </c>
      <c r="G53" s="1092">
        <f>PGL_Supplies!U10/1000</f>
        <v>118.104</v>
      </c>
      <c r="H53" s="1092">
        <f>PGL_Supplies!U11/1000</f>
        <v>118.104</v>
      </c>
      <c r="I53" s="1093">
        <f>PGL_Supplies!U12/1000</f>
        <v>118.104</v>
      </c>
    </row>
    <row r="54" spans="1:9" ht="18.899999999999999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2001-07-16T20:48:22Z</cp:lastPrinted>
  <dcterms:created xsi:type="dcterms:W3CDTF">1997-07-16T16:14:22Z</dcterms:created>
  <dcterms:modified xsi:type="dcterms:W3CDTF">2023-09-10T11:13:20Z</dcterms:modified>
</cp:coreProperties>
</file>