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<sst xmlns="http://schemas.openxmlformats.org/spreadsheetml/2006/main" count="2069" uniqueCount="816">
  <si>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</si>
  <si>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</si>
  <si>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</si>
  <si>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</si>
  <si>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</si>
  <si>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</si>
  <si>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</si>
  <si>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</si>
  <si>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</si>
  <si>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</si>
  <si>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</si>
  <si>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</si>
  <si>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</si>
  <si>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</si>
  <si>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</si>
  <si>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</si>
  <si>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</si>
  <si>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</si>
  <si>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</si>
  <si>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</si>
  <si>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</si>
  <si>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</si>
  <si>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</si>
  <si>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</si>
  <si>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</si>
  <si>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</si>
  <si>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</si>
  <si>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</si>
  <si>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</si>
  <si>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</si>
  <si>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</si>
  <si>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</si>
  <si>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</si>
  <si>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</si>
  <si>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</si>
  <si>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</si>
  <si>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</si>
  <si>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</si>
  <si>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</si>
  <si>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</si>
  <si>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</si>
  <si>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</si>
  <si>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</si>
  <si>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</si>
  <si>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</si>
  <si>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</si>
  <si>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</si>
  <si>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</si>
  <si>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</si>
  <si>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</si>
  <si>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</si>
  <si>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</si>
  <si>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</si>
  <si>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</si>
  <si>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</si>
  <si>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</si>
  <si>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</si>
  <si>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</si>
  <si>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</si>
  <si>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</si>
  <si>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</si>
  <si>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</si>
  <si>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</si>
  <si>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</si>
  <si>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</si>
  <si>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</si>
  <si>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</si>
  <si>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</si>
  <si>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</si>
  <si>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</si>
  <si>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</si>
  <si>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</si>
  <si>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</si>
  <si>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</si>
  <si>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</si>
  <si>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</si>
  <si>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</si>
  <si>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</si>
  <si>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</si>
  <si>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</si>
  <si>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</si>
  <si>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</si>
  <si>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</si>
  <si>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</si>
  <si>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</si>
  <si>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</si>
  <si>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</si>
  <si>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</si>
  <si>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</si>
  <si>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</si>
  <si>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</si>
  <si>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</si>
  <si>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</si>
  <si>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</si>
  <si>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</si>
  <si>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</si>
  <si>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</si>
  <si>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</si>
  <si>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</si>
  <si>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</si>
  <si>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</si>
  <si>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</si>
  <si>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</si>
  <si>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</si>
  <si>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</si>
  <si>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</si>
  <si>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</si>
  <si>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</si>
  <si>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</si>
  <si>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</si>
  <si>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</si>
  <si>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</si>
  <si>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</si>
  <si>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</si>
  <si>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</si>
  <si>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</si>
  <si>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</si>
  <si>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</si>
  <si>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</si>
  <si>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</si>
  <si>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</si>
  <si>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</si>
  <si>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</si>
  <si>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</si>
  <si>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</si>
  <si>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</si>
  <si>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</si>
  <si>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</si>
  <si>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</si>
  <si>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</si>
  <si>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</si>
  <si>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</si>
  <si>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</si>
  <si>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</si>
  <si>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</si>
  <si>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</si>
  <si>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</si>
  <si>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</si>
  <si>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</si>
  <si>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</si>
  <si>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</si>
  <si>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</si>
  <si>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</si>
  <si>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</si>
  <si>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</si>
  <si>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</si>
  <si>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</si>
  <si>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</si>
  <si>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</si>
  <si>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</si>
  <si>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</si>
  <si>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</si>
  <si>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</si>
  <si>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</si>
  <si>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</si>
  <si>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</si>
  <si>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</si>
  <si>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</si>
  <si>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</si>
  <si>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</si>
  <si>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</si>
  <si>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</si>
  <si>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</si>
  <si>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</si>
  <si>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</si>
  <si>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</si>
  <si>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</si>
  <si>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</si>
  <si>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</si>
  <si>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</si>
  <si>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</si>
  <si>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</si>
  <si>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</si>
  <si>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</si>
  <si>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</si>
  <si>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</si>
  <si>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</si>
  <si>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</si>
  <si>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</si>
  <si>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</si>
  <si>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</si>
  <si>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</si>
  <si>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</si>
  <si>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</si>
  <si>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</si>
  <si>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</si>
  <si>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</si>
  <si>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</si>
  <si>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</si>
  <si>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</si>
  <si>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</si>
  <si>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</si>
  <si>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</si>
  <si>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</si>
  <si>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</si>
  <si>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</si>
  <si>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</si>
  <si>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</si>
  <si>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</si>
  <si>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</si>
  <si>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</si>
  <si>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</si>
  <si>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</si>
  <si>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</si>
  <si>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</si>
  <si>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</si>
  <si>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</si>
  <si>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</si>
  <si>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</si>
  <si>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</si>
  <si>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</si>
  <si>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</si>
  <si>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</si>
  <si>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</si>
  <si>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</si>
  <si>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</si>
  <si>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</si>
  <si>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</si>
  <si>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</si>
  <si>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</si>
  <si>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</si>
  <si>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</si>
  <si>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</si>
  <si>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</si>
  <si>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</si>
  <si>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</si>
  <si>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</si>
  <si>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</si>
  <si>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</si>
  <si>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</si>
  <si>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</si>
  <si>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</si>
  <si>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</si>
  <si>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</si>
  <si>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</si>
  <si>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</si>
  <si>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</si>
  <si>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</si>
  <si>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</si>
  <si>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</si>
  <si>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</si>
  <si>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</si>
  <si>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</si>
  <si>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</si>
  <si>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</si>
  <si>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</si>
  <si>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</si>
  <si>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</si>
  <si>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</si>
  <si>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</si>
  <si>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</si>
  <si>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</si>
  <si>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</si>
  <si>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</si>
  <si>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</si>
  <si>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</si>
  <si>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</si>
  <si>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</si>
  <si>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</si>
  <si>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</si>
  <si>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</si>
  <si>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</si>
  <si>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</si>
  <si>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</si>
  <si>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</si>
  <si>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</si>
  <si>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</si>
  <si>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</si>
  <si>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</si>
  <si>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</si>
  <si>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</si>
  <si>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</si>
  <si>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</si>
  <si>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</si>
  <si>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</si>
  <si>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</si>
  <si>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</si>
  <si>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</si>
  <si>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</si>
  <si>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</si>
  <si>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</si>
  <si>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</si>
  <si>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</si>
  <si>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</si>
  <si>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</si>
  <si>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</si>
  <si>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</si>
  <si>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</si>
  <si>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</si>
  <si>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</si>
  <si>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</si>
  <si>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</si>
  <si>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</si>
  <si>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</si>
  <si>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</si>
  <si>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</si>
  <si>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</si>
  <si>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</si>
  <si>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</si>
  <si>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</si>
  <si>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</si>
  <si>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</si>
  <si>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</si>
  <si>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</si>
  <si>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</si>
  <si>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</si>
  <si>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</si>
  <si>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</si>
  <si>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</si>
  <si>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</si>
  <si>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</si>
  <si>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</si>
  <si>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</si>
  <si>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</si>
  <si>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</si>
  <si>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</si>
  <si>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</si>
  <si>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</si>
  <si>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</si>
  <si>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</si>
  <si>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</si>
  <si>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</si>
  <si>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</si>
  <si>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</si>
  <si>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</si>
  <si>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</si>
  <si>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</si>
  <si>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</si>
  <si>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</si>
  <si>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</si>
  <si>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</si>
  <si>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</si>
  <si>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</si>
  <si>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</si>
  <si>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</si>
  <si>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</si>
  <si>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</si>
  <si>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</si>
  <si>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</si>
  <si>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</si>
  <si>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</si>
  <si>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</si>
  <si>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</si>
  <si>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</si>
  <si>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</si>
  <si>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</si>
  <si>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</si>
  <si>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</si>
  <si>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</si>
  <si>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</si>
  <si>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</si>
  <si>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</si>
  <si>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</si>
  <si>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</si>
  <si>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</si>
  <si>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</si>
  <si>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</si>
  <si>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</si>
  <si>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</si>
  <si>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</si>
  <si>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</si>
  <si>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</si>
  <si>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</si>
  <si>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</si>
  <si>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</si>
  <si>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</si>
  <si>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</si>
  <si>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</si>
  <si>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</si>
  <si>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</si>
  <si>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</si>
  <si>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</si>
  <si>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</si>
  <si>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</si>
  <si>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</si>
  <si>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</si>
  <si>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</si>
  <si>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</si>
  <si>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</si>
  <si>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</si>
  <si>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</si>
  <si>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</si>
  <si>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</si>
  <si>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</si>
  <si>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</si>
  <si>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</si>
  <si>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</si>
  <si>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</si>
  <si>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</si>
  <si>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</si>
  <si>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</si>
  <si>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</si>
  <si>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</si>
  <si>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</si>
  <si>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</si>
  <si>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</si>
  <si>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</si>
  <si>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</si>
  <si>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</si>
  <si>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</si>
  <si>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</si>
  <si>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</si>
  <si>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</si>
  <si>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</si>
  <si>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</si>
  <si>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</si>
  <si>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</si>
  <si>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</si>
  <si>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</si>
  <si>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</si>
  <si>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</si>
  <si>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</si>
  <si>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</si>
  <si>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</si>
  <si>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</si>
  <si>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</si>
  <si>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</si>
  <si>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</si>
  <si>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</si>
  <si>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</si>
  <si>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</si>
  <si>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</si>
  <si>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</si>
  <si>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</si>
  <si>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</si>
  <si>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</si>
  <si>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</si>
  <si>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</si>
  <si>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</si>
  <si>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</si>
  <si>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</si>
  <si>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</si>
  <si>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</si>
  <si>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</si>
  <si>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</si>
  <si>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</si>
  <si>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</si>
  <si>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</si>
  <si>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</si>
  <si>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</si>
  <si>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</si>
  <si>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</si>
  <si>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</si>
  <si>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</si>
  <si>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</si>
  <si>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</si>
  <si>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</si>
  <si>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</si>
  <si>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</si>
  <si>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</si>
  <si>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</si>
  <si>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</si>
  <si>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</si>
  <si>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</si>
  <si>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</si>
  <si>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</si>
  <si>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</si>
  <si>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</si>
  <si>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</si>
  <si>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</si>
  <si>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</si>
  <si>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</si>
  <si>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</si>
  <si>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</si>
  <si>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</si>
  <si>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</si>
  <si>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</si>
  <si>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</si>
  <si>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</si>
  <si>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</si>
  <si>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</si>
  <si>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</si>
  <si>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</si>
  <si>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</si>
  <si>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</si>
  <si>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</si>
  <si>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</si>
  <si>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</si>
  <si>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</si>
  <si>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</si>
  <si>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</si>
  <si>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</si>
  <si>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</si>
  <si>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</si>
  <si>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</si>
  <si>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</si>
  <si>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</si>
  <si>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</si>
  <si>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</si>
  <si>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</si>
  <si>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</si>
  <si>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</si>
  <si>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</si>
  <si>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</si>
  <si>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</si>
  <si>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</si>
  <si>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</si>
  <si>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</si>
  <si>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</si>
  <si>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</si>
  <si>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</si>
  <si>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</si>
  <si>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</si>
  <si>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</si>
  <si>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</si>
  <si>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</si>
  <si>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</si>
  <si>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</si>
  <si>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</si>
  <si>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</si>
  <si>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</si>
  <si>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</si>
  <si>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</si>
  <si>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</si>
  <si>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</si>
  <si>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</si>
  <si>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</si>
  <si>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</si>
  <si>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</si>
  <si>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</si>
  <si>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</si>
  <si>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</si>
  <si>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</si>
  <si>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</si>
  <si>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</si>
  <si>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</si>
  <si>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</si>
  <si>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</si>
  <si>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</si>
  <si>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</si>
  <si>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</si>
  <si>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</si>
  <si>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</si>
  <si>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</si>
  <si>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</si>
  <si>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</si>
  <si>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</si>
  <si>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</si>
  <si>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</si>
  <si>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</si>
  <si>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</si>
  <si>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</si>
  <si>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</si>
  <si>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</si>
  <si>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</si>
  <si>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</si>
  <si>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</si>
  <si>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</si>
  <si>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</si>
  <si>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</si>
  <si>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</si>
  <si>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</si>
  <si>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</si>
  <si>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</si>
  <si>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</si>
  <si>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</si>
  <si>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</si>
  <si>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</si>
  <si>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</si>
  <si>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</si>
  <si>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</si>
  <si>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</si>
  <si>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</si>
  <si>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</si>
  <si>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</si>
  <si>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</si>
  <si>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</si>
  <si>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</si>
  <si>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</si>
  <si>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</si>
  <si>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</si>
  <si>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</si>
  <si>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</si>
  <si>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</si>
  <si>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</si>
  <si>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</si>
  <si>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</si>
  <si>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</si>
  <si>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</si>
  <si>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</si>
  <si>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</si>
  <si>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</si>
  <si>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</si>
  <si>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</si>
  <si>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</si>
  <si>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</si>
  <si>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</si>
  <si>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</si>
  <si>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</si>
  <si>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</si>
  <si>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</si>
  <si>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</si>
  <si>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</si>
  <si>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</si>
  <si>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</si>
  <si>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</si>
  <si>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</si>
  <si>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</si>
  <si>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</si>
  <si>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</si>
  <si>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</si>
  <si>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</si>
  <si>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</si>
  <si>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</si>
  <si>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</si>
  <si>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</si>
  <si>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</si>
  <si>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</si>
  <si>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</si>
  <si>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</si>
  <si>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</si>
  <si>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</si>
  <si>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</si>
  <si>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</si>
  <si>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</si>
  <si>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</si>
  <si>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</si>
  <si>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</si>
  <si>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</si>
  <si>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</si>
  <si>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</si>
  <si>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</si>
  <si>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</si>
  <si>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</si>
  <si>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</si>
  <si>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</si>
  <si>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</si>
  <si>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</si>
  <si>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</si>
  <si>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</si>
  <si>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</si>
  <si>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</si>
  <si>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</si>
  <si>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</si>
  <si>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</si>
  <si>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</si>
  <si>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</si>
  <si>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</si>
  <si>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</si>
  <si>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</si>
  <si>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</si>
  <si>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</si>
  <si>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</si>
  <si>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</si>
  <si>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</si>
  <si>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</si>
  <si>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</si>
  <si>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</si>
  <si>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</si>
  <si>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</si>
  <si>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</si>
  <si>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</si>
  <si>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</si>
  <si>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</si>
  <si>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</si>
  <si>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</si>
  <si>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</si>
  <si>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</si>
  <si>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</si>
  <si>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</si>
  <si>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</si>
  <si>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</si>
  <si>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</si>
  <si>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</si>
  <si>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</si>
  <si>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</si>
  <si>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</si>
  <si>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</si>
  <si>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</si>
  <si>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</si>
  <si>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</si>
  <si>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</si>
  <si>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</si>
  <si>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</si>
  <si>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</si>
  <si>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</si>
  <si>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</si>
  <si>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</si>
  <si>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</si>
  <si>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</si>
  <si>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</si>
  <si>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</si>
  <si>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</si>
  <si>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</si>
  <si>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</si>
  <si>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</si>
  <si>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</si>
  <si>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</si>
  <si>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</si>
  <si>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</si>
  <si>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</si>
  <si>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</si>
  <si>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</si>
  <si>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</si>
  <si>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</si>
  <si>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</si>
  <si>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</si>
  <si>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</si>
  <si>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</si>
  <si>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</si>
  <si>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</si>
  <si>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</si>
  <si>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</si>
  <si>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</si>
  <si>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</si>
  <si>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</si>
  <si>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</si>
  <si>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</si>
  <si>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</si>
  <si>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</si>
  <si>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</si>
  <si>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</si>
  <si>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</si>
  <si>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</si>
  <si>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</si>
  <si>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</si>
  <si>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</si>
  <si>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</si>
  <si>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</si>
  <si>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</si>
  <si>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</si>
  <si>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</si>
  <si>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</si>
  <si>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</si>
  <si>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</si>
  <si>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</si>
  <si>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</si>
  <si>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</si>
  <si>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</si>
  <si>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</si>
  <si>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</si>
  <si>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</si>
  <si>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</si>
  <si>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</si>
  <si>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</si>
  <si>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</si>
  <si>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</si>
  <si>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</si>
  <si>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</si>
  <si>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</si>
  <si>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</si>
  <si>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</si>
  <si>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</si>
  <si>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</si>
  <si>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</si>
  <si>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</si>
  <si>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</si>
  <si>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</si>
  <si>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</si>
  <si>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</si>
  <si>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</si>
  <si>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</si>
  <si>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</si>
  <si>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</si>
  <si>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</si>
  <si>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</si>
  <si>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</si>
  <si>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</si>
  <si>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</si>
  <si>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</si>
  <si>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</si>
  <si>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</si>
  <si>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</si>
  <si>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</si>
  <si>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</si>
  <si>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</si>
  <si>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</si>
  <si>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</si>
  <si>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</si>
  <si>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</si>
  <si>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</si>
  <si>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</si>
  <si>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</si>
  <si>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</si>
  <si>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</si>
  <si>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</si>
  <si>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</si>
  <si>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</si>
  <si>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</si>
  <si>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</si>
  <si>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</si>
  <si>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</si>
  <si>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</si>
  <si>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</si>
  <si>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</si>
  <si>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</si>
  <si>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</si>
  <si>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</si>
  <si>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</si>
  <si>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</si>
  <si>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</si>
  <si>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</si>
  <si>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</si>
  <si>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</si>
  <si>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</si>
  <si>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</si>
  <si>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</si>
  <si>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</si>
  <si>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</si>
  <si>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</si>
  <si>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</si>
  <si>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</si>
  <si>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</si>
  <si>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</si>
  <si>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</si>
  <si>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</si>
  <si>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</si>
  <si>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</si>
  <si>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</si>
  <si>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 MOSTLY SUNNY</t>
  </si>
  <si>
    <t xml:space="preserve">  TODAY - NICE WITH SUNSHINE AND PATCHY CLOUDS.</t>
  </si>
  <si>
    <t xml:space="preserve">  TONIGHT - MAINLY CLEAR AND NICE.</t>
  </si>
  <si>
    <t xml:space="preserve">  LOTS OF SUNSHINE AND PLEASANT</t>
  </si>
  <si>
    <t xml:space="preserve">  SUNNY MOST OF THE DAY AND PLEASANT.</t>
  </si>
  <si>
    <t xml:space="preserve">  SUNNY MUCH OF THE TIME AND DELIGHTFUL.</t>
  </si>
  <si>
    <t xml:space="preserve">  PARTLY SUNNY AND WARM.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</si>
</sst>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63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63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63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63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63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63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 t="s">
        <v>9</v>
      </c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TUE</v>
      </c>
      <c r="I1" s="865">
        <f>D4</f>
        <v>37082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37082</v>
      </c>
      <c r="E4" s="833">
        <f>Weather_Input!A6</f>
        <v>37083</v>
      </c>
      <c r="F4" s="833">
        <f>Weather_Input!A7</f>
        <v>37084</v>
      </c>
      <c r="G4" s="833">
        <f>Weather_Input!A8</f>
        <v>37085</v>
      </c>
      <c r="H4" s="833">
        <f>Weather_Input!A9</f>
        <v>37086</v>
      </c>
      <c r="I4" s="834">
        <f>Weather_Input!A10</f>
        <v>37087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92/64/78</v>
      </c>
      <c r="E5" s="866" t="str">
        <f>TEXT(Weather_Input!B6,"0")&amp;"/"&amp;TEXT(Weather_Input!C6,"0") &amp; "/" &amp; TEXT((Weather_Input!B6+Weather_Input!C6)/2,"0")</f>
        <v>78/56/67</v>
      </c>
      <c r="F5" s="866" t="str">
        <f>TEXT(Weather_Input!B7,"0")&amp;"/"&amp;TEXT(Weather_Input!C7,"0") &amp; "/" &amp; TEXT((Weather_Input!B7+Weather_Input!C7)/2,"0")</f>
        <v>75/55/65</v>
      </c>
      <c r="G5" s="866" t="str">
        <f>TEXT(Weather_Input!B8,"0")&amp;"/"&amp;TEXT(Weather_Input!C8,"0") &amp; "/" &amp; TEXT((Weather_Input!B8+Weather_Input!C8)/2,"0")</f>
        <v>75/57/66</v>
      </c>
      <c r="H5" s="866" t="str">
        <f>TEXT(Weather_Input!B9,"0")&amp;"/"&amp;TEXT(Weather_Input!C9,"0") &amp; "/" &amp; TEXT((Weather_Input!B9+Weather_Input!C9)/2,"0")</f>
        <v>80/60/70</v>
      </c>
      <c r="I5" s="867" t="str">
        <f>TEXT(Weather_Input!B10,"0")&amp;"/"&amp;TEXT(Weather_Input!C10,"0") &amp; "/" &amp; TEXT((Weather_Input!B10+Weather_Input!C10)/2,"0")</f>
        <v>84/65/75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33.5</v>
      </c>
      <c r="E6" s="836">
        <f ca="1">VLOOKUP(E4,NSG_Sendouts,CELL("Col",NSG_Deliveries!C6),FALSE)/1000</f>
        <v>35</v>
      </c>
      <c r="F6" s="836">
        <f ca="1">VLOOKUP(F4,NSG_Sendouts,CELL("Col",NSG_Deliveries!C7),FALSE)/1000</f>
        <v>35</v>
      </c>
      <c r="G6" s="836">
        <f ca="1">VLOOKUP(G4,NSG_Sendouts,CELL("Col",NSG_Deliveries!C8),FALSE)/1000</f>
        <v>33</v>
      </c>
      <c r="H6" s="836">
        <f ca="1">VLOOKUP(H4,NSG_Sendouts,CELL("Col",NSG_Deliveries!C9),FALSE)/1000</f>
        <v>31</v>
      </c>
      <c r="I6" s="841">
        <f ca="1">VLOOKUP(I4,NSG_Sendouts,CELL("Col",NSG_Deliveries!C10),FALSE)/1000</f>
        <v>33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4.7569999999999997</v>
      </c>
      <c r="E8" s="836">
        <f>NSG_Requirements!J8/1000</f>
        <v>4.3600000000000003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38.256999999999998</v>
      </c>
      <c r="E11" s="845">
        <f t="shared" ca="1" si="1"/>
        <v>39.36</v>
      </c>
      <c r="F11" s="845">
        <f t="shared" ca="1" si="1"/>
        <v>35</v>
      </c>
      <c r="G11" s="845">
        <f t="shared" ca="1" si="1"/>
        <v>33</v>
      </c>
      <c r="H11" s="845">
        <f t="shared" ca="1" si="1"/>
        <v>31</v>
      </c>
      <c r="I11" s="846">
        <f t="shared" ca="1" si="1"/>
        <v>33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789</v>
      </c>
      <c r="D17" s="836">
        <f>NSG_Supplies!F7/1000</f>
        <v>0.42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27.183</v>
      </c>
      <c r="E19" s="836">
        <f>NSG_Supplies!Q8/1000</f>
        <v>27.363</v>
      </c>
      <c r="F19" s="836">
        <f>NSG_Supplies!Q9/1000</f>
        <v>27.363</v>
      </c>
      <c r="G19" s="836">
        <f>NSG_Supplies!Q10/1000</f>
        <v>27.363</v>
      </c>
      <c r="H19" s="836">
        <f>NSG_Supplies!Q11/1000</f>
        <v>27.363</v>
      </c>
      <c r="I19" s="837">
        <f>NSG_Supplies!Q12/1000</f>
        <v>27.363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39.603000000000002</v>
      </c>
      <c r="E21" s="1244">
        <f t="shared" si="2"/>
        <v>39.363</v>
      </c>
      <c r="F21" s="1244">
        <f t="shared" si="2"/>
        <v>39.363</v>
      </c>
      <c r="G21" s="1244">
        <f t="shared" si="2"/>
        <v>39.363</v>
      </c>
      <c r="H21" s="1244">
        <f t="shared" si="2"/>
        <v>39.363</v>
      </c>
      <c r="I21" s="1245">
        <f t="shared" si="2"/>
        <v>39.363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1.3460000000000036</v>
      </c>
      <c r="E22" s="877">
        <f t="shared" ca="1" si="3"/>
        <v>3.0000000000001137E-3</v>
      </c>
      <c r="F22" s="877">
        <f t="shared" ca="1" si="3"/>
        <v>4.3629999999999995</v>
      </c>
      <c r="G22" s="877">
        <f t="shared" ca="1" si="3"/>
        <v>6.3629999999999995</v>
      </c>
      <c r="H22" s="877">
        <f t="shared" ca="1" si="3"/>
        <v>8.3629999999999995</v>
      </c>
      <c r="I22" s="878">
        <f t="shared" ca="1" si="3"/>
        <v>6.3629999999999995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15.85</v>
      </c>
      <c r="E24" s="1097">
        <f>NSG_Supplies!R8/1000</f>
        <v>16.03</v>
      </c>
      <c r="F24" s="1097">
        <f>NSG_Supplies!R9/1000</f>
        <v>16.03</v>
      </c>
      <c r="G24" s="1097">
        <f>NSG_Supplies!R10/1000</f>
        <v>16.03</v>
      </c>
      <c r="H24" s="1097">
        <f>NSG_Supplies!R11/1000</f>
        <v>16.03</v>
      </c>
      <c r="I24" s="1098">
        <f>NSG_Supplies!R12/1000</f>
        <v>16.03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10.199999999999999</v>
      </c>
      <c r="E26" s="884">
        <f>Weather_Input!D6</f>
        <v>8.5</v>
      </c>
      <c r="F26" s="884">
        <f>Weather_Input!D7</f>
        <v>6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37082</v>
      </c>
      <c r="N1" s="1218" t="str">
        <f>CHOOSE(WEEKDAY(M1),"SUN","MON","TUE","WED","THU","FRI","SAT")</f>
        <v>TUE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28.109000000000002</v>
      </c>
      <c r="G3" s="383" t="s">
        <v>9</v>
      </c>
      <c r="H3" s="1132" t="s">
        <v>9</v>
      </c>
      <c r="I3" s="1187" t="s">
        <v>9</v>
      </c>
      <c r="J3" s="944">
        <f>Weather_Input!B5</f>
        <v>92</v>
      </c>
      <c r="K3" s="945">
        <f>Weather_Input!C5</f>
        <v>64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95.257999999999996</v>
      </c>
      <c r="C5" s="1047" t="s">
        <v>9</v>
      </c>
      <c r="D5" s="344"/>
      <c r="E5" s="1197" t="s">
        <v>430</v>
      </c>
      <c r="F5" s="964">
        <f>F3+F4</f>
        <v>28.109000000000002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194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95.257999999999996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95.257999999999996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-59.711999999999996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59.69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208.27600000000001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28.109000000000002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0.41799999999999998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0.44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-12.138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0.89534999999999998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-50.396999999999998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-59.711999999999996</v>
      </c>
      <c r="C19" s="515"/>
      <c r="D19" s="527"/>
      <c r="E19" s="1146" t="s">
        <v>743</v>
      </c>
      <c r="F19" s="1211">
        <f>PGL_Requirements!J7/1000</f>
        <v>50.396999999999998</v>
      </c>
      <c r="G19" s="1033" t="s">
        <v>9</v>
      </c>
      <c r="H19" s="1147" t="s">
        <v>9</v>
      </c>
      <c r="I19" t="s">
        <v>536</v>
      </c>
      <c r="J19" s="1214"/>
      <c r="K19" s="1268">
        <f>-F24</f>
        <v>-69.105999999999995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140.29000000000002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53.70999999999998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69.105999999999995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0.89534999999999998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54.60534999999998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-17.462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-32.558</v>
      </c>
      <c r="L30" s="1161"/>
      <c r="M30" s="1061">
        <f>-PGL_Supplies!AB7/1000</f>
        <v>-32.558</v>
      </c>
      <c r="N30" s="1162"/>
      <c r="O30" s="1222">
        <f>-PGL_Supplies!AB7/1000</f>
        <v>-32.558</v>
      </c>
    </row>
    <row r="31" spans="1:15" ht="16.2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188.27600000000001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40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208.27600000000001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139.17000000000002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69.105999999999995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50.396999999999998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258.673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TUE</v>
      </c>
      <c r="G1" s="1224">
        <f>Weather_Input!A5</f>
        <v>37082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92</v>
      </c>
      <c r="C4" s="750">
        <f>Weather_Input!C5</f>
        <v>64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33.5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26.256999999999998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7.2430000000000003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26.256999999999998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-0.42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-27.183</v>
      </c>
      <c r="D25" s="710"/>
      <c r="E25" s="703">
        <f>-NSG_Supplies!Q7/1000</f>
        <v>-27.183</v>
      </c>
      <c r="F25" s="710"/>
      <c r="G25" s="703">
        <f>-NSG_Supplies!Q7/1000</f>
        <v>-27.183</v>
      </c>
      <c r="H25" s="709"/>
      <c r="I25" s="766">
        <f>-NSG_Supplies!Q7/1000</f>
        <v>-27.183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4.7569999999999997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7.2430000000000003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37082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92</v>
      </c>
      <c r="C5" s="261">
        <f>Weather_Input!C5</f>
        <v>64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194</v>
      </c>
      <c r="C8" s="269">
        <f>NSG_Deliveries!C5/1000</f>
        <v>33.5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119.884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28.109000000000002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35.567999999999998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0.41799999999999998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12.138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33.5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0.89534999999999998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33.5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0.44</v>
      </c>
      <c r="C27" s="305">
        <f>NSG_Requirements!P7/1000</f>
        <v>0</v>
      </c>
      <c r="D27" s="305">
        <f>PGL_Requirements!Q7/1000</f>
        <v>0.44</v>
      </c>
      <c r="E27" s="305">
        <f>NSG_Requirements!P7/1000</f>
        <v>0</v>
      </c>
      <c r="F27" s="305">
        <f>PGL_Requirements!Q7/1000</f>
        <v>0.44</v>
      </c>
      <c r="G27" s="305">
        <f>NSG_Requirements!P7/1000</f>
        <v>0</v>
      </c>
      <c r="H27" s="306">
        <f>+B27</f>
        <v>0.44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-32.558</v>
      </c>
      <c r="C32" s="310">
        <f>-NSG_Supplies!Q7/1000</f>
        <v>-27.183</v>
      </c>
      <c r="D32" s="310">
        <f>B32</f>
        <v>-32.558</v>
      </c>
      <c r="E32" s="310">
        <f>C32</f>
        <v>-27.183</v>
      </c>
      <c r="F32" s="310">
        <f>B32</f>
        <v>-32.558</v>
      </c>
      <c r="G32" s="310">
        <f>C32</f>
        <v>-27.183</v>
      </c>
      <c r="H32" s="315">
        <f>B32</f>
        <v>-32.558</v>
      </c>
      <c r="I32" s="316">
        <f>C32</f>
        <v>-27.183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-15.85</v>
      </c>
      <c r="D33" s="310">
        <f>B33</f>
        <v>0</v>
      </c>
      <c r="E33" s="310">
        <f>C33</f>
        <v>-15.85</v>
      </c>
      <c r="F33" s="310">
        <f>B33</f>
        <v>0</v>
      </c>
      <c r="G33" s="310">
        <f>C33</f>
        <v>-15.85</v>
      </c>
      <c r="H33" s="315">
        <f>B33</f>
        <v>0</v>
      </c>
      <c r="I33" s="316">
        <f>C33</f>
        <v>-15.85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-17.462</v>
      </c>
      <c r="C36" s="310">
        <f>-NSG_Supplies!F7/1000</f>
        <v>-0.42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59.69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0.41799999999999998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0.89534999999999998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0.89534999999999998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0.41799999999999998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119.884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119.884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95.257999999999996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59.69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35.567999999999998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TUE</v>
      </c>
      <c r="H73" s="401">
        <f>Weather_Input!A5</f>
        <v>37082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0.41799999999999998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119.884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95.257999999999996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12.138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-15.85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119.884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119.884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59.69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0.41799999999999998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0.89534999999999998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0.41799999999999998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95.257999999999996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95.257999999999996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37083.455993055555</v>
      </c>
      <c r="F22" s="161" t="s">
        <v>257</v>
      </c>
      <c r="G22" s="188">
        <f ca="1">NOW()</f>
        <v>37083.455993055555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37082</v>
      </c>
      <c r="C5" s="15"/>
      <c r="D5" s="22" t="s">
        <v>275</v>
      </c>
      <c r="E5" s="23">
        <f>Weather_Input!B5</f>
        <v>92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64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77.3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MOSTLY SUNNY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37083</v>
      </c>
      <c r="C10" s="15"/>
      <c r="D10" s="150" t="s">
        <v>275</v>
      </c>
      <c r="E10" s="23">
        <f>Weather_Input!B6</f>
        <v>78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56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67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 xml:space="preserve">  TODAY - NICE WITH SUNSHINE AND PATCHY CLOUDS.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MAINLY CLEAR AND NICE.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37084</v>
      </c>
      <c r="C15" s="15"/>
      <c r="D15" s="22" t="s">
        <v>275</v>
      </c>
      <c r="E15" s="23">
        <f>Weather_Input!B7</f>
        <v>75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55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65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 xml:space="preserve">  LOTS OF SUNSHINE AND PLEASANT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37085</v>
      </c>
      <c r="C20" s="15"/>
      <c r="D20" s="22" t="s">
        <v>275</v>
      </c>
      <c r="E20" s="23">
        <f>Weather_Input!B8</f>
        <v>75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57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66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 xml:space="preserve">  SUNNY MOST OF THE DAY AND PLEASANT.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37086</v>
      </c>
      <c r="C25" s="15"/>
      <c r="D25" s="22" t="s">
        <v>275</v>
      </c>
      <c r="E25" s="23">
        <f>Weather_Input!B9</f>
        <v>80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60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70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282</v>
      </c>
    </row>
    <row r="28" spans="1:109" ht="15">
      <c r="A28" s="18"/>
      <c r="B28" s="20"/>
      <c r="C28" s="15"/>
      <c r="D28" s="32" t="str">
        <f>IF(Weather_Input!I9=""," ",Weather_Input!I9)</f>
        <v xml:space="preserve">  SUNNY MUCH OF THE TIME AND DELIGHTFUL.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37087</v>
      </c>
      <c r="C30" s="15"/>
      <c r="D30" s="22" t="s">
        <v>275</v>
      </c>
      <c r="E30" s="23">
        <f>Weather_Input!B10</f>
        <v>84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65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74.5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282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 AND WARM.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37082</v>
      </c>
      <c r="C36" s="89">
        <f>B10</f>
        <v>37083</v>
      </c>
      <c r="D36" s="89">
        <f>B15</f>
        <v>37084</v>
      </c>
      <c r="E36" s="89">
        <f xml:space="preserve">       B20</f>
        <v>37085</v>
      </c>
      <c r="F36" s="89">
        <f>B25</f>
        <v>37086</v>
      </c>
      <c r="G36" s="89">
        <f>B30</f>
        <v>37087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194</v>
      </c>
      <c r="C37" s="41">
        <f ca="1">(VLOOKUP(C36,PGL_Sendouts,(CELL("COL",PGL_Deliveries!C7))))/1000</f>
        <v>200</v>
      </c>
      <c r="D37" s="41">
        <f ca="1">(VLOOKUP(D36,PGL_Sendouts,(CELL("COL",PGL_Deliveries!C8))))/1000</f>
        <v>205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180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286</v>
      </c>
      <c r="B38" s="41">
        <f>PGL_6_Day_Report!D25</f>
        <v>389.86634999999995</v>
      </c>
      <c r="C38" s="41">
        <f>PGL_6_Day_Report!E25</f>
        <v>342.65</v>
      </c>
      <c r="D38" s="41">
        <f>PGL_6_Day_Report!F25</f>
        <v>342.87</v>
      </c>
      <c r="E38" s="41">
        <f>PGL_6_Day_Report!G25</f>
        <v>327.87</v>
      </c>
      <c r="F38" s="41">
        <f>PGL_6_Day_Report!H25</f>
        <v>317.87</v>
      </c>
      <c r="G38" s="41">
        <f>PGL_6_Day_Report!I25</f>
        <v>332.87</v>
      </c>
      <c r="H38" s="14"/>
      <c r="I38" s="15"/>
    </row>
    <row r="39" spans="1:9" ht="15">
      <c r="A39" s="42" t="s">
        <v>104</v>
      </c>
      <c r="B39" s="41">
        <f>SUM(PGL_Supplies!Y7:AD7)/1000</f>
        <v>224.03399999999999</v>
      </c>
      <c r="C39" s="41">
        <f>SUM(PGL_Supplies!Y8:AD8)/1000</f>
        <v>225.489</v>
      </c>
      <c r="D39" s="41">
        <f>SUM(PGL_Supplies!Y9:AD9)/1000</f>
        <v>225.489</v>
      </c>
      <c r="E39" s="41">
        <f>SUM(PGL_Supplies!Y10:AD10)/1000</f>
        <v>225.489</v>
      </c>
      <c r="F39" s="41">
        <f>SUM(PGL_Supplies!Y11:AD11)/1000</f>
        <v>225.489</v>
      </c>
      <c r="G39" s="41">
        <f>SUM(PGL_Supplies!Y12:AD12)/1000</f>
        <v>225.489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0.64</v>
      </c>
      <c r="C41" s="41">
        <f>SUM(PGL_Requirements!Q7:T7)/1000</f>
        <v>0.64</v>
      </c>
      <c r="D41" s="41">
        <f>SUM(PGL_Requirements!Q7:T7)/1000</f>
        <v>0.64</v>
      </c>
      <c r="E41" s="41">
        <f>SUM(PGL_Requirements!Q7:T7)/1000</f>
        <v>0.64</v>
      </c>
      <c r="F41" s="41">
        <f>SUM(PGL_Requirements!Q7:T7)/1000</f>
        <v>0.64</v>
      </c>
      <c r="G41" s="41">
        <f>SUM(PGL_Requirements!Q7:T7)/1000</f>
        <v>0.64</v>
      </c>
      <c r="H41" s="14"/>
      <c r="I41" s="15"/>
    </row>
    <row r="42" spans="1:9" ht="15">
      <c r="A42" s="15" t="s">
        <v>127</v>
      </c>
      <c r="B42" s="41">
        <f>PGL_Supplies!U7/1000</f>
        <v>119.884</v>
      </c>
      <c r="C42" s="41">
        <f>PGL_Supplies!U8/1000</f>
        <v>126.056</v>
      </c>
      <c r="D42" s="41">
        <f>PGL_Supplies!U9/1000</f>
        <v>126.056</v>
      </c>
      <c r="E42" s="41">
        <f>PGL_Supplies!U10/1000</f>
        <v>126.056</v>
      </c>
      <c r="F42" s="41">
        <f>PGL_Supplies!U11/1000</f>
        <v>126.056</v>
      </c>
      <c r="G42" s="41">
        <f>PGL_Supplies!U12/1000</f>
        <v>126.056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37082</v>
      </c>
      <c r="C44" s="89">
        <f t="shared" si="0"/>
        <v>37083</v>
      </c>
      <c r="D44" s="89">
        <f t="shared" si="0"/>
        <v>37084</v>
      </c>
      <c r="E44" s="89">
        <f t="shared" si="0"/>
        <v>37085</v>
      </c>
      <c r="F44" s="89">
        <f t="shared" si="0"/>
        <v>37086</v>
      </c>
      <c r="G44" s="89">
        <f t="shared" si="0"/>
        <v>37087</v>
      </c>
      <c r="H44" s="14"/>
      <c r="I44" s="15"/>
    </row>
    <row r="45" spans="1:9" ht="15">
      <c r="A45" s="15" t="s">
        <v>54</v>
      </c>
      <c r="B45" s="41">
        <f ca="1">NSG_6_Day_Report!D6</f>
        <v>33.5</v>
      </c>
      <c r="C45" s="41">
        <f ca="1">NSG_6_Day_Report!E6</f>
        <v>35</v>
      </c>
      <c r="D45" s="41">
        <f ca="1">NSG_6_Day_Report!F6</f>
        <v>35</v>
      </c>
      <c r="E45" s="41">
        <f ca="1">NSG_6_Day_Report!G6</f>
        <v>33</v>
      </c>
      <c r="F45" s="41">
        <f ca="1">NSG_6_Day_Report!H6</f>
        <v>31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38.256999999999998</v>
      </c>
      <c r="C46" s="41">
        <f ca="1">NSG_6_Day_Report!E11</f>
        <v>39.36</v>
      </c>
      <c r="D46" s="41">
        <f ca="1">NSG_6_Day_Report!F11</f>
        <v>35</v>
      </c>
      <c r="E46" s="41">
        <f ca="1">NSG_6_Day_Report!G11</f>
        <v>33</v>
      </c>
      <c r="F46" s="41">
        <f ca="1">NSG_6_Day_Report!H11</f>
        <v>31</v>
      </c>
      <c r="G46" s="41">
        <f ca="1">NSG_6_Day_Report!I11</f>
        <v>33</v>
      </c>
      <c r="H46" s="14"/>
      <c r="I46" s="15"/>
    </row>
    <row r="47" spans="1:9" ht="15">
      <c r="A47" s="42" t="s">
        <v>104</v>
      </c>
      <c r="B47" s="41">
        <f>SUM(NSG_Supplies!O7:Q7)/1000</f>
        <v>39.183</v>
      </c>
      <c r="C47" s="41">
        <f>SUM(NSG_Supplies!O8:Q8)/1000</f>
        <v>39.363</v>
      </c>
      <c r="D47" s="41">
        <f>SUM(NSG_Supplies!O9:Q9)/1000</f>
        <v>39.363</v>
      </c>
      <c r="E47" s="41">
        <f>SUM(NSG_Supplies!O10:Q10)/1000</f>
        <v>39.363</v>
      </c>
      <c r="F47" s="41">
        <f>SUM(NSG_Supplies!O11:Q11)/1000</f>
        <v>39.363</v>
      </c>
      <c r="G47" s="41">
        <f>SUM(NSG_Supplies!O12:Q12)/1000</f>
        <v>39.363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15.85</v>
      </c>
      <c r="C50" s="41">
        <f>NSG_Supplies!R8/1000</f>
        <v>16.03</v>
      </c>
      <c r="D50" s="41">
        <f>NSG_Supplies!R9/1000</f>
        <v>16.03</v>
      </c>
      <c r="E50" s="41">
        <f>NSG_Supplies!R10/1000</f>
        <v>16.03</v>
      </c>
      <c r="F50" s="41">
        <f>NSG_Supplies!R11/1000</f>
        <v>16.03</v>
      </c>
      <c r="G50" s="41">
        <f>NSG_Supplies!R12/1000</f>
        <v>16.03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37082</v>
      </c>
      <c r="C52" s="89">
        <f t="shared" si="1"/>
        <v>37083</v>
      </c>
      <c r="D52" s="89">
        <f t="shared" si="1"/>
        <v>37084</v>
      </c>
      <c r="E52" s="89">
        <f t="shared" si="1"/>
        <v>37085</v>
      </c>
      <c r="F52" s="89">
        <f t="shared" si="1"/>
        <v>37086</v>
      </c>
      <c r="G52" s="89">
        <f t="shared" si="1"/>
        <v>37087</v>
      </c>
      <c r="H52" s="14"/>
      <c r="I52" s="15"/>
    </row>
    <row r="53" spans="1:9" ht="15">
      <c r="A53" s="92" t="s">
        <v>290</v>
      </c>
      <c r="B53" s="41">
        <f>PGL_Requirements!O7/1000</f>
        <v>59.69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Wednesday</v>
      </c>
      <c r="C4" s="1066" t="str">
        <f>Six_Day_Summary!A15</f>
        <v>Thursday</v>
      </c>
      <c r="D4" s="1066" t="str">
        <f>Six_Day_Summary!A20</f>
        <v>Friday</v>
      </c>
      <c r="E4" s="1066" t="str">
        <f>Six_Day_Summary!A25</f>
        <v>Saturday</v>
      </c>
      <c r="F4" s="1067" t="str">
        <f>Six_Day_Summary!A30</f>
        <v>Sunday</v>
      </c>
      <c r="G4" s="98"/>
    </row>
    <row r="5" spans="1:8">
      <c r="A5" s="101" t="s">
        <v>297</v>
      </c>
      <c r="B5" s="1068">
        <f>Weather_Input!A6</f>
        <v>37083</v>
      </c>
      <c r="C5" s="1069">
        <f>Weather_Input!A7</f>
        <v>37084</v>
      </c>
      <c r="D5" s="1069">
        <f>Weather_Input!A8</f>
        <v>37085</v>
      </c>
      <c r="E5" s="1069">
        <f>Weather_Input!A9</f>
        <v>37086</v>
      </c>
      <c r="F5" s="1070">
        <f>Weather_Input!A10</f>
        <v>37087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45.982999999999997</v>
      </c>
      <c r="C6" s="1071">
        <f>PGL_Supplies!AB9/1000+PGL_Supplies!K9/1000-PGL_Requirements!N9/1000+C15-PGL_Requirements!S9/1000</f>
        <v>45.982999999999997</v>
      </c>
      <c r="D6" s="1071">
        <f>PGL_Supplies!AB10/1000+PGL_Supplies!K10/1000-PGL_Requirements!N10/1000+D15-PGL_Requirements!S10/1000</f>
        <v>45.982999999999997</v>
      </c>
      <c r="E6" s="1071">
        <f>PGL_Supplies!AB11/1000+PGL_Supplies!K11/1000-PGL_Requirements!N11/1000+E15-PGL_Requirements!S11/1000</f>
        <v>45.982999999999997</v>
      </c>
      <c r="F6" s="1072">
        <f>PGL_Supplies!AB12/1000+PGL_Supplies!K12/1000-PGL_Requirements!N12/1000+F15-PGL_Requirements!S12/1000</f>
        <v>45.982999999999997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Wednesday</v>
      </c>
      <c r="C21" s="1081" t="str">
        <f t="shared" si="0"/>
        <v>Thursday</v>
      </c>
      <c r="D21" s="1081" t="str">
        <f t="shared" si="0"/>
        <v>Friday</v>
      </c>
      <c r="E21" s="1081" t="str">
        <f t="shared" si="0"/>
        <v>Saturday</v>
      </c>
      <c r="F21" s="1082" t="str">
        <f t="shared" si="0"/>
        <v>Sunday</v>
      </c>
      <c r="G21" s="98"/>
    </row>
    <row r="22" spans="1:7">
      <c r="A22" s="105" t="s">
        <v>297</v>
      </c>
      <c r="B22" s="1083">
        <f t="shared" si="0"/>
        <v>37083</v>
      </c>
      <c r="C22" s="1083">
        <f t="shared" si="0"/>
        <v>37084</v>
      </c>
      <c r="D22" s="1083">
        <f t="shared" si="0"/>
        <v>37085</v>
      </c>
      <c r="E22" s="1083">
        <f t="shared" si="0"/>
        <v>37086</v>
      </c>
      <c r="F22" s="1084">
        <f t="shared" si="0"/>
        <v>37087</v>
      </c>
      <c r="G22" s="98"/>
    </row>
    <row r="23" spans="1:7">
      <c r="A23" s="98" t="s">
        <v>298</v>
      </c>
      <c r="B23" s="1077">
        <f>NSG_Supplies!Q8/1000+NSG_Supplies!F8/1000-NSG_Requirements!H8/1000</f>
        <v>27.363</v>
      </c>
      <c r="C23" s="1077">
        <f>NSG_Supplies!Q9/1000+NSG_Supplies!F9/1000-NSG_Requirements!H9/1000</f>
        <v>27.363</v>
      </c>
      <c r="D23" s="1077">
        <f>NSG_Supplies!Q10/1000+NSG_Supplies!F10/1000-NSG_Requirements!H10/1000</f>
        <v>27.363</v>
      </c>
      <c r="E23" s="1077">
        <f>NSG_Supplies!Q12/1000+NSG_Supplies!F11/1000-NSG_Requirements!H11/1000</f>
        <v>27.363</v>
      </c>
      <c r="F23" s="1072">
        <f>NSG_Supplies!Q12/1000+NSG_Supplies!F12/1000-NSG_Requirements!H12/1000</f>
        <v>27.363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6" t="s">
        <v>359</v>
      </c>
      <c r="C1" s="892">
        <f>Weather_Input!A6</f>
        <v>37083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4.3600000000000003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7.64</v>
      </c>
      <c r="D5" s="433"/>
      <c r="E5" s="435">
        <f>AVERAGE(C5/24)</f>
        <v>0.3183333333333333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10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176.30600000000001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96.158000000000001</v>
      </c>
      <c r="D11" s="778"/>
      <c r="E11" s="1056"/>
      <c r="F11" s="430" t="s">
        <v>356</v>
      </c>
      <c r="G11" s="442">
        <f>G8+G10</f>
        <v>186.30600000000001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96.158000000000001</v>
      </c>
      <c r="D14" s="433"/>
      <c r="E14" s="435">
        <f>AVERAGE(C14/24)</f>
        <v>4.0065833333333334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186.30600000000001</v>
      </c>
      <c r="H15" s="433" t="s">
        <v>9</v>
      </c>
      <c r="I15" s="435">
        <f>AVERAGE(G15/24)</f>
        <v>7.7627500000000005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0</v>
      </c>
      <c r="H16" s="443" t="s">
        <v>9</v>
      </c>
      <c r="I16" s="435">
        <f>AVERAGE(G16/24)</f>
        <v>0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37083</v>
      </c>
      <c r="I1" s="914"/>
      <c r="J1" s="916"/>
      <c r="K1" s="916"/>
    </row>
    <row r="2" spans="1:22" ht="16.5" customHeight="1">
      <c r="A2" s="934" t="s">
        <v>641</v>
      </c>
      <c r="C2" s="982">
        <v>376</v>
      </c>
      <c r="F2" s="983">
        <v>378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7.64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27.363</v>
      </c>
      <c r="I9" s="987"/>
      <c r="K9" s="914" t="s">
        <v>645</v>
      </c>
      <c r="L9" s="936">
        <f>NSG_Deliveries!C6/1000</f>
        <v>35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3.0000000000001137E-3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96.158000000000001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378</v>
      </c>
      <c r="F15" s="988">
        <v>378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489</v>
      </c>
      <c r="D18" s="990"/>
      <c r="E18" s="990"/>
      <c r="F18" s="983">
        <v>770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186.30600000000001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50.396999999999998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9.1999999999999993</v>
      </c>
      <c r="H26" s="917"/>
      <c r="I26" s="917"/>
      <c r="J26" s="917" t="s">
        <v>542</v>
      </c>
      <c r="K26" s="995">
        <f>PGL_Deliveries!C6/1000</f>
        <v>200</v>
      </c>
      <c r="L26" s="914" t="s">
        <v>645</v>
      </c>
      <c r="M26" s="936">
        <f>NSG_Deliveries!C6/1000</f>
        <v>35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166.464</v>
      </c>
      <c r="L28" s="917" t="s">
        <v>689</v>
      </c>
      <c r="M28" s="942">
        <f>SUM(J2+K17+K19+H11+H9-M26)</f>
        <v>4.3629999999999995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37082</v>
      </c>
      <c r="G29" s="936">
        <f>PGL_Requirements!G7/1000</f>
        <v>138.21199999999999</v>
      </c>
      <c r="H29" s="915"/>
      <c r="J29" s="917" t="s">
        <v>649</v>
      </c>
      <c r="K29" s="936">
        <f>PGL_Supplies!AB8/1000+PGL_Supplies!K8/1000-PGL_Requirements!N8/1000</f>
        <v>45.982999999999997</v>
      </c>
    </row>
    <row r="30" spans="1:17" ht="10.5" customHeight="1">
      <c r="A30" s="919"/>
      <c r="B30" s="936"/>
      <c r="C30" s="917"/>
      <c r="D30" s="936"/>
      <c r="F30" s="1041">
        <f>PGL_Requirements!A8</f>
        <v>37083</v>
      </c>
      <c r="G30" s="936">
        <f>PGL_Requirements!G8/1000</f>
        <v>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12.447000000000003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489</v>
      </c>
      <c r="F38" s="988">
        <v>749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298.464</v>
      </c>
      <c r="B40" s="930"/>
      <c r="C40" s="929"/>
      <c r="D40" s="930"/>
      <c r="E40" s="930"/>
      <c r="F40" s="998"/>
      <c r="G40" s="998">
        <f>SUM(G30:G35)</f>
        <v>132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166.464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378</v>
      </c>
      <c r="E45" s="1003"/>
      <c r="F45" s="1004">
        <v>6.7000000000000004E-2</v>
      </c>
      <c r="G45" s="1005">
        <f>(C45-D45)*F45</f>
        <v>4.8239999999999998</v>
      </c>
      <c r="H45" s="1005">
        <f>(D45-B45)*F45</f>
        <v>6.9010000000000007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377</v>
      </c>
      <c r="E47" s="1003"/>
      <c r="F47" s="1004">
        <v>0.14099999999999999</v>
      </c>
      <c r="G47" s="1005">
        <f>(C47-D47)*F47</f>
        <v>10.292999999999999</v>
      </c>
      <c r="H47" s="1005">
        <f>(D47-B47)*F47</f>
        <v>14.381999999999998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489</v>
      </c>
      <c r="E48" s="1003"/>
      <c r="F48" s="1004">
        <v>0.161</v>
      </c>
      <c r="G48" s="1005">
        <f>(C48-D48)*F48</f>
        <v>42.021000000000001</v>
      </c>
      <c r="H48" s="1005">
        <f>(D48-B48)*F48</f>
        <v>32.844000000000001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57.137999999999998</v>
      </c>
      <c r="H49" s="1005">
        <f>SUM(H45:H48)</f>
        <v>54.126999999999995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37082</v>
      </c>
      <c r="B5" s="11">
        <v>92</v>
      </c>
      <c r="C5" s="49">
        <v>64</v>
      </c>
      <c r="D5" s="49">
        <v>10.199999999999999</v>
      </c>
      <c r="E5" s="11">
        <v>77.3</v>
      </c>
      <c r="F5" s="11">
        <v>5</v>
      </c>
      <c r="G5" s="11">
        <v>6704</v>
      </c>
      <c r="H5" s="11">
        <v>0</v>
      </c>
      <c r="I5" s="894" t="s">
        <v>809</v>
      </c>
      <c r="J5" s="894" t="s">
        <v>9</v>
      </c>
      <c r="K5" s="11">
        <v>1</v>
      </c>
      <c r="L5" s="11">
        <v>1</v>
      </c>
      <c r="N5" s="15" t="str">
        <f>I5&amp;" "&amp;I5</f>
        <v xml:space="preserve">  MOSTLY SUNNY   MOSTLY SUNNY</v>
      </c>
      <c r="AE5" s="15">
        <v>1</v>
      </c>
      <c r="AH5" s="15" t="s">
        <v>32</v>
      </c>
    </row>
    <row r="6" spans="1:34" ht="16.5" customHeight="1">
      <c r="A6" s="86">
        <f>A5+1</f>
        <v>37083</v>
      </c>
      <c r="B6" s="11">
        <v>78</v>
      </c>
      <c r="C6" s="49">
        <v>56</v>
      </c>
      <c r="D6" s="49">
        <v>8.5</v>
      </c>
      <c r="E6" s="11" t="s">
        <v>9</v>
      </c>
      <c r="F6" s="11" t="s">
        <v>9</v>
      </c>
      <c r="G6" s="11"/>
      <c r="H6" s="11" t="s">
        <v>9</v>
      </c>
      <c r="I6" s="894" t="s">
        <v>810</v>
      </c>
      <c r="J6" s="894" t="s">
        <v>811</v>
      </c>
      <c r="K6" s="11">
        <v>3</v>
      </c>
      <c r="L6" s="11" t="s">
        <v>590</v>
      </c>
      <c r="N6" s="15" t="str">
        <f>I6&amp;" "&amp;J6</f>
        <v xml:space="preserve">  TODAY - NICE WITH SUNSHINE AND PATCHY CLOUDS.   TONIGHT - MAINLY CLEAR AND NICE.</v>
      </c>
      <c r="AE6" s="15">
        <v>1</v>
      </c>
      <c r="AH6" s="15" t="s">
        <v>33</v>
      </c>
    </row>
    <row r="7" spans="1:34" ht="16.5" customHeight="1">
      <c r="A7" s="86">
        <f>A6+1</f>
        <v>37084</v>
      </c>
      <c r="B7" s="11">
        <v>75</v>
      </c>
      <c r="C7" s="49">
        <v>55</v>
      </c>
      <c r="D7" s="49">
        <v>6</v>
      </c>
      <c r="E7" s="11" t="s">
        <v>9</v>
      </c>
      <c r="F7" s="11" t="s">
        <v>9</v>
      </c>
      <c r="G7" s="11"/>
      <c r="H7" s="11" t="s">
        <v>9</v>
      </c>
      <c r="I7" s="894" t="s">
        <v>812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  LOTS OF SUNSHINE AND PLEASANT  </v>
      </c>
    </row>
    <row r="8" spans="1:34" ht="16.5" customHeight="1">
      <c r="A8" s="86">
        <f>A7+1</f>
        <v>37085</v>
      </c>
      <c r="B8" s="11">
        <v>75</v>
      </c>
      <c r="C8" s="49">
        <v>57</v>
      </c>
      <c r="D8" s="49">
        <v>6</v>
      </c>
      <c r="E8" s="11" t="s">
        <v>9</v>
      </c>
      <c r="F8" s="11" t="s">
        <v>9</v>
      </c>
      <c r="G8" s="11"/>
      <c r="H8" s="11" t="s">
        <v>9</v>
      </c>
      <c r="I8" s="894" t="s">
        <v>813</v>
      </c>
      <c r="J8" s="894" t="s">
        <v>9</v>
      </c>
      <c r="K8" s="11">
        <v>1</v>
      </c>
      <c r="L8" s="11"/>
      <c r="N8" s="15" t="str">
        <f>I8&amp;" "&amp;J8</f>
        <v xml:space="preserve">  SUNNY MOST OF THE DAY AND PLEASANT.  </v>
      </c>
    </row>
    <row r="9" spans="1:34" ht="16.5" customHeight="1">
      <c r="A9" s="86">
        <f>A8+1</f>
        <v>37086</v>
      </c>
      <c r="B9" s="11">
        <v>80</v>
      </c>
      <c r="C9" s="49">
        <v>60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94" t="s">
        <v>814</v>
      </c>
      <c r="J9" s="894" t="s">
        <v>9</v>
      </c>
      <c r="K9" s="11">
        <v>1</v>
      </c>
      <c r="L9" s="11">
        <v>0</v>
      </c>
      <c r="M9" s="87"/>
      <c r="N9" s="15" t="str">
        <f>I9&amp;" "&amp;J9</f>
        <v xml:space="preserve">  SUNNY MUCH OF THE TIME AND DELIGHTFUL.  </v>
      </c>
    </row>
    <row r="10" spans="1:34" ht="16.5" customHeight="1">
      <c r="A10" s="86">
        <f>A9+1</f>
        <v>37087</v>
      </c>
      <c r="B10" s="11">
        <v>84</v>
      </c>
      <c r="C10" s="49">
        <v>65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4" t="s">
        <v>815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  PARTLY SUNNY AND WARM.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191.226</v>
      </c>
      <c r="C2" s="60"/>
      <c r="D2" s="118" t="s">
        <v>310</v>
      </c>
      <c r="E2" s="421">
        <f>Weather_Input!A5</f>
        <v>37082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2E-3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142.101</v>
      </c>
      <c r="C6" s="166"/>
      <c r="D6" s="59" t="s">
        <v>545</v>
      </c>
      <c r="E6" s="151">
        <f>PGL_Deliveries!P5/1000</f>
        <v>0.76700000000000002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142.101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97.347999999999999</v>
      </c>
      <c r="C8" s="626"/>
      <c r="D8" s="115" t="s">
        <v>547</v>
      </c>
      <c r="E8" s="151">
        <f>PGL_Deliveries!N5/1000</f>
        <v>1.181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0.247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4.282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28.109000000000002</v>
      </c>
      <c r="C11" s="63"/>
      <c r="D11" s="115" t="s">
        <v>549</v>
      </c>
      <c r="E11" s="151">
        <f>PGL_Deliveries!R5/1000</f>
        <v>0.54300000000000004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4.0000000000000001E-3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88.494000000000028</v>
      </c>
      <c r="C13" s="63"/>
      <c r="D13" s="115" t="s">
        <v>205</v>
      </c>
      <c r="E13" s="151">
        <f>PGL_Deliveries!F5/1000</f>
        <v>38.866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1.57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-59.711999999999996</v>
      </c>
      <c r="C15" s="63"/>
      <c r="D15" s="59" t="s">
        <v>380</v>
      </c>
      <c r="E15" s="151">
        <f>PGL_Deliveries!K5/1000</f>
        <v>8.1000000000000003E-2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12.138</v>
      </c>
      <c r="D16" s="115" t="s">
        <v>209</v>
      </c>
      <c r="E16" s="151">
        <f>PGL_Deliveries!L5/1000</f>
        <v>1E-3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1.581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142.10100000000003</v>
      </c>
      <c r="C18" s="166"/>
      <c r="D18" s="176" t="s">
        <v>554</v>
      </c>
      <c r="E18" s="175">
        <f>SUM(E5:E17)</f>
        <v>49.125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95.257999999999996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0.89534999999999998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50.020350000000001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95.257999999999996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17.462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32.558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59.69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0.41799999999999998</v>
      </c>
      <c r="C39" s="63"/>
      <c r="D39" s="209" t="s">
        <v>210</v>
      </c>
      <c r="E39" s="208">
        <f>SUM(E22:E33)-SUM(F23:F38)-E29</f>
        <v>50.019999999999996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50.396999999999998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188.27600000000001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0.89534999999999998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0.44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92</v>
      </c>
      <c r="C45" s="182"/>
      <c r="D45" s="60" t="s">
        <v>587</v>
      </c>
      <c r="E45" s="795">
        <f>PGL_Supplies!S7/1000</f>
        <v>40</v>
      </c>
      <c r="F45" s="168"/>
    </row>
    <row r="46" spans="1:13" ht="15">
      <c r="A46" s="169" t="s">
        <v>580</v>
      </c>
      <c r="B46" s="234">
        <f>Weather_Input!C5</f>
        <v>64</v>
      </c>
      <c r="C46" s="159"/>
      <c r="D46" s="72" t="s">
        <v>791</v>
      </c>
      <c r="E46" s="60"/>
      <c r="F46" s="173">
        <f>PGL_Deliveries!BE5/1000</f>
        <v>138.21199999999999</v>
      </c>
    </row>
    <row r="47" spans="1:13" ht="15">
      <c r="A47" s="170" t="s">
        <v>581</v>
      </c>
      <c r="B47" s="60">
        <f>Weather_Input!E5</f>
        <v>77.3</v>
      </c>
      <c r="C47" s="159"/>
      <c r="D47" s="769" t="s">
        <v>792</v>
      </c>
      <c r="E47" s="67"/>
      <c r="F47" s="1246">
        <f>PGL_Deliveries!BF5/1000</f>
        <v>50.396999999999998</v>
      </c>
    </row>
    <row r="48" spans="1:13" ht="15">
      <c r="A48" s="169" t="s">
        <v>582</v>
      </c>
      <c r="B48" s="223">
        <f>Weather_Input!D5</f>
        <v>10.199999999999999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1.0209999999999999</v>
      </c>
      <c r="C49" s="159"/>
      <c r="D49" s="60" t="s">
        <v>727</v>
      </c>
      <c r="E49" s="151">
        <f>PGL_Deliveries!AJ5/1000</f>
        <v>17.614999999999998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10.494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34.845999999999997</v>
      </c>
      <c r="C3" s="117"/>
      <c r="D3" s="226" t="s">
        <v>310</v>
      </c>
      <c r="E3" s="424">
        <f>Weather_Input!A5</f>
        <v>37082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27.603000000000002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27.603000000000002</v>
      </c>
      <c r="C8" s="158"/>
      <c r="D8" s="806" t="s">
        <v>603</v>
      </c>
      <c r="E8" s="800">
        <f>NSG_Deliveries!F5/1000</f>
        <v>7.2430000000000003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4.7569999999999997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27.183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0.42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27.603000000000002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37082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37081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103583</v>
      </c>
      <c r="O6" s="201">
        <v>0</v>
      </c>
      <c r="P6" s="201">
        <v>54101970</v>
      </c>
      <c r="Q6" s="201">
        <v>15045098</v>
      </c>
      <c r="R6" s="201">
        <v>39056872</v>
      </c>
      <c r="S6" s="201">
        <v>0</v>
      </c>
    </row>
    <row r="7" spans="1:19">
      <c r="A7" s="4">
        <f>B1</f>
        <v>37082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98258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54200228</v>
      </c>
      <c r="Q7">
        <f>IF(O7&gt;0,Q6+O7,Q6)</f>
        <v>15045098</v>
      </c>
      <c r="R7">
        <f>IF(P7&gt;Q7,P7-Q7,0)</f>
        <v>39155130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O1" zoomScale="75" workbookViewId="0">
      <selection activeCell="AO6" sqref="AO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37082</v>
      </c>
      <c r="B5" s="1">
        <f>(Weather_Input!B5+Weather_Input!C5)/2</f>
        <v>78</v>
      </c>
      <c r="C5" s="895">
        <v>194000</v>
      </c>
      <c r="D5" s="896">
        <v>0</v>
      </c>
      <c r="E5" s="896">
        <v>0</v>
      </c>
      <c r="F5" s="896">
        <v>38866</v>
      </c>
      <c r="G5" s="896">
        <v>4</v>
      </c>
      <c r="H5" s="896">
        <v>1570</v>
      </c>
      <c r="I5" s="896">
        <v>142101</v>
      </c>
      <c r="J5" s="896">
        <v>0</v>
      </c>
      <c r="K5" s="896">
        <v>81</v>
      </c>
      <c r="L5" s="896">
        <v>1</v>
      </c>
      <c r="M5" s="896">
        <v>1581</v>
      </c>
      <c r="N5" s="896">
        <v>1181</v>
      </c>
      <c r="O5" s="896">
        <v>2</v>
      </c>
      <c r="P5" s="896">
        <v>767</v>
      </c>
      <c r="Q5" s="896">
        <v>247</v>
      </c>
      <c r="R5" s="896">
        <v>543</v>
      </c>
      <c r="S5" s="901">
        <v>4282</v>
      </c>
      <c r="T5" s="1085">
        <v>0</v>
      </c>
      <c r="U5" s="895">
        <f>SUM(D5:S5)-T5</f>
        <v>191226</v>
      </c>
      <c r="V5" s="895">
        <v>97348</v>
      </c>
      <c r="W5" s="11">
        <v>0</v>
      </c>
      <c r="X5" s="11">
        <v>0</v>
      </c>
      <c r="Y5" s="11">
        <v>0</v>
      </c>
      <c r="Z5" s="11">
        <v>88801</v>
      </c>
      <c r="AA5" s="11">
        <v>188302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17615</v>
      </c>
      <c r="AK5" s="11">
        <v>10494</v>
      </c>
      <c r="AL5" s="11">
        <v>0</v>
      </c>
      <c r="AM5" s="1">
        <v>1021</v>
      </c>
      <c r="AN5" s="1"/>
      <c r="AO5" s="1">
        <v>12138</v>
      </c>
      <c r="AP5" s="1">
        <v>0</v>
      </c>
      <c r="AQ5" s="1">
        <v>0</v>
      </c>
      <c r="AR5" s="1">
        <v>17462</v>
      </c>
      <c r="AS5" s="1">
        <v>0</v>
      </c>
      <c r="AT5" s="1">
        <v>418</v>
      </c>
      <c r="AU5" s="1">
        <v>59690</v>
      </c>
      <c r="AV5" s="1">
        <v>440</v>
      </c>
      <c r="AW5" s="622">
        <f>AU5*0.015</f>
        <v>895.35</v>
      </c>
      <c r="AX5" s="1">
        <v>0</v>
      </c>
      <c r="AY5" s="1"/>
      <c r="AZ5" s="1">
        <v>0</v>
      </c>
      <c r="BA5" s="1">
        <v>14</v>
      </c>
      <c r="BB5" s="1">
        <v>0</v>
      </c>
      <c r="BC5" s="1">
        <v>0</v>
      </c>
      <c r="BD5" s="1"/>
      <c r="BE5" s="1">
        <v>138212</v>
      </c>
      <c r="BF5" s="1">
        <v>50397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37083</v>
      </c>
      <c r="B6" s="913">
        <f>(Weather_Input!B6+Weather_Input!C6)/2</f>
        <v>67</v>
      </c>
      <c r="C6" s="895">
        <v>200000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37084</v>
      </c>
      <c r="B7" s="913">
        <f>(Weather_Input!B7+Weather_Input!C7)/2</f>
        <v>65</v>
      </c>
      <c r="C7" s="895">
        <v>205000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37085</v>
      </c>
      <c r="B8" s="913">
        <f>(Weather_Input!B8+Weather_Input!C8)/2</f>
        <v>66</v>
      </c>
      <c r="C8" s="895">
        <v>190000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37086</v>
      </c>
      <c r="B9" s="913">
        <f>(Weather_Input!B9+Weather_Input!C9)/2</f>
        <v>70</v>
      </c>
      <c r="C9" s="895">
        <v>180000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37087</v>
      </c>
      <c r="B10" s="913">
        <f>(Weather_Input!B10+Weather_Input!C10)/2</f>
        <v>74.5</v>
      </c>
      <c r="C10" s="895">
        <v>195000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37082</v>
      </c>
      <c r="B5" s="1">
        <f>(Weather_Input!B5+Weather_Input!C5)/2</f>
        <v>78</v>
      </c>
      <c r="C5" s="895">
        <v>33500</v>
      </c>
      <c r="D5" s="895">
        <v>0</v>
      </c>
      <c r="E5" s="895">
        <v>27603</v>
      </c>
      <c r="F5" s="895">
        <v>7243</v>
      </c>
      <c r="G5" s="895">
        <v>0</v>
      </c>
      <c r="H5" s="903">
        <f>SUM(D5:G5)</f>
        <v>34846</v>
      </c>
      <c r="I5" s="1">
        <v>1003</v>
      </c>
      <c r="J5" s="1" t="s">
        <v>9</v>
      </c>
      <c r="K5" s="1">
        <v>0</v>
      </c>
      <c r="L5" s="1">
        <v>420</v>
      </c>
      <c r="M5" s="1">
        <v>4757</v>
      </c>
      <c r="N5" s="1">
        <v>0</v>
      </c>
    </row>
    <row r="6" spans="1:14">
      <c r="A6" s="12">
        <f>A5+1</f>
        <v>37083</v>
      </c>
      <c r="B6" s="913">
        <f>(Weather_Input!B6+Weather_Input!C6)/2</f>
        <v>67</v>
      </c>
      <c r="C6" s="895">
        <v>35000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37084</v>
      </c>
      <c r="B7" s="913">
        <f>(Weather_Input!B7+Weather_Input!C7)/2</f>
        <v>65</v>
      </c>
      <c r="C7" s="895">
        <v>35000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37085</v>
      </c>
      <c r="B8" s="913">
        <f>(Weather_Input!B8+Weather_Input!C8)/2</f>
        <v>66</v>
      </c>
      <c r="C8" s="895">
        <v>33000</v>
      </c>
      <c r="D8" s="898" t="s">
        <v>9</v>
      </c>
      <c r="E8" s="898"/>
      <c r="F8" s="898"/>
      <c r="G8" s="898"/>
      <c r="H8" s="15"/>
    </row>
    <row r="9" spans="1:14">
      <c r="A9" s="12">
        <f>A8+1</f>
        <v>37086</v>
      </c>
      <c r="B9" s="913">
        <f>(Weather_Input!B9+Weather_Input!C9)/2</f>
        <v>70</v>
      </c>
      <c r="C9" s="895">
        <v>31000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37087</v>
      </c>
      <c r="B10" s="913">
        <f>(Weather_Input!B10+Weather_Input!C10)/2</f>
        <v>74.5</v>
      </c>
      <c r="C10" s="895">
        <v>33000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F8" sqref="F8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37082</v>
      </c>
      <c r="B7" s="904">
        <v>0</v>
      </c>
      <c r="C7" s="620">
        <v>0</v>
      </c>
      <c r="D7" s="620">
        <v>0</v>
      </c>
      <c r="E7" s="904">
        <v>3000</v>
      </c>
      <c r="F7" s="904">
        <v>12138</v>
      </c>
      <c r="G7" s="906">
        <v>138212</v>
      </c>
      <c r="H7" s="619">
        <v>0</v>
      </c>
      <c r="I7" s="619">
        <v>0</v>
      </c>
      <c r="J7" s="620">
        <v>50397</v>
      </c>
      <c r="K7" s="619">
        <v>0</v>
      </c>
      <c r="L7" s="620">
        <v>0</v>
      </c>
      <c r="M7" s="620">
        <v>0</v>
      </c>
      <c r="N7" s="621">
        <v>0</v>
      </c>
      <c r="O7" s="620">
        <v>59690</v>
      </c>
      <c r="P7" s="622">
        <f t="shared" ref="P7:P12" si="0">O7*0.015</f>
        <v>895.35</v>
      </c>
      <c r="Q7" s="620">
        <v>440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37083</v>
      </c>
      <c r="B8" s="904">
        <v>0</v>
      </c>
      <c r="C8" s="620">
        <v>0</v>
      </c>
      <c r="D8" s="620">
        <v>0</v>
      </c>
      <c r="E8" s="904">
        <v>3000</v>
      </c>
      <c r="F8" s="904">
        <v>4780</v>
      </c>
      <c r="G8" s="906">
        <v>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690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37084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690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37085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690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37086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690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37087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690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J7" sqref="J7"/>
    </sheetView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37082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418</v>
      </c>
      <c r="H7" s="620">
        <v>28109</v>
      </c>
      <c r="I7" s="620">
        <v>0</v>
      </c>
      <c r="J7" s="907">
        <v>0</v>
      </c>
      <c r="K7" s="621">
        <v>17462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40000</v>
      </c>
      <c r="T7" s="620">
        <v>0</v>
      </c>
      <c r="U7" s="621">
        <v>119884</v>
      </c>
      <c r="V7" s="621">
        <v>0</v>
      </c>
      <c r="W7" s="619">
        <v>0</v>
      </c>
      <c r="X7" s="907">
        <v>95258</v>
      </c>
      <c r="Y7" s="621">
        <v>200</v>
      </c>
      <c r="Z7" s="1">
        <v>0</v>
      </c>
      <c r="AA7" s="619">
        <v>188276</v>
      </c>
      <c r="AB7" s="619">
        <v>32558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37083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10000</v>
      </c>
      <c r="T8" s="620">
        <v>0</v>
      </c>
      <c r="U8" s="621">
        <v>126056</v>
      </c>
      <c r="V8" s="621">
        <v>0</v>
      </c>
      <c r="W8" s="619">
        <v>0</v>
      </c>
      <c r="X8" s="907">
        <v>96158</v>
      </c>
      <c r="Y8" s="621">
        <v>200</v>
      </c>
      <c r="Z8" s="1">
        <v>0</v>
      </c>
      <c r="AA8" s="619">
        <v>176306</v>
      </c>
      <c r="AB8" s="619">
        <v>45983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37084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40000</v>
      </c>
      <c r="T9" s="620">
        <v>0</v>
      </c>
      <c r="U9" s="621">
        <v>126056</v>
      </c>
      <c r="V9" s="621">
        <v>0</v>
      </c>
      <c r="W9" s="619">
        <v>0</v>
      </c>
      <c r="X9" s="907">
        <v>96158</v>
      </c>
      <c r="Y9" s="621">
        <v>200</v>
      </c>
      <c r="Z9" s="1">
        <v>0</v>
      </c>
      <c r="AA9" s="619">
        <v>176306</v>
      </c>
      <c r="AB9" s="619">
        <v>45983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37085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126056</v>
      </c>
      <c r="V10" s="621">
        <v>0</v>
      </c>
      <c r="W10" s="619">
        <v>0</v>
      </c>
      <c r="X10" s="907">
        <v>96158</v>
      </c>
      <c r="Y10" s="621">
        <v>200</v>
      </c>
      <c r="Z10" s="1">
        <v>0</v>
      </c>
      <c r="AA10" s="619">
        <v>176306</v>
      </c>
      <c r="AB10" s="619">
        <v>45983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37086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126056</v>
      </c>
      <c r="V11" s="621">
        <v>0</v>
      </c>
      <c r="W11" s="619">
        <v>0</v>
      </c>
      <c r="X11" s="907">
        <v>96158</v>
      </c>
      <c r="Y11" s="621">
        <v>200</v>
      </c>
      <c r="Z11" s="1">
        <v>0</v>
      </c>
      <c r="AA11" s="619">
        <v>176306</v>
      </c>
      <c r="AB11" s="619">
        <v>45983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37087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126056</v>
      </c>
      <c r="V12" s="621">
        <v>0</v>
      </c>
      <c r="W12" s="619">
        <v>0</v>
      </c>
      <c r="X12" s="907">
        <v>96158</v>
      </c>
      <c r="Y12" s="621">
        <v>200</v>
      </c>
      <c r="Z12" s="1">
        <v>0</v>
      </c>
      <c r="AA12" s="619">
        <v>176306</v>
      </c>
      <c r="AB12" s="619">
        <v>45983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37082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4757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37082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37083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4360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37083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37084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37084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37085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37085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37086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37086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37087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37087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37082</v>
      </c>
      <c r="B7" s="622">
        <v>0</v>
      </c>
      <c r="C7" s="623">
        <v>0</v>
      </c>
      <c r="D7" s="622">
        <v>0</v>
      </c>
      <c r="E7" s="622">
        <v>0</v>
      </c>
      <c r="F7" s="622">
        <v>420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27183</v>
      </c>
      <c r="R7" s="622">
        <v>15850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37083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27363</v>
      </c>
      <c r="R8" s="622">
        <v>16030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37084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27363</v>
      </c>
      <c r="R9" s="622">
        <v>16030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37085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27363</v>
      </c>
      <c r="R10" s="622">
        <v>16030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37086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27363</v>
      </c>
      <c r="R11" s="622">
        <v>16030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37087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27363</v>
      </c>
      <c r="R12" s="622">
        <v>16030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3" zoomScale="75" workbookViewId="0">
      <selection activeCell="A43" sqref="A4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TUE</v>
      </c>
      <c r="I1" s="824">
        <f>D4</f>
        <v>37082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</row>
    <row r="4" spans="1:256" ht="18.899999999999999" customHeight="1" thickBot="1">
      <c r="A4" s="831"/>
      <c r="B4" s="832"/>
      <c r="C4" s="832"/>
      <c r="D4" s="461">
        <f>Weather_Input!A5</f>
        <v>37082</v>
      </c>
      <c r="E4" s="461">
        <f>Weather_Input!A6</f>
        <v>37083</v>
      </c>
      <c r="F4" s="461">
        <f>Weather_Input!A7</f>
        <v>37084</v>
      </c>
      <c r="G4" s="461">
        <f>Weather_Input!A8</f>
        <v>37085</v>
      </c>
      <c r="H4" s="461">
        <f>Weather_Input!A9</f>
        <v>37086</v>
      </c>
      <c r="I4" s="462">
        <f>Weather_Input!A10</f>
        <v>37087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92/64/78</v>
      </c>
      <c r="E5" s="463" t="str">
        <f>TEXT(Weather_Input!B6,"0")&amp;"/"&amp;TEXT(Weather_Input!C6,"0") &amp; "/" &amp; TEXT((Weather_Input!B6+Weather_Input!C6)/2,"0")</f>
        <v>78/56/67</v>
      </c>
      <c r="F5" s="463" t="str">
        <f>TEXT(Weather_Input!B7,"0")&amp;"/"&amp;TEXT(Weather_Input!C7,"0") &amp; "/" &amp; TEXT((Weather_Input!B7+Weather_Input!C7)/2,"0")</f>
        <v>75/55/65</v>
      </c>
      <c r="G5" s="463" t="str">
        <f>TEXT(Weather_Input!B8,"0")&amp;"/"&amp;TEXT(Weather_Input!C8,"0") &amp; "/" &amp; TEXT((Weather_Input!B8+Weather_Input!C8)/2,"0")</f>
        <v>75/57/66</v>
      </c>
      <c r="H5" s="463" t="str">
        <f>TEXT(Weather_Input!B9,"0")&amp;"/"&amp;TEXT(Weather_Input!C9,"0") &amp; "/" &amp; TEXT((Weather_Input!B9+Weather_Input!C9)/2,"0")</f>
        <v>80/60/70</v>
      </c>
      <c r="I5" s="464" t="str">
        <f>TEXT(Weather_Input!B10,"0")&amp;"/"&amp;TEXT(Weather_Input!C10,"0") &amp; "/" &amp; TEXT((Weather_Input!B10+Weather_Input!C10)/2,"0")</f>
        <v>84/65/75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194</v>
      </c>
      <c r="E6" s="463">
        <f>PGL_Deliveries!C6/1000</f>
        <v>200</v>
      </c>
      <c r="F6" s="463">
        <f>PGL_Deliveries!C7/1000</f>
        <v>205</v>
      </c>
      <c r="G6" s="463">
        <f>PGL_Deliveries!C8/1000</f>
        <v>190</v>
      </c>
      <c r="H6" s="463">
        <f>PGL_Deliveries!C9/1000</f>
        <v>180</v>
      </c>
      <c r="I6" s="464">
        <f>PGL_Deliveries!C10/1000</f>
        <v>195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69.105999999999995</v>
      </c>
      <c r="E7" s="463">
        <f>PGL_Requirements!G8/1000*0.5</f>
        <v>0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774</v>
      </c>
      <c r="B8" s="826"/>
      <c r="C8" s="826"/>
      <c r="D8" s="463">
        <f>PGL_Requirements!J7/1000</f>
        <v>50.396999999999998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59.69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0.89534999999999998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899999999999999" customHeight="1">
      <c r="A13" s="835"/>
      <c r="C13" s="826" t="s">
        <v>690</v>
      </c>
      <c r="D13" s="463">
        <f>PGL_Requirements!Q7/1000</f>
        <v>0.44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12.138</v>
      </c>
      <c r="E20" s="463">
        <f>PGL_Requirements!F8/1000</f>
        <v>4.78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389.86634999999995</v>
      </c>
      <c r="E25" s="467">
        <f t="shared" si="1"/>
        <v>342.65</v>
      </c>
      <c r="F25" s="467">
        <f t="shared" si="1"/>
        <v>342.87</v>
      </c>
      <c r="G25" s="467">
        <f t="shared" si="1"/>
        <v>327.87</v>
      </c>
      <c r="H25" s="467">
        <f t="shared" si="1"/>
        <v>317.87</v>
      </c>
      <c r="I25" s="1099">
        <f t="shared" si="1"/>
        <v>332.87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0.41799999999999998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17.462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776</v>
      </c>
      <c r="B36" s="826" t="s">
        <v>394</v>
      </c>
      <c r="C36" s="826"/>
      <c r="D36" s="463">
        <f>PGL_Supplies!S7/1000*0.5</f>
        <v>20</v>
      </c>
      <c r="E36" s="463">
        <f>PGL_Supplies!S8/1000*0.5</f>
        <v>5</v>
      </c>
      <c r="F36" s="463">
        <f>PGL_Supplies!S9/1000*0.5</f>
        <v>20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95.257999999999996</v>
      </c>
      <c r="E37" s="463">
        <f>PGL_Supplies!X8/1000</f>
        <v>96.158000000000001</v>
      </c>
      <c r="F37" s="463">
        <f>PGL_Supplies!X9/1000</f>
        <v>96.158000000000001</v>
      </c>
      <c r="G37" s="463">
        <f>PGL_Supplies!X10/1000</f>
        <v>96.158000000000001</v>
      </c>
      <c r="H37" s="463">
        <f>PGL_Supplies!X11/1000</f>
        <v>96.158000000000001</v>
      </c>
      <c r="I37" s="464">
        <f>PGL_Supplies!X12/1000</f>
        <v>96.158000000000001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188.27600000000001</v>
      </c>
      <c r="E40" s="463">
        <f>PGL_Supplies!AA8/1000</f>
        <v>176.30600000000001</v>
      </c>
      <c r="F40" s="463">
        <f>PGL_Supplies!AA9/1000</f>
        <v>176.30600000000001</v>
      </c>
      <c r="G40" s="463">
        <f>PGL_Supplies!AA10/1000</f>
        <v>176.30600000000001</v>
      </c>
      <c r="H40" s="463">
        <f>PGL_Supplies!AA11/1000</f>
        <v>176.30600000000001</v>
      </c>
      <c r="I40" s="464">
        <f>PGL_Supplies!AA12/1000</f>
        <v>176.30600000000001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32.558</v>
      </c>
      <c r="E41" s="463">
        <f>PGL_Supplies!AB8/1000</f>
        <v>45.982999999999997</v>
      </c>
      <c r="F41" s="463">
        <f>PGL_Supplies!AB9/1000</f>
        <v>45.982999999999997</v>
      </c>
      <c r="G41" s="463">
        <f>PGL_Supplies!AB10/1000</f>
        <v>45.982999999999997</v>
      </c>
      <c r="H41" s="463">
        <f>PGL_Supplies!AB11/1000</f>
        <v>45.982999999999997</v>
      </c>
      <c r="I41" s="464">
        <f>PGL_Supplies!AB12/1000</f>
        <v>45.982999999999997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28.109000000000002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385.28099999999995</v>
      </c>
      <c r="E50" s="473">
        <f t="shared" si="2"/>
        <v>342.64699999999999</v>
      </c>
      <c r="F50" s="473">
        <f t="shared" si="2"/>
        <v>357.64699999999999</v>
      </c>
      <c r="G50" s="473">
        <f t="shared" si="2"/>
        <v>337.64699999999999</v>
      </c>
      <c r="H50" s="473">
        <f t="shared" si="2"/>
        <v>337.64699999999999</v>
      </c>
      <c r="I50" s="1101">
        <f t="shared" si="2"/>
        <v>337.64699999999999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14.776999999999987</v>
      </c>
      <c r="G51" s="474">
        <f t="shared" si="3"/>
        <v>9.7769999999999868</v>
      </c>
      <c r="H51" s="474">
        <f t="shared" si="3"/>
        <v>19.776999999999987</v>
      </c>
      <c r="I51" s="1102">
        <f t="shared" si="3"/>
        <v>4.7769999999999868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4.5853500000000054</v>
      </c>
      <c r="E52" s="475">
        <f t="shared" si="4"/>
        <v>2.9999999999859028E-3</v>
      </c>
      <c r="F52" s="475">
        <f t="shared" si="4"/>
        <v>0</v>
      </c>
      <c r="G52" s="475">
        <f t="shared" si="4"/>
        <v>0</v>
      </c>
      <c r="H52" s="475">
        <f t="shared" si="4"/>
        <v>0</v>
      </c>
      <c r="I52" s="1103">
        <f t="shared" si="4"/>
        <v>0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119.884</v>
      </c>
      <c r="E53" s="1092">
        <f>PGL_Supplies!U8/1000</f>
        <v>126.056</v>
      </c>
      <c r="F53" s="1092">
        <f>PGL_Supplies!U9/1000</f>
        <v>126.056</v>
      </c>
      <c r="G53" s="1092">
        <f>PGL_Supplies!U10/1000</f>
        <v>126.056</v>
      </c>
      <c r="H53" s="1092">
        <f>PGL_Supplies!U11/1000</f>
        <v>126.056</v>
      </c>
      <c r="I53" s="1093">
        <f>PGL_Supplies!U12/1000</f>
        <v>126.056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2001-07-11T15:56:38Z</cp:lastPrinted>
  <dcterms:created xsi:type="dcterms:W3CDTF">1997-07-16T16:14:22Z</dcterms:created>
  <dcterms:modified xsi:type="dcterms:W3CDTF">2023-09-10T11:13:23Z</dcterms:modified>
</cp:coreProperties>
</file>