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<sst xmlns="http://schemas.openxmlformats.org/spreadsheetml/2006/main" count="2069" uniqueCount="818">
  <si>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</si>
  <si>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</si>
  <si>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</si>
  <si>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</si>
  <si>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</si>
  <si>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</si>
  <si>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</si>
  <si>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</si>
  <si>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</si>
  <si>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</si>
  <si>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</si>
  <si>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</si>
  <si>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</si>
  <si>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</si>
  <si>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</si>
  <si>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</si>
  <si>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</si>
  <si>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</si>
  <si>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</si>
  <si>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</si>
  <si>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</si>
  <si>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</si>
  <si>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</si>
  <si>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</si>
  <si>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</si>
  <si>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</si>
  <si>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</si>
  <si>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</si>
  <si>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</si>
  <si>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</si>
  <si>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</si>
  <si>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</si>
  <si>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</si>
  <si>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</si>
  <si>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</si>
  <si>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</si>
  <si>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</si>
  <si>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</si>
  <si>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</si>
  <si>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</si>
  <si>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</si>
  <si>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</si>
  <si>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</si>
  <si>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</si>
  <si>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</si>
  <si>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</si>
  <si>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</si>
  <si>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</si>
  <si>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</si>
  <si>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</si>
  <si>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</si>
  <si>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</si>
  <si>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</si>
  <si>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</si>
  <si>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</si>
  <si>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</si>
  <si>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</si>
  <si>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</si>
  <si>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</si>
  <si>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</si>
  <si>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</si>
  <si>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</si>
  <si>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</si>
  <si>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</si>
  <si>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</si>
  <si>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</si>
  <si>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</si>
  <si>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</si>
  <si>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</si>
  <si>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</si>
  <si>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</si>
  <si>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</si>
  <si>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</si>
  <si>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</si>
  <si>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</si>
  <si>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</si>
  <si>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</si>
  <si>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</si>
  <si>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</si>
  <si>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</si>
  <si>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</si>
  <si>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</si>
  <si>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</si>
  <si>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</si>
  <si>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</si>
  <si>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</si>
  <si>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</si>
  <si>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</si>
  <si>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</si>
  <si>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</si>
  <si>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</si>
  <si>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</si>
  <si>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</si>
  <si>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</si>
  <si>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</si>
  <si>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</si>
  <si>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</si>
  <si>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</si>
  <si>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</si>
  <si>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</si>
  <si>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</si>
  <si>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</si>
  <si>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</si>
  <si>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</si>
  <si>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</si>
  <si>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</si>
  <si>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</si>
  <si>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</si>
  <si>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</si>
  <si>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</si>
  <si>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</si>
  <si>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</si>
  <si>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</si>
  <si>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</si>
  <si>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</si>
  <si>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</si>
  <si>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</si>
  <si>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</si>
  <si>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</si>
  <si>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</si>
  <si>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</si>
  <si>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</si>
  <si>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</si>
  <si>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</si>
  <si>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</si>
  <si>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</si>
  <si>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</si>
  <si>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</si>
  <si>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</si>
  <si>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</si>
  <si>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</si>
  <si>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</si>
  <si>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</si>
  <si>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</si>
  <si>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</si>
  <si>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</si>
  <si>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</si>
  <si>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</si>
  <si>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</si>
  <si>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</si>
  <si>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</si>
  <si>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</si>
  <si>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</si>
  <si>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</si>
  <si>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</si>
  <si>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</si>
  <si>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</si>
  <si>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</si>
  <si>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</si>
  <si>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</si>
  <si>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</si>
  <si>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</si>
  <si>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</si>
  <si>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</si>
  <si>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</si>
  <si>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</si>
  <si>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</si>
  <si>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</si>
  <si>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</si>
  <si>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</si>
  <si>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</si>
  <si>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</si>
  <si>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</si>
  <si>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</si>
  <si>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</si>
  <si>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</si>
  <si>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</si>
  <si>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</si>
  <si>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</si>
  <si>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</si>
  <si>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</si>
  <si>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</si>
  <si>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</si>
  <si>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</si>
  <si>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</si>
  <si>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</si>
  <si>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</si>
  <si>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</si>
  <si>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</si>
  <si>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</si>
  <si>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</si>
  <si>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</si>
  <si>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</si>
  <si>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</si>
  <si>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</si>
  <si>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</si>
  <si>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</si>
  <si>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</si>
  <si>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</si>
  <si>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</si>
  <si>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</si>
  <si>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</si>
  <si>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</si>
  <si>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</si>
  <si>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</si>
  <si>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</si>
  <si>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</si>
  <si>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</si>
  <si>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</si>
  <si>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</si>
  <si>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</si>
  <si>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</si>
  <si>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</si>
  <si>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</si>
  <si>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</si>
  <si>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</si>
  <si>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</si>
  <si>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</si>
  <si>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</si>
  <si>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</si>
  <si>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</si>
  <si>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</si>
  <si>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</si>
  <si>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</si>
  <si>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</si>
  <si>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</si>
  <si>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</si>
  <si>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</si>
  <si>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</si>
  <si>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</si>
  <si>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</si>
  <si>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</si>
  <si>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</si>
  <si>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</si>
  <si>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</si>
  <si>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</si>
  <si>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</si>
  <si>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</si>
  <si>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</si>
  <si>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</si>
  <si>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</si>
  <si>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</si>
  <si>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</si>
  <si>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</si>
  <si>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</si>
  <si>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</si>
  <si>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</si>
  <si>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</si>
  <si>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</si>
  <si>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</si>
  <si>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</si>
  <si>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</si>
  <si>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</si>
  <si>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</si>
  <si>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</si>
  <si>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</si>
  <si>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</si>
  <si>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</si>
  <si>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</si>
  <si>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</si>
  <si>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</si>
  <si>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</si>
  <si>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</si>
  <si>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</si>
  <si>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</si>
  <si>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</si>
  <si>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</si>
  <si>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</si>
  <si>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</si>
  <si>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</si>
  <si>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</si>
  <si>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</si>
  <si>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</si>
  <si>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</si>
  <si>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</si>
  <si>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</si>
  <si>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</si>
  <si>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</si>
  <si>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</si>
  <si>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</si>
  <si>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</si>
  <si>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</si>
  <si>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</si>
  <si>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</si>
  <si>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</si>
  <si>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</si>
  <si>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</si>
  <si>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</si>
  <si>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</si>
  <si>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</si>
  <si>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</si>
  <si>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</si>
  <si>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</si>
  <si>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</si>
  <si>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</si>
  <si>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</si>
  <si>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</si>
  <si>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</si>
  <si>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</si>
  <si>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</si>
  <si>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</si>
  <si>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</si>
  <si>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</si>
  <si>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</si>
  <si>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</si>
  <si>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</si>
  <si>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</si>
  <si>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</si>
  <si>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</si>
  <si>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</si>
  <si>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</si>
  <si>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</si>
  <si>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</si>
  <si>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</si>
  <si>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</si>
  <si>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</si>
  <si>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</si>
  <si>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</si>
  <si>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</si>
  <si>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</si>
  <si>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</si>
  <si>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</si>
  <si>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</si>
  <si>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</si>
  <si>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</si>
  <si>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</si>
  <si>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</si>
  <si>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</si>
  <si>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</si>
  <si>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</si>
  <si>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</si>
  <si>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</si>
  <si>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</si>
  <si>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</si>
  <si>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</si>
  <si>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</si>
  <si>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</si>
  <si>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</si>
  <si>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</si>
  <si>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</si>
  <si>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</si>
  <si>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</si>
  <si>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</si>
  <si>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</si>
  <si>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</si>
  <si>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</si>
  <si>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</si>
  <si>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</si>
  <si>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</si>
  <si>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</si>
  <si>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</si>
  <si>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</si>
  <si>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</si>
  <si>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</si>
  <si>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</si>
  <si>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</si>
  <si>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</si>
  <si>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</si>
  <si>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</si>
  <si>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</si>
  <si>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</si>
  <si>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</si>
  <si>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</si>
  <si>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</si>
  <si>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</si>
  <si>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</si>
  <si>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</si>
  <si>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</si>
  <si>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</si>
  <si>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</si>
  <si>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</si>
  <si>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</si>
  <si>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</si>
  <si>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</si>
  <si>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</si>
  <si>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</si>
  <si>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</si>
  <si>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</si>
  <si>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</si>
  <si>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</si>
  <si>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</si>
  <si>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</si>
  <si>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</si>
  <si>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</si>
  <si>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</si>
  <si>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</si>
  <si>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</si>
  <si>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</si>
  <si>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</si>
  <si>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</si>
  <si>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</si>
  <si>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</si>
  <si>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</si>
  <si>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</si>
  <si>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</si>
  <si>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</si>
  <si>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</si>
  <si>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</si>
  <si>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</si>
  <si>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</si>
  <si>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</si>
  <si>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</si>
  <si>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</si>
  <si>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</si>
  <si>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</si>
  <si>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</si>
  <si>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</si>
  <si>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</si>
  <si>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</si>
  <si>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</si>
  <si>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</si>
  <si>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</si>
  <si>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</si>
  <si>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</si>
  <si>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</si>
  <si>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</si>
  <si>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</si>
  <si>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</si>
  <si>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</si>
  <si>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</si>
  <si>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</si>
  <si>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</si>
  <si>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</si>
  <si>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</si>
  <si>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</si>
  <si>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</si>
  <si>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</si>
  <si>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</si>
  <si>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</si>
  <si>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</si>
  <si>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</si>
  <si>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</si>
  <si>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</si>
  <si>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</si>
  <si>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</si>
  <si>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</si>
  <si>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</si>
  <si>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</si>
  <si>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</si>
  <si>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</si>
  <si>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</si>
  <si>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</si>
  <si>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</si>
  <si>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</si>
  <si>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</si>
  <si>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</si>
  <si>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</si>
  <si>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</si>
  <si>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</si>
  <si>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</si>
  <si>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</si>
  <si>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</si>
  <si>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</si>
  <si>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</si>
  <si>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</si>
  <si>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</si>
  <si>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</si>
  <si>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</si>
  <si>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</si>
  <si>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</si>
  <si>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</si>
  <si>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</si>
  <si>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</si>
  <si>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</si>
  <si>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</si>
  <si>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</si>
  <si>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</si>
  <si>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</si>
  <si>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</si>
  <si>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</si>
  <si>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</si>
  <si>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</si>
  <si>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</si>
  <si>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</si>
  <si>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</si>
  <si>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</si>
  <si>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</si>
  <si>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</si>
  <si>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</si>
  <si>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</si>
  <si>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</si>
  <si>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</si>
  <si>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</si>
  <si>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</si>
  <si>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</si>
  <si>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</si>
  <si>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</si>
  <si>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</si>
  <si>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</si>
  <si>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</si>
  <si>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</si>
  <si>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</si>
  <si>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</si>
  <si>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</si>
  <si>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</si>
  <si>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</si>
  <si>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</si>
  <si>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</si>
  <si>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</si>
  <si>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</si>
  <si>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</si>
  <si>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</si>
  <si>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</si>
  <si>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</si>
  <si>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</si>
  <si>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</si>
  <si>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</si>
  <si>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</si>
  <si>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</si>
  <si>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</si>
  <si>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</si>
  <si>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</si>
  <si>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</si>
  <si>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</si>
  <si>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</si>
  <si>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</si>
  <si>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</si>
  <si>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</si>
  <si>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</si>
  <si>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</si>
  <si>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</si>
  <si>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</si>
  <si>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</si>
  <si>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</si>
  <si>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</si>
  <si>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</si>
  <si>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</si>
  <si>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</si>
  <si>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</si>
  <si>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</si>
  <si>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</si>
  <si>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</si>
  <si>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</si>
  <si>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</si>
  <si>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</si>
  <si>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</si>
  <si>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</si>
  <si>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</si>
  <si>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</si>
  <si>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</si>
  <si>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</si>
  <si>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</si>
  <si>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</si>
  <si>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</si>
  <si>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</si>
  <si>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</si>
  <si>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</si>
  <si>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</si>
  <si>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</si>
  <si>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</si>
  <si>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</si>
  <si>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</si>
  <si>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</si>
  <si>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</si>
  <si>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</si>
  <si>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</si>
  <si>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</si>
  <si>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</si>
  <si>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</si>
  <si>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</si>
  <si>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</si>
  <si>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</si>
  <si>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</si>
  <si>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</si>
  <si>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</si>
  <si>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</si>
  <si>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</si>
  <si>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</si>
  <si>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</si>
  <si>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</si>
  <si>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</si>
  <si>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</si>
  <si>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</si>
  <si>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</si>
  <si>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</si>
  <si>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</si>
  <si>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</si>
  <si>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</si>
  <si>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</si>
  <si>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</si>
  <si>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</si>
  <si>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</si>
  <si>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</si>
  <si>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</si>
  <si>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</si>
  <si>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</si>
  <si>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</si>
  <si>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</si>
  <si>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</si>
  <si>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</si>
  <si>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</si>
  <si>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</si>
  <si>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</si>
  <si>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</si>
  <si>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</si>
  <si>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</si>
  <si>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</si>
  <si>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</si>
  <si>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</si>
  <si>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</si>
  <si>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</si>
  <si>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</si>
  <si>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</si>
  <si>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</si>
  <si>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</si>
  <si>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</si>
  <si>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</si>
  <si>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</si>
  <si>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</si>
  <si>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</si>
  <si>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</si>
  <si>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</si>
  <si>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</si>
  <si>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</si>
  <si>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</si>
  <si>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</si>
  <si>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</si>
  <si>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</si>
  <si>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</si>
  <si>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</si>
  <si>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</si>
  <si>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</si>
  <si>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</si>
  <si>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</si>
  <si>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</si>
  <si>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</si>
  <si>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</si>
  <si>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</si>
  <si>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</si>
  <si>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</si>
  <si>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</si>
  <si>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</si>
  <si>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</si>
  <si>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</si>
  <si>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</si>
  <si>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</si>
  <si>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</si>
  <si>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</si>
  <si>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</si>
  <si>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</si>
  <si>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</si>
  <si>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</si>
  <si>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</si>
  <si>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</si>
  <si>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</si>
  <si>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</si>
  <si>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</si>
  <si>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</si>
  <si>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</si>
  <si>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</si>
  <si>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</si>
  <si>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</si>
  <si>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</si>
  <si>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</si>
  <si>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</si>
  <si>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</si>
  <si>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</si>
  <si>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</si>
  <si>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</si>
  <si>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</si>
  <si>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</si>
  <si>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</si>
  <si>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</si>
  <si>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</si>
  <si>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</si>
  <si>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</si>
  <si>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</si>
  <si>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</si>
  <si>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</si>
  <si>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</si>
  <si>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</si>
  <si>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</si>
  <si>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</si>
  <si>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</si>
  <si>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</si>
  <si>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</si>
  <si>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</si>
  <si>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</si>
  <si>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</si>
  <si>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</si>
  <si>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</si>
  <si>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</si>
  <si>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</si>
  <si>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</si>
  <si>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</si>
  <si>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</si>
  <si>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</si>
  <si>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</si>
  <si>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</si>
  <si>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</si>
  <si>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</si>
  <si>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</si>
  <si>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</si>
  <si>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</si>
  <si>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</si>
  <si>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</si>
  <si>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</si>
  <si>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</si>
  <si>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</si>
  <si>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</si>
  <si>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</si>
  <si>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</si>
  <si>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</si>
  <si>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</si>
  <si>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</si>
  <si>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</si>
  <si>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</si>
  <si>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</si>
  <si>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</si>
  <si>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</si>
  <si>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</si>
  <si>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</si>
  <si>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</si>
  <si>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</si>
  <si>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</si>
  <si>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</si>
  <si>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</si>
  <si>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</si>
  <si>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</si>
  <si>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</si>
  <si>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</si>
  <si>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</si>
  <si>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</si>
  <si>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</si>
  <si>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</si>
  <si>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</si>
  <si>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</si>
  <si>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</si>
  <si>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</si>
  <si>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</si>
  <si>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</si>
  <si>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</si>
  <si>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</si>
  <si>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</si>
  <si>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</si>
  <si>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</si>
  <si>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</si>
  <si>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</si>
  <si>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</si>
  <si>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</si>
  <si>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</si>
  <si>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</si>
  <si>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</si>
  <si>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</si>
  <si>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</si>
  <si>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</si>
  <si>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</si>
  <si>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</si>
  <si>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</si>
  <si>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</si>
  <si>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</si>
  <si>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</si>
  <si>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</si>
  <si>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</si>
  <si>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</si>
  <si>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</si>
  <si>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</si>
  <si>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</si>
  <si>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</si>
  <si>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</si>
  <si>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</si>
  <si>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</si>
  <si>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</si>
  <si>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</si>
  <si>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</si>
  <si>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</si>
  <si>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</si>
  <si>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</si>
  <si>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</si>
  <si>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</si>
  <si>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</si>
  <si>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</si>
  <si>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</si>
  <si>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</si>
  <si>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</si>
  <si>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</si>
  <si>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</si>
  <si>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</si>
  <si>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</si>
  <si>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</si>
  <si>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</si>
  <si>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</si>
  <si>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</si>
  <si>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</si>
  <si>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</si>
  <si>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</si>
  <si>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</si>
  <si>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</si>
  <si>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</si>
  <si>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</si>
  <si>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</si>
  <si>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</si>
  <si>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</si>
  <si>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</si>
  <si>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</si>
  <si>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</si>
  <si>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</si>
  <si>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</si>
  <si>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</si>
  <si>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</si>
  <si>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</si>
  <si>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</si>
  <si>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</si>
  <si>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</si>
  <si>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</si>
  <si>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</si>
  <si>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</si>
  <si>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</si>
  <si>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</si>
  <si>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</si>
  <si>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</si>
  <si>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</si>
  <si>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</si>
  <si>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</si>
  <si>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</si>
  <si>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</si>
  <si>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</si>
  <si>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</si>
  <si>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</si>
  <si>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 xml:space="preserve">PARTLY CLOUDY. HIGHS IN THE 80S NEAR THE LAKE TO 90S INLAND WITH LIGHT </t>
  </si>
  <si>
    <t>WINDS. A LITTLE COOLER AT NIGHT WITH LOWS IN THE MIDDLE 60S. LIGHT WINDS.</t>
  </si>
  <si>
    <t>MOSTLY SUNNY. HIGH 85 TO 90….BUT ONLY IN THE LOWER 80S NEAR THE LAKE.</t>
  </si>
  <si>
    <t>TONIGHT MOSTLY CLEAR. LOW IN THE LOWER 60S.</t>
  </si>
  <si>
    <t xml:space="preserve">SUNNY,,,,COOLER AND LESS HUMID, WITH A HIGH AROUND LOWER 80S. MOSTLY </t>
  </si>
  <si>
    <t>CLEAR  AND LOW IN THE LOWER 60S .</t>
  </si>
  <si>
    <t>SUNNY,,,,  HIGH AROUND 80.</t>
  </si>
  <si>
    <t>SUNNY,,, LOW IN THE MIDDLE 50S . HIGH AROUND 80.</t>
  </si>
  <si>
    <t>PARTLY CLOUDY, LOW NEAR 60. HIGH 80 TO 85.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</si>
</sst>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67" xfId="0" applyNumberFormat="1" applyFont="1" applyBorder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3" xfId="0" applyFont="1" applyFill="1" applyBorder="1" applyAlignment="1">
      <alignment horizontal="left"/>
    </xf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607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608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609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610" name="Day_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611" name="Day_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612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40" t="s">
        <v>9</v>
      </c>
      <c r="B1" s="798"/>
    </row>
    <row r="2" spans="1:88">
      <c r="A2" s="1040" t="s">
        <v>9</v>
      </c>
      <c r="B2" t="s">
        <v>9</v>
      </c>
    </row>
    <row r="3" spans="1:88" ht="15.6" thickBot="1">
      <c r="A3" s="111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/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MON</v>
      </c>
      <c r="I1" s="865">
        <f>D4</f>
        <v>37081</v>
      </c>
      <c r="J1" s="110"/>
    </row>
    <row r="2" spans="1:10" ht="24.9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" customHeight="1" thickBot="1">
      <c r="A3" s="828"/>
      <c r="B3" s="826"/>
      <c r="C3" s="826"/>
      <c r="D3" s="829" t="str">
        <f t="shared" ref="D3:I3" si="0">CHOOSE(WEEKDAY(D4),"SUN","MON","TUE","WED","THU","FRI","SAT")</f>
        <v>MON</v>
      </c>
      <c r="E3" s="829" t="str">
        <f t="shared" si="0"/>
        <v>TUE</v>
      </c>
      <c r="F3" s="829" t="str">
        <f t="shared" si="0"/>
        <v>WED</v>
      </c>
      <c r="G3" s="829" t="str">
        <f t="shared" si="0"/>
        <v>THU</v>
      </c>
      <c r="H3" s="829" t="str">
        <f t="shared" si="0"/>
        <v>FRI</v>
      </c>
      <c r="I3" s="830" t="str">
        <f t="shared" si="0"/>
        <v>SAT</v>
      </c>
      <c r="J3" s="110"/>
    </row>
    <row r="4" spans="1:10" ht="24.9" customHeight="1" thickBot="1">
      <c r="A4" s="831" t="s">
        <v>153</v>
      </c>
      <c r="B4" s="832"/>
      <c r="C4" s="832"/>
      <c r="D4" s="833">
        <f>Weather_Input!A5</f>
        <v>37081</v>
      </c>
      <c r="E4" s="833">
        <f>Weather_Input!A6</f>
        <v>37082</v>
      </c>
      <c r="F4" s="833">
        <f>Weather_Input!A7</f>
        <v>37083</v>
      </c>
      <c r="G4" s="833">
        <f>Weather_Input!A8</f>
        <v>37084</v>
      </c>
      <c r="H4" s="833">
        <f>Weather_Input!A9</f>
        <v>37085</v>
      </c>
      <c r="I4" s="834">
        <f>Weather_Input!A10</f>
        <v>37086</v>
      </c>
      <c r="J4" s="110"/>
    </row>
    <row r="5" spans="1:10" s="111" customFormat="1" ht="24.9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89/70/80</v>
      </c>
      <c r="E5" s="866" t="str">
        <f>TEXT(Weather_Input!B6,"0")&amp;"/"&amp;TEXT(Weather_Input!C6,"0") &amp; "/" &amp; TEXT((Weather_Input!B6+Weather_Input!C6)/2,"0")</f>
        <v>89/60/75</v>
      </c>
      <c r="F5" s="866" t="str">
        <f>TEXT(Weather_Input!B7,"0")&amp;"/"&amp;TEXT(Weather_Input!C7,"0") &amp; "/" &amp; TEXT((Weather_Input!B7+Weather_Input!C7)/2,"0")</f>
        <v>78/58/68</v>
      </c>
      <c r="G5" s="866" t="str">
        <f>TEXT(Weather_Input!B8,"0")&amp;"/"&amp;TEXT(Weather_Input!C8,"0") &amp; "/" &amp; TEXT((Weather_Input!B8+Weather_Input!C8)/2,"0")</f>
        <v>72/55/64</v>
      </c>
      <c r="H5" s="866" t="str">
        <f>TEXT(Weather_Input!B9,"0")&amp;"/"&amp;TEXT(Weather_Input!C9,"0") &amp; "/" &amp; TEXT((Weather_Input!B9+Weather_Input!C9)/2,"0")</f>
        <v>75/57/66</v>
      </c>
      <c r="I5" s="867" t="str">
        <f>TEXT(Weather_Input!B10,"0")&amp;"/"&amp;TEXT(Weather_Input!C10,"0") &amp; "/" &amp; TEXT((Weather_Input!B10+Weather_Input!C10)/2,"0")</f>
        <v>84/64/74</v>
      </c>
      <c r="J5" s="110"/>
    </row>
    <row r="6" spans="1:10" ht="24.9" customHeight="1">
      <c r="A6" s="838" t="s">
        <v>134</v>
      </c>
      <c r="B6" s="826"/>
      <c r="C6" s="826"/>
      <c r="D6" s="836">
        <f ca="1">VLOOKUP(D4,NSG_Sendouts,CELL("Col",NSG_Deliveries!C5),FALSE)/1000</f>
        <v>34.5</v>
      </c>
      <c r="E6" s="836">
        <f ca="1">VLOOKUP(E4,NSG_Sendouts,CELL("Col",NSG_Deliveries!C6),FALSE)/1000</f>
        <v>35</v>
      </c>
      <c r="F6" s="836">
        <f ca="1">VLOOKUP(F4,NSG_Sendouts,CELL("Col",NSG_Deliveries!C7),FALSE)/1000</f>
        <v>35</v>
      </c>
      <c r="G6" s="836">
        <f ca="1">VLOOKUP(G4,NSG_Sendouts,CELL("Col",NSG_Deliveries!C8),FALSE)/1000</f>
        <v>35</v>
      </c>
      <c r="H6" s="836">
        <f ca="1">VLOOKUP(H4,NSG_Sendouts,CELL("Col",NSG_Deliveries!C9),FALSE)/1000</f>
        <v>33</v>
      </c>
      <c r="I6" s="841">
        <f ca="1">VLOOKUP(I4,NSG_Sendouts,CELL("Col",NSG_Deliveries!C10),FALSE)/1000</f>
        <v>31</v>
      </c>
      <c r="J6" s="111"/>
    </row>
    <row r="7" spans="1:10" ht="24.9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" customHeight="1">
      <c r="A8" s="835"/>
      <c r="B8" s="826" t="s">
        <v>137</v>
      </c>
      <c r="C8" s="840" t="s">
        <v>87</v>
      </c>
      <c r="D8" s="836">
        <f>NSG_Requirements!J7/1000</f>
        <v>6.1130000000000004</v>
      </c>
      <c r="E8" s="836">
        <f>NSG_Requirements!J8/1000</f>
        <v>4.18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" customHeight="1">
      <c r="A9" s="835"/>
      <c r="B9" s="826" t="s">
        <v>135</v>
      </c>
      <c r="C9" s="840" t="s">
        <v>87</v>
      </c>
      <c r="D9" s="836">
        <f>NSG_Requirements!H7/1000</f>
        <v>0.97399999999999998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" customHeight="1" thickBot="1">
      <c r="A11" s="870" t="s">
        <v>143</v>
      </c>
      <c r="B11" s="860"/>
      <c r="C11" s="860"/>
      <c r="D11" s="845">
        <f t="shared" ref="D11:I11" ca="1" si="1">SUM(D6:D10)</f>
        <v>41.586999999999996</v>
      </c>
      <c r="E11" s="845">
        <f t="shared" ca="1" si="1"/>
        <v>39.18</v>
      </c>
      <c r="F11" s="845">
        <f t="shared" ca="1" si="1"/>
        <v>35</v>
      </c>
      <c r="G11" s="845">
        <f t="shared" ca="1" si="1"/>
        <v>35</v>
      </c>
      <c r="H11" s="845">
        <f t="shared" ca="1" si="1"/>
        <v>33</v>
      </c>
      <c r="I11" s="846">
        <f t="shared" ca="1" si="1"/>
        <v>31</v>
      </c>
      <c r="J11" s="110"/>
    </row>
    <row r="12" spans="1:10" ht="24.9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" customHeight="1">
      <c r="A16" s="835"/>
      <c r="B16" s="826"/>
      <c r="C16" s="840" t="s">
        <v>788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" customHeight="1">
      <c r="A17" s="835"/>
      <c r="B17" s="826" t="s">
        <v>135</v>
      </c>
      <c r="C17" s="840" t="s">
        <v>789</v>
      </c>
      <c r="D17" s="836">
        <f>NSG_Supplies!F7/1000</f>
        <v>0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28.4</v>
      </c>
      <c r="E19" s="836">
        <f>NSG_Supplies!Q8/1000</f>
        <v>27.183</v>
      </c>
      <c r="F19" s="836">
        <f>NSG_Supplies!Q9/1000</f>
        <v>27.183</v>
      </c>
      <c r="G19" s="836">
        <f>NSG_Supplies!Q10/1000</f>
        <v>27.183</v>
      </c>
      <c r="H19" s="836">
        <f>NSG_Supplies!Q11/1000</f>
        <v>27.183</v>
      </c>
      <c r="I19" s="837">
        <f>NSG_Supplies!Q12/1000</f>
        <v>27.183</v>
      </c>
      <c r="J19" s="110"/>
    </row>
    <row r="20" spans="1:13" ht="24.9" customHeight="1">
      <c r="A20" s="835"/>
      <c r="B20" s="826" t="s">
        <v>137</v>
      </c>
      <c r="C20" s="826" t="s">
        <v>600</v>
      </c>
      <c r="D20" s="836">
        <f>NSG_Supplies!P7/1000</f>
        <v>12</v>
      </c>
      <c r="E20" s="836">
        <f>NSG_Supplies!P8/1000</f>
        <v>12</v>
      </c>
      <c r="F20" s="836">
        <f>NSG_Supplies!P9/1000</f>
        <v>12</v>
      </c>
      <c r="G20" s="836">
        <f>NSG_Supplies!P10/1000</f>
        <v>12</v>
      </c>
      <c r="H20" s="836">
        <f>NSG_Supplies!P11/1000</f>
        <v>12</v>
      </c>
      <c r="I20" s="837">
        <f>NSG_Supplies!P12/1000</f>
        <v>12</v>
      </c>
      <c r="J20" s="110"/>
    </row>
    <row r="21" spans="1:13" ht="24.9" customHeight="1" thickBot="1">
      <c r="A21" s="1242" t="s">
        <v>149</v>
      </c>
      <c r="B21" s="1243"/>
      <c r="C21" s="1243"/>
      <c r="D21" s="1244">
        <f t="shared" ref="D21:I21" si="2">SUM(D14:D20)</f>
        <v>40.4</v>
      </c>
      <c r="E21" s="1244">
        <f t="shared" si="2"/>
        <v>39.183</v>
      </c>
      <c r="F21" s="1244">
        <f t="shared" si="2"/>
        <v>39.183</v>
      </c>
      <c r="G21" s="1244">
        <f t="shared" si="2"/>
        <v>39.183</v>
      </c>
      <c r="H21" s="1244">
        <f t="shared" si="2"/>
        <v>39.183</v>
      </c>
      <c r="I21" s="1245">
        <f t="shared" si="2"/>
        <v>39.183</v>
      </c>
      <c r="J21" s="110"/>
      <c r="K21" s="111"/>
      <c r="L21" s="93"/>
      <c r="M21" s="111"/>
    </row>
    <row r="22" spans="1:13" ht="24.9" customHeight="1">
      <c r="A22" s="875" t="s">
        <v>150</v>
      </c>
      <c r="B22" s="876"/>
      <c r="C22" s="876"/>
      <c r="D22" s="877">
        <f t="shared" ref="D22:I22" ca="1" si="3">IF(D21-D11&lt;0,0,D21-D11)</f>
        <v>0</v>
      </c>
      <c r="E22" s="877">
        <f t="shared" ca="1" si="3"/>
        <v>3.0000000000001137E-3</v>
      </c>
      <c r="F22" s="877">
        <f t="shared" ca="1" si="3"/>
        <v>4.1829999999999998</v>
      </c>
      <c r="G22" s="877">
        <f t="shared" ca="1" si="3"/>
        <v>4.1829999999999998</v>
      </c>
      <c r="H22" s="877">
        <f t="shared" ca="1" si="3"/>
        <v>6.1829999999999998</v>
      </c>
      <c r="I22" s="878">
        <f t="shared" ca="1" si="3"/>
        <v>8.1829999999999998</v>
      </c>
      <c r="J22" s="110"/>
      <c r="K22" s="111"/>
      <c r="L22" s="93"/>
      <c r="M22" s="111"/>
    </row>
    <row r="23" spans="1:13" ht="24.9" customHeight="1" thickBot="1">
      <c r="A23" s="879" t="s">
        <v>151</v>
      </c>
      <c r="B23" s="860"/>
      <c r="C23" s="860"/>
      <c r="D23" s="861">
        <f t="shared" ref="D23:I23" ca="1" si="4">IF(D11-D21&lt;0,0,D11-D21)</f>
        <v>1.1869999999999976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95" t="s">
        <v>723</v>
      </c>
      <c r="B24" s="1096"/>
      <c r="C24" s="1096"/>
      <c r="D24" s="1097">
        <f>NSG_Supplies!R7/1000</f>
        <v>17.067</v>
      </c>
      <c r="E24" s="1097">
        <f>NSG_Supplies!R8/1000</f>
        <v>15.85</v>
      </c>
      <c r="F24" s="1097">
        <f>NSG_Supplies!R9/1000</f>
        <v>15.85</v>
      </c>
      <c r="G24" s="1097">
        <f>NSG_Supplies!R10/1000</f>
        <v>15.85</v>
      </c>
      <c r="H24" s="1097">
        <f>NSG_Supplies!R11/1000</f>
        <v>15.85</v>
      </c>
      <c r="I24" s="1098">
        <f>NSG_Supplies!R12/1000</f>
        <v>15.85</v>
      </c>
    </row>
    <row r="25" spans="1:13" ht="24.9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" customHeight="1" thickTop="1" thickBot="1">
      <c r="A26" s="882" t="s">
        <v>157</v>
      </c>
      <c r="B26" s="883"/>
      <c r="C26" s="883"/>
      <c r="D26" s="884">
        <f>Weather_Input!D5</f>
        <v>6.4</v>
      </c>
      <c r="E26" s="884">
        <f>Weather_Input!D6</f>
        <v>7.5</v>
      </c>
      <c r="F26" s="884">
        <f>Weather_Input!D7</f>
        <v>10</v>
      </c>
      <c r="G26" s="885"/>
      <c r="H26" s="880"/>
      <c r="I26" s="880"/>
    </row>
    <row r="27" spans="1:13" ht="15.6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41" t="s">
        <v>9</v>
      </c>
      <c r="B1" s="1138" t="s">
        <v>9</v>
      </c>
      <c r="C1" s="1139" t="s">
        <v>695</v>
      </c>
      <c r="D1" s="1140"/>
      <c r="E1" s="1141" t="s">
        <v>9</v>
      </c>
      <c r="F1" s="1142" t="s">
        <v>741</v>
      </c>
      <c r="G1" s="1143" t="s">
        <v>9</v>
      </c>
      <c r="H1" s="1144"/>
      <c r="I1" s="1186" t="s">
        <v>9</v>
      </c>
      <c r="J1" s="583"/>
      <c r="K1" s="583"/>
      <c r="L1" s="584" t="s">
        <v>159</v>
      </c>
      <c r="M1" s="1217">
        <f>Weather_Input!A5</f>
        <v>37081</v>
      </c>
      <c r="N1" s="1218" t="str">
        <f>CHOOSE(WEEKDAY(M1),"SUN","MON","TUE","WED","THU","FRI","SAT")</f>
        <v>MON</v>
      </c>
      <c r="O1" s="588"/>
    </row>
    <row r="2" spans="1:17" ht="16.2" thickTop="1" thickBot="1">
      <c r="A2" s="420" t="s">
        <v>698</v>
      </c>
      <c r="B2" s="319">
        <f>PGL_Supplies!W7/1000</f>
        <v>0</v>
      </c>
      <c r="C2" s="8"/>
      <c r="D2" s="608"/>
      <c r="E2" s="563" t="s">
        <v>404</v>
      </c>
      <c r="F2" s="1118"/>
      <c r="G2" s="558" t="s">
        <v>9</v>
      </c>
      <c r="H2" s="1132" t="s">
        <v>9</v>
      </c>
      <c r="I2" s="254" t="s">
        <v>509</v>
      </c>
      <c r="J2" s="1159" t="s">
        <v>387</v>
      </c>
      <c r="K2" s="1163" t="s">
        <v>162</v>
      </c>
      <c r="L2" s="1164" t="s">
        <v>21</v>
      </c>
      <c r="M2" s="1163" t="s">
        <v>162</v>
      </c>
      <c r="N2" s="1159" t="s">
        <v>21</v>
      </c>
      <c r="O2" s="1165" t="s">
        <v>162</v>
      </c>
      <c r="Q2" s="1137" t="s">
        <v>9</v>
      </c>
    </row>
    <row r="3" spans="1:17" ht="15.6">
      <c r="A3" s="420" t="s">
        <v>736</v>
      </c>
      <c r="B3" s="1178">
        <f>PGL_Requirements!I7/1000</f>
        <v>0</v>
      </c>
      <c r="C3" s="958" t="s">
        <v>9</v>
      </c>
      <c r="D3" s="308"/>
      <c r="E3" s="563" t="s">
        <v>453</v>
      </c>
      <c r="F3" s="319">
        <f>PGL_Supplies!H7/1000</f>
        <v>15</v>
      </c>
      <c r="G3" s="383" t="s">
        <v>9</v>
      </c>
      <c r="H3" s="1132" t="s">
        <v>9</v>
      </c>
      <c r="I3" s="1187" t="s">
        <v>9</v>
      </c>
      <c r="J3" s="944">
        <f>Weather_Input!B5</f>
        <v>89</v>
      </c>
      <c r="K3" s="945">
        <f>Weather_Input!C5</f>
        <v>70</v>
      </c>
      <c r="L3" s="599" t="s">
        <v>9</v>
      </c>
      <c r="M3" s="264" t="s">
        <v>9</v>
      </c>
      <c r="N3" s="264"/>
      <c r="O3" s="262"/>
    </row>
    <row r="4" spans="1:17" ht="15.6" thickBot="1">
      <c r="A4" s="244" t="s">
        <v>738</v>
      </c>
      <c r="B4" s="1179">
        <v>0</v>
      </c>
      <c r="C4" s="119"/>
      <c r="D4" s="970"/>
      <c r="E4" s="532" t="s">
        <v>454</v>
      </c>
      <c r="F4" s="1212">
        <v>0</v>
      </c>
      <c r="G4" s="521" t="s">
        <v>9</v>
      </c>
      <c r="H4" s="1237"/>
      <c r="I4" t="s">
        <v>772</v>
      </c>
      <c r="J4" s="1044"/>
      <c r="K4" s="1260"/>
      <c r="L4" s="429"/>
      <c r="M4" s="1046"/>
      <c r="N4" s="429"/>
      <c r="O4" s="799"/>
    </row>
    <row r="5" spans="1:17" ht="16.2" thickBot="1">
      <c r="A5" s="1058" t="s">
        <v>3</v>
      </c>
      <c r="B5" s="319">
        <f>PGL_Supplies!X7/1000</f>
        <v>100.583</v>
      </c>
      <c r="C5" s="1047" t="s">
        <v>9</v>
      </c>
      <c r="D5" s="344"/>
      <c r="E5" s="1197" t="s">
        <v>430</v>
      </c>
      <c r="F5" s="964">
        <f>F3+F4</f>
        <v>15</v>
      </c>
      <c r="G5" s="561" t="s">
        <v>9</v>
      </c>
      <c r="H5" s="1226" t="s">
        <v>9</v>
      </c>
      <c r="I5" s="1188" t="s">
        <v>397</v>
      </c>
      <c r="J5" s="1087" t="s">
        <v>9</v>
      </c>
      <c r="K5" s="1261">
        <f>PGL_Deliveries!C5/1000</f>
        <v>206</v>
      </c>
      <c r="L5" s="597"/>
      <c r="M5" s="264"/>
      <c r="N5" s="597"/>
      <c r="O5" s="262"/>
    </row>
    <row r="6" spans="1:17" ht="16.2" thickBot="1">
      <c r="A6" s="554" t="s">
        <v>421</v>
      </c>
      <c r="B6" s="1050">
        <f>+B5-B3+B2-B4</f>
        <v>100.583</v>
      </c>
      <c r="C6" s="1051" t="s">
        <v>9</v>
      </c>
      <c r="D6" s="526"/>
      <c r="E6" s="631" t="s">
        <v>9</v>
      </c>
      <c r="F6" s="968" t="s">
        <v>35</v>
      </c>
      <c r="G6" s="969"/>
      <c r="H6" s="1133"/>
      <c r="I6" s="119" t="s">
        <v>717</v>
      </c>
      <c r="J6" s="1088"/>
      <c r="K6" s="1262">
        <f>PGL_Requirements!X7/1000</f>
        <v>0</v>
      </c>
      <c r="L6" s="1088"/>
      <c r="M6" s="1089"/>
      <c r="N6" s="119"/>
      <c r="O6" s="116"/>
    </row>
    <row r="7" spans="1:17" ht="16.2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6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0</v>
      </c>
      <c r="G8" s="376" t="s">
        <v>9</v>
      </c>
      <c r="H8" s="1126"/>
      <c r="I8" s="1035" t="s">
        <v>734</v>
      </c>
      <c r="J8" s="288" t="s">
        <v>9</v>
      </c>
      <c r="K8" s="1263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5</v>
      </c>
      <c r="G9" s="319"/>
      <c r="H9" s="1126"/>
      <c r="I9" s="119" t="s">
        <v>695</v>
      </c>
      <c r="J9" s="1044"/>
      <c r="K9" s="1264">
        <f>+B6</f>
        <v>100.583</v>
      </c>
      <c r="L9" s="1044"/>
      <c r="M9" s="1046"/>
      <c r="N9" s="429"/>
      <c r="O9" s="280" t="s">
        <v>9</v>
      </c>
    </row>
    <row r="10" spans="1:17" ht="15.6" thickBot="1">
      <c r="A10" s="630" t="s">
        <v>653</v>
      </c>
      <c r="B10" s="319">
        <f>PGL_Supplies!Y7/1000</f>
        <v>0.2</v>
      </c>
      <c r="C10" s="119"/>
      <c r="D10" s="1043"/>
      <c r="E10" s="420" t="s">
        <v>761</v>
      </c>
      <c r="F10" s="972">
        <f>PGL_Supplies!AC7/1000</f>
        <v>3</v>
      </c>
      <c r="G10" s="522"/>
      <c r="H10" s="1127"/>
      <c r="I10" s="1189" t="s">
        <v>754</v>
      </c>
      <c r="J10" s="277" t="s">
        <v>9</v>
      </c>
      <c r="K10" s="1263">
        <f>B11</f>
        <v>0</v>
      </c>
      <c r="L10" s="597"/>
      <c r="M10" s="609" t="s">
        <v>9</v>
      </c>
      <c r="N10" s="597"/>
      <c r="O10" s="280" t="s">
        <v>9</v>
      </c>
    </row>
    <row r="11" spans="1:17" ht="16.2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8</v>
      </c>
      <c r="G11" s="964" t="s">
        <v>9</v>
      </c>
      <c r="H11" s="527"/>
      <c r="I11" s="1189" t="s">
        <v>58</v>
      </c>
      <c r="J11" s="277" t="s">
        <v>9</v>
      </c>
      <c r="K11" s="1263">
        <f>B19</f>
        <v>-67.510000000000005</v>
      </c>
      <c r="L11" s="597"/>
      <c r="M11" s="264" t="s">
        <v>9</v>
      </c>
      <c r="N11" s="597"/>
      <c r="O11" s="262"/>
    </row>
    <row r="12" spans="1:17" ht="16.2" thickBot="1">
      <c r="A12" s="550" t="s">
        <v>9</v>
      </c>
      <c r="B12" s="555" t="s">
        <v>9</v>
      </c>
      <c r="C12" s="963" t="s">
        <v>58</v>
      </c>
      <c r="D12" s="553"/>
      <c r="E12" s="1181" t="s">
        <v>9</v>
      </c>
      <c r="F12" s="1180" t="s">
        <v>773</v>
      </c>
      <c r="G12" s="354"/>
      <c r="H12" s="1131"/>
      <c r="I12" s="1189" t="s">
        <v>755</v>
      </c>
      <c r="J12" s="277" t="s">
        <v>9</v>
      </c>
      <c r="K12" s="1263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67.98</v>
      </c>
      <c r="C13" s="308"/>
      <c r="D13" s="544"/>
      <c r="E13" s="576" t="s">
        <v>462</v>
      </c>
      <c r="F13" s="1118" t="s">
        <v>9</v>
      </c>
      <c r="G13" s="569" t="s">
        <v>9</v>
      </c>
      <c r="H13" s="1134" t="s">
        <v>9</v>
      </c>
      <c r="I13" s="1189" t="s">
        <v>756</v>
      </c>
      <c r="J13" s="281" t="s">
        <v>9</v>
      </c>
      <c r="K13" s="1263">
        <f>B34</f>
        <v>179.012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5"/>
      <c r="I14" s="1189" t="s">
        <v>400</v>
      </c>
      <c r="J14" s="277" t="s">
        <v>9</v>
      </c>
      <c r="K14" s="1265">
        <f>F5</f>
        <v>15</v>
      </c>
      <c r="L14" s="597"/>
      <c r="M14" s="264" t="s">
        <v>9</v>
      </c>
      <c r="N14" s="597"/>
      <c r="O14" s="262"/>
    </row>
    <row r="15" spans="1:17" ht="16.2" thickBot="1">
      <c r="A15" s="420" t="s">
        <v>427</v>
      </c>
      <c r="B15" s="319">
        <f>SUM(PGL_Requirements!B7/1000)</f>
        <v>0</v>
      </c>
      <c r="C15" s="308"/>
      <c r="D15" s="1126"/>
      <c r="E15" s="1183" t="s">
        <v>654</v>
      </c>
      <c r="F15" s="971"/>
      <c r="G15" s="1088"/>
      <c r="H15" s="1150"/>
      <c r="I15" s="1189" t="s">
        <v>757</v>
      </c>
      <c r="J15" s="277" t="s">
        <v>158</v>
      </c>
      <c r="K15" s="1263">
        <f>F11</f>
        <v>8</v>
      </c>
      <c r="L15" s="597"/>
      <c r="M15" s="264" t="s">
        <v>9</v>
      </c>
      <c r="N15" s="597"/>
      <c r="O15" s="262"/>
    </row>
    <row r="16" spans="1:17" ht="16.2" thickBot="1">
      <c r="A16" s="420" t="s">
        <v>428</v>
      </c>
      <c r="B16" s="319">
        <f>PGL_Supplies!G7/1000</f>
        <v>1</v>
      </c>
      <c r="C16" s="308"/>
      <c r="D16" s="1126"/>
      <c r="E16" s="1184" t="s">
        <v>9</v>
      </c>
      <c r="F16" s="1145" t="s">
        <v>455</v>
      </c>
      <c r="G16" s="1227"/>
      <c r="H16" s="1185"/>
      <c r="I16" s="1189" t="s">
        <v>534</v>
      </c>
      <c r="J16" s="277" t="s">
        <v>158</v>
      </c>
      <c r="K16" s="1265">
        <f>PGL_Supplies!B7/1000</f>
        <v>0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0.53</v>
      </c>
      <c r="C17" s="308"/>
      <c r="D17" s="1126"/>
      <c r="E17" s="537" t="s">
        <v>456</v>
      </c>
      <c r="F17" s="557">
        <f>+PGL_Supplies!J7/1000</f>
        <v>0</v>
      </c>
      <c r="G17" s="1210" t="s">
        <v>9</v>
      </c>
      <c r="H17" s="1136" t="s">
        <v>9</v>
      </c>
      <c r="I17" s="1182" t="s">
        <v>535</v>
      </c>
      <c r="J17" s="302" t="s">
        <v>9</v>
      </c>
      <c r="K17" s="1266">
        <f>-PGL_Requirements!F7/1000</f>
        <v>-15.42</v>
      </c>
      <c r="L17" s="597"/>
      <c r="M17" s="264"/>
      <c r="N17" s="597"/>
      <c r="O17" s="262"/>
    </row>
    <row r="18" spans="1:15" ht="16.2" thickBot="1">
      <c r="A18" s="420" t="s">
        <v>692</v>
      </c>
      <c r="B18" s="319">
        <f>PGL_Requirements!P7/1000</f>
        <v>1.0196999999999998</v>
      </c>
      <c r="C18" s="344"/>
      <c r="D18" s="1127"/>
      <c r="E18" s="631" t="s">
        <v>9</v>
      </c>
      <c r="F18" s="1145" t="s">
        <v>742</v>
      </c>
      <c r="G18" s="969"/>
      <c r="H18" s="1133"/>
      <c r="I18" t="s">
        <v>771</v>
      </c>
      <c r="J18" s="1044"/>
      <c r="K18" s="1267">
        <f>-F19</f>
        <v>-48.49</v>
      </c>
      <c r="L18" s="1044"/>
      <c r="M18" s="221"/>
      <c r="N18" s="1044"/>
      <c r="O18" s="799"/>
    </row>
    <row r="19" spans="1:15" ht="16.2" thickBot="1">
      <c r="A19" s="513" t="s">
        <v>430</v>
      </c>
      <c r="B19" s="1208">
        <f>-B13+B14+B16-B17-B15+B20+B21</f>
        <v>-67.510000000000005</v>
      </c>
      <c r="C19" s="515"/>
      <c r="D19" s="527"/>
      <c r="E19" s="1146" t="s">
        <v>743</v>
      </c>
      <c r="F19" s="1211">
        <f>PGL_Requirements!J7/1000</f>
        <v>48.49</v>
      </c>
      <c r="G19" s="1033" t="s">
        <v>9</v>
      </c>
      <c r="H19" s="1147" t="s">
        <v>9</v>
      </c>
      <c r="I19" t="s">
        <v>536</v>
      </c>
      <c r="J19" s="1214"/>
      <c r="K19" s="1268">
        <f>-F24</f>
        <v>-41.933500000000002</v>
      </c>
      <c r="L19" s="1214"/>
      <c r="M19" s="157"/>
      <c r="N19" s="1214"/>
      <c r="O19" s="1213"/>
    </row>
    <row r="20" spans="1:15" ht="16.2" thickBot="1">
      <c r="A20" s="327" t="s">
        <v>204</v>
      </c>
      <c r="B20" s="319">
        <v>0</v>
      </c>
      <c r="C20" s="518"/>
      <c r="D20" s="1128"/>
      <c r="E20" s="119"/>
      <c r="F20" s="119"/>
      <c r="G20" s="119"/>
      <c r="H20" s="1158"/>
      <c r="I20" s="1190" t="s">
        <v>654</v>
      </c>
      <c r="J20" s="612" t="s">
        <v>9</v>
      </c>
      <c r="K20" s="1269">
        <f>SUM(K8:K19)</f>
        <v>129.24149999999997</v>
      </c>
      <c r="L20" s="616" t="s">
        <v>9</v>
      </c>
      <c r="M20" s="506" t="s">
        <v>9</v>
      </c>
      <c r="N20" s="616" t="s">
        <v>9</v>
      </c>
      <c r="O20" s="617"/>
    </row>
    <row r="21" spans="1:15" ht="16.2" thickBot="1">
      <c r="A21" s="420" t="s">
        <v>202</v>
      </c>
      <c r="B21" s="1122">
        <v>0</v>
      </c>
      <c r="C21" s="545"/>
      <c r="D21" s="1129"/>
      <c r="E21" s="1148" t="s">
        <v>744</v>
      </c>
      <c r="F21" s="1179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6" thickBot="1">
      <c r="A22" s="1123" t="s">
        <v>735</v>
      </c>
      <c r="B22" s="1110">
        <f>SUM(B4)</f>
        <v>0</v>
      </c>
      <c r="C22" s="1124"/>
      <c r="D22" s="1125"/>
      <c r="E22" s="1148" t="s">
        <v>745</v>
      </c>
      <c r="F22" s="1179">
        <v>0</v>
      </c>
      <c r="G22" s="1045"/>
      <c r="H22" s="431"/>
      <c r="I22" s="1189" t="s">
        <v>592</v>
      </c>
      <c r="J22" s="277" t="s">
        <v>9</v>
      </c>
      <c r="K22" s="1270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8" t="s">
        <v>67</v>
      </c>
      <c r="D23" s="1133"/>
      <c r="E23" s="1149" t="s">
        <v>746</v>
      </c>
      <c r="F23" s="1199">
        <v>0</v>
      </c>
      <c r="G23" s="971"/>
      <c r="H23" s="1150"/>
      <c r="I23" s="1189" t="s">
        <v>403</v>
      </c>
      <c r="J23" s="277" t="s">
        <v>9</v>
      </c>
      <c r="K23" s="1263">
        <f>K5+K6-K20</f>
        <v>76.758500000000026</v>
      </c>
      <c r="L23" s="261"/>
      <c r="M23" s="609" t="s">
        <v>9</v>
      </c>
      <c r="N23" s="261"/>
      <c r="O23" s="291"/>
    </row>
    <row r="24" spans="1:15" ht="16.2" thickBot="1">
      <c r="A24" s="420" t="s">
        <v>424</v>
      </c>
      <c r="B24" s="319">
        <f>PGL_Supplies!C7/1000</f>
        <v>0</v>
      </c>
      <c r="C24" s="347"/>
      <c r="D24" s="1126"/>
      <c r="E24" s="546" t="s">
        <v>747</v>
      </c>
      <c r="F24" s="1211">
        <f>PGL_Requirements!G7/1000*0.5</f>
        <v>41.933500000000002</v>
      </c>
      <c r="G24" s="1033"/>
      <c r="H24" s="1016"/>
      <c r="I24" s="1191" t="s">
        <v>404</v>
      </c>
      <c r="J24" s="277" t="s">
        <v>9</v>
      </c>
      <c r="K24" s="1263"/>
      <c r="L24" s="292" t="s">
        <v>9</v>
      </c>
      <c r="M24" s="949"/>
      <c r="N24" s="292" t="s">
        <v>9</v>
      </c>
      <c r="O24" s="291"/>
    </row>
    <row r="25" spans="1:15" ht="16.2" thickBot="1">
      <c r="A25" s="420" t="s">
        <v>739</v>
      </c>
      <c r="B25" s="966">
        <f>PGL_Supplies!C7/1000</f>
        <v>0</v>
      </c>
      <c r="C25" s="1207"/>
      <c r="D25" s="1126"/>
      <c r="E25" s="1151" t="s">
        <v>748</v>
      </c>
      <c r="F25" s="1200"/>
      <c r="G25" s="1152"/>
      <c r="H25" s="1153"/>
      <c r="I25" s="1189" t="s">
        <v>405</v>
      </c>
      <c r="J25" s="950" t="s">
        <v>9</v>
      </c>
      <c r="K25" s="1271">
        <f>SUM(B18+B20+B21)</f>
        <v>1.0196999999999998</v>
      </c>
      <c r="L25" s="951"/>
      <c r="M25" s="1225"/>
      <c r="N25" s="952" t="s">
        <v>9</v>
      </c>
      <c r="O25" s="255"/>
    </row>
    <row r="26" spans="1:15" ht="16.8" thickTop="1" thickBot="1">
      <c r="A26" s="420" t="s">
        <v>104</v>
      </c>
      <c r="B26" s="966">
        <f>PGL_Supplies!Z7/1000</f>
        <v>0</v>
      </c>
      <c r="C26" s="308"/>
      <c r="D26" s="1126"/>
      <c r="E26" s="119"/>
      <c r="F26" s="1062"/>
      <c r="G26" s="119"/>
      <c r="H26" s="158"/>
      <c r="I26" s="1192" t="s">
        <v>406</v>
      </c>
      <c r="J26" s="953" t="s">
        <v>9</v>
      </c>
      <c r="K26" s="1272">
        <f>SUM(K23:K25)</f>
        <v>77.778200000000027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6"/>
      <c r="E27" s="1146" t="s">
        <v>749</v>
      </c>
      <c r="F27" s="1198"/>
      <c r="G27" s="1033"/>
      <c r="H27" s="1147"/>
      <c r="I27" s="1193" t="s">
        <v>686</v>
      </c>
      <c r="J27" s="956"/>
      <c r="K27" s="1270">
        <f>SUM(-PGL_Supplies!L7/1000)</f>
        <v>0</v>
      </c>
      <c r="L27" s="1036"/>
      <c r="M27" s="1037"/>
      <c r="N27" s="509"/>
      <c r="O27" s="959"/>
    </row>
    <row r="28" spans="1:15" ht="16.2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9" t="s">
        <v>414</v>
      </c>
      <c r="J28" s="960"/>
      <c r="K28" s="1266">
        <f>PGL_Requirements!N7/1000</f>
        <v>0</v>
      </c>
      <c r="L28" s="302"/>
      <c r="M28" s="946" t="s">
        <v>9</v>
      </c>
      <c r="N28" s="509"/>
      <c r="O28" s="957" t="s">
        <v>9</v>
      </c>
    </row>
    <row r="29" spans="1:15" ht="16.2" thickBot="1">
      <c r="A29" s="353" t="s">
        <v>9</v>
      </c>
      <c r="B29" s="1223" t="s">
        <v>399</v>
      </c>
      <c r="C29" s="354"/>
      <c r="D29" s="355"/>
      <c r="E29" s="1154" t="s">
        <v>447</v>
      </c>
      <c r="F29" s="1199"/>
      <c r="G29" s="971"/>
      <c r="H29" s="1155"/>
      <c r="I29" s="1189" t="s">
        <v>415</v>
      </c>
      <c r="J29" s="961"/>
      <c r="K29" s="1273">
        <f>-PGL_Supplies!K7/1000</f>
        <v>-22.777999999999999</v>
      </c>
      <c r="L29" s="302"/>
      <c r="M29" s="958" t="s">
        <v>9</v>
      </c>
      <c r="N29" s="509"/>
      <c r="O29" s="962" t="s">
        <v>9</v>
      </c>
    </row>
    <row r="30" spans="1:15" ht="15.6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7" t="s">
        <v>750</v>
      </c>
      <c r="F30" s="1179"/>
      <c r="G30" s="1045"/>
      <c r="H30" s="1130"/>
      <c r="I30" s="1194" t="s">
        <v>183</v>
      </c>
      <c r="J30" s="1160"/>
      <c r="K30" s="1262">
        <f>-PGL_Supplies!AB7/1000</f>
        <v>-27.414999999999999</v>
      </c>
      <c r="L30" s="1161"/>
      <c r="M30" s="1061">
        <f>-PGL_Supplies!AB7/1000</f>
        <v>-27.414999999999999</v>
      </c>
      <c r="N30" s="1162"/>
      <c r="O30" s="1222">
        <f>-PGL_Supplies!AB7/1000</f>
        <v>-27.414999999999999</v>
      </c>
    </row>
    <row r="31" spans="1:15" ht="16.2" thickBot="1">
      <c r="A31" s="365" t="s">
        <v>459</v>
      </c>
      <c r="B31" s="966">
        <f>PGL_Supplies!D7/1000</f>
        <v>0</v>
      </c>
      <c r="C31" s="966" t="s">
        <v>9</v>
      </c>
      <c r="D31" s="967" t="s">
        <v>9</v>
      </c>
      <c r="E31" s="157" t="s">
        <v>751</v>
      </c>
      <c r="F31" s="1201"/>
      <c r="G31" s="1043"/>
      <c r="H31" s="1156"/>
      <c r="I31" s="324" t="s">
        <v>188</v>
      </c>
      <c r="J31" s="323"/>
      <c r="K31" s="1168"/>
      <c r="L31" s="1169"/>
      <c r="M31" s="326"/>
      <c r="N31" s="326"/>
      <c r="O31" s="326"/>
    </row>
    <row r="32" spans="1:15" ht="16.2" thickBot="1">
      <c r="A32" s="420" t="s">
        <v>104</v>
      </c>
      <c r="B32" s="966">
        <f>PGL_Supplies!AA7/1000+NSG_Supplies!M7/1000</f>
        <v>178.846</v>
      </c>
      <c r="C32" s="966" t="s">
        <v>9</v>
      </c>
      <c r="D32" s="967" t="s">
        <v>9</v>
      </c>
      <c r="E32" s="546" t="s">
        <v>752</v>
      </c>
      <c r="F32" s="1202"/>
      <c r="G32" s="425"/>
      <c r="H32" s="1016"/>
      <c r="I32" s="1193" t="s">
        <v>438</v>
      </c>
      <c r="J32" s="518"/>
      <c r="K32" s="1229"/>
      <c r="L32" s="1209" t="s">
        <v>758</v>
      </c>
      <c r="M32" s="119"/>
      <c r="N32" s="1236"/>
      <c r="O32" s="1234"/>
    </row>
    <row r="33" spans="1:15" ht="15.6" thickBot="1">
      <c r="A33" s="1117" t="s">
        <v>587</v>
      </c>
      <c r="B33" s="966">
        <f>PGL_Supplies!S7/1000</f>
        <v>0.33200000000000002</v>
      </c>
      <c r="C33" s="966" t="s">
        <v>9</v>
      </c>
      <c r="D33" s="970"/>
      <c r="E33" s="119"/>
      <c r="F33" s="119"/>
      <c r="G33" s="119"/>
      <c r="H33" s="158"/>
      <c r="I33" s="1195" t="s">
        <v>439</v>
      </c>
      <c r="J33" s="1233"/>
      <c r="K33" s="1230"/>
      <c r="L33" s="1170" t="s">
        <v>447</v>
      </c>
      <c r="M33" s="1046"/>
      <c r="N33" s="1044"/>
      <c r="O33" s="799"/>
    </row>
    <row r="34" spans="1:15" ht="16.2" thickBot="1">
      <c r="A34" s="1173" t="s">
        <v>650</v>
      </c>
      <c r="B34" s="1198">
        <f>-B30+B31+B32+B33*0.5</f>
        <v>179.012</v>
      </c>
      <c r="C34" s="1033"/>
      <c r="D34" s="1018" t="s">
        <v>9</v>
      </c>
      <c r="E34" s="1249" t="s">
        <v>760</v>
      </c>
      <c r="F34" s="119"/>
      <c r="G34" s="119"/>
      <c r="H34" s="158"/>
      <c r="I34" s="1196" t="s">
        <v>440</v>
      </c>
      <c r="J34" s="544"/>
      <c r="K34" s="1231"/>
      <c r="L34" s="1170" t="s">
        <v>448</v>
      </c>
      <c r="M34" s="1046"/>
      <c r="N34" s="1044"/>
      <c r="O34" s="799"/>
    </row>
    <row r="35" spans="1:15">
      <c r="A35" s="1112" t="s">
        <v>768</v>
      </c>
      <c r="B35" s="1021"/>
      <c r="C35" s="1021"/>
      <c r="D35" s="1019" t="s">
        <v>9</v>
      </c>
      <c r="E35" s="1249" t="s">
        <v>807</v>
      </c>
      <c r="F35" s="119"/>
      <c r="G35" s="119"/>
      <c r="H35" s="158"/>
      <c r="I35" s="1196" t="s">
        <v>441</v>
      </c>
      <c r="J35" s="544"/>
      <c r="K35" s="1230"/>
      <c r="L35" s="1171" t="s">
        <v>449</v>
      </c>
      <c r="M35" s="1046"/>
      <c r="N35" s="1044"/>
      <c r="O35" s="799"/>
    </row>
    <row r="36" spans="1:15">
      <c r="A36" s="1113" t="s">
        <v>769</v>
      </c>
      <c r="B36" s="319">
        <f>B34-B35-B37</f>
        <v>137.07849999999999</v>
      </c>
      <c r="C36" s="1022" t="s">
        <v>9</v>
      </c>
      <c r="D36" s="1020" t="s">
        <v>9</v>
      </c>
      <c r="E36" s="1249" t="s">
        <v>759</v>
      </c>
      <c r="F36" s="119"/>
      <c r="G36" s="119"/>
      <c r="H36" s="158"/>
      <c r="I36" s="1196" t="s">
        <v>442</v>
      </c>
      <c r="J36" s="544"/>
      <c r="K36" s="1230"/>
      <c r="L36" s="1171" t="s">
        <v>381</v>
      </c>
      <c r="M36" s="1046"/>
      <c r="N36" s="1044"/>
      <c r="O36" s="799"/>
    </row>
    <row r="37" spans="1:15">
      <c r="A37" s="1114" t="s">
        <v>770</v>
      </c>
      <c r="B37" s="1220">
        <f>F24</f>
        <v>41.933500000000002</v>
      </c>
      <c r="C37" s="1044"/>
      <c r="D37" s="1106" t="s">
        <v>9</v>
      </c>
      <c r="E37" s="119"/>
      <c r="F37" s="119"/>
      <c r="G37" s="119"/>
      <c r="H37" s="119"/>
      <c r="I37" s="1219" t="s">
        <v>443</v>
      </c>
      <c r="J37" s="544"/>
      <c r="K37" s="1230"/>
      <c r="L37" s="1172" t="s">
        <v>450</v>
      </c>
      <c r="M37" s="1046"/>
      <c r="N37" s="1044"/>
      <c r="O37" s="799"/>
    </row>
    <row r="38" spans="1:15">
      <c r="A38" s="1247" t="s">
        <v>806</v>
      </c>
      <c r="B38" s="1179">
        <f>PGL_Requirements!J7/1000</f>
        <v>48.49</v>
      </c>
      <c r="C38" s="1045"/>
      <c r="D38" s="970"/>
      <c r="E38" s="119"/>
      <c r="F38" s="119"/>
      <c r="G38" s="119"/>
      <c r="H38" s="119"/>
      <c r="I38" s="1215" t="s">
        <v>444</v>
      </c>
      <c r="J38" s="544"/>
      <c r="K38" s="1230"/>
      <c r="L38" s="589" t="s">
        <v>451</v>
      </c>
      <c r="M38" s="119"/>
      <c r="N38" s="1251"/>
      <c r="O38" s="1252"/>
    </row>
    <row r="39" spans="1:15" ht="16.2" thickBot="1">
      <c r="A39" s="1119" t="s">
        <v>2</v>
      </c>
      <c r="B39" s="1221">
        <f>B35+B36+B37+B38</f>
        <v>227.50200000000001</v>
      </c>
      <c r="C39" s="1120"/>
      <c r="D39" s="1121" t="s">
        <v>9</v>
      </c>
      <c r="E39" s="119"/>
      <c r="F39" s="119"/>
      <c r="G39" s="119"/>
      <c r="H39" s="119"/>
      <c r="I39" s="1216" t="s">
        <v>445</v>
      </c>
      <c r="J39" s="579"/>
      <c r="K39" s="1232"/>
      <c r="L39" s="1253" t="s">
        <v>808</v>
      </c>
      <c r="M39" s="1089"/>
      <c r="N39" s="1254"/>
      <c r="O39" s="1235"/>
    </row>
    <row r="40" spans="1:15" ht="16.8" thickTop="1" thickBot="1">
      <c r="A40" s="1248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4"/>
      <c r="L40" s="1250" t="s">
        <v>210</v>
      </c>
      <c r="M40" s="1255"/>
      <c r="N40" s="117" t="s">
        <v>9</v>
      </c>
      <c r="O40" s="1175"/>
    </row>
    <row r="41" spans="1:15" ht="15.6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6"/>
      <c r="K41" s="1176"/>
      <c r="L41" s="1177"/>
      <c r="M41" s="778"/>
      <c r="N41" s="778"/>
      <c r="O41" s="778"/>
    </row>
    <row r="42" spans="1:15">
      <c r="A42" s="1115"/>
      <c r="B42" s="119"/>
      <c r="C42" s="119"/>
      <c r="D42" s="1116"/>
      <c r="I42" s="119"/>
      <c r="J42" s="1166"/>
      <c r="K42" s="589"/>
      <c r="L42" s="1167"/>
    </row>
    <row r="43" spans="1:15">
      <c r="I43" s="119"/>
      <c r="J43" s="1166"/>
      <c r="K43" s="589"/>
      <c r="L43" s="1167"/>
    </row>
    <row r="44" spans="1:15">
      <c r="I44" s="119"/>
      <c r="J44" s="8"/>
      <c r="K44" s="8"/>
      <c r="L44" s="116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MON</v>
      </c>
      <c r="G1" s="1224">
        <f>Weather_Input!A5</f>
        <v>37081</v>
      </c>
      <c r="H1" s="584" t="s">
        <v>244</v>
      </c>
      <c r="I1" s="588"/>
    </row>
    <row r="2" spans="1:9" ht="20.399999999999999">
      <c r="A2" s="634" t="s">
        <v>9</v>
      </c>
      <c r="B2" s="780" t="s">
        <v>529</v>
      </c>
      <c r="C2" s="935"/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1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89</v>
      </c>
      <c r="C4" s="750">
        <f>Weather_Input!C5</f>
        <v>70</v>
      </c>
      <c r="D4" s="644"/>
      <c r="E4" s="645"/>
      <c r="F4" s="644"/>
      <c r="G4" s="645"/>
      <c r="H4" s="646"/>
      <c r="I4" s="647"/>
    </row>
    <row r="5" spans="1:9" ht="23.4" thickBot="1">
      <c r="A5" s="648" t="s">
        <v>134</v>
      </c>
      <c r="B5" s="649"/>
      <c r="C5" s="650">
        <f>NSG_Deliveries!C5/1000</f>
        <v>34.5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3.4" thickBot="1">
      <c r="A7" s="658" t="s">
        <v>84</v>
      </c>
      <c r="B7" s="649"/>
      <c r="C7" s="755">
        <f>C5-C9-C11-C12</f>
        <v>28.613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5.8869999999999996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2.8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2.8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3.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.6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3.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.6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3.4" thickBot="1">
      <c r="A19" s="695" t="s">
        <v>406</v>
      </c>
      <c r="B19" s="696"/>
      <c r="C19" s="697">
        <f>C7+C12</f>
        <v>28.613</v>
      </c>
      <c r="D19" s="698"/>
      <c r="E19" s="699"/>
      <c r="F19" s="698"/>
      <c r="G19" s="698" t="s">
        <v>9</v>
      </c>
      <c r="H19" s="696"/>
      <c r="I19" s="700"/>
    </row>
    <row r="20" spans="1:9" ht="20.399999999999999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399999999999999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399999999999999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399999999999999">
      <c r="A23" s="701" t="s">
        <v>414</v>
      </c>
      <c r="B23" s="709"/>
      <c r="C23" s="703">
        <f>NSG_Requirements!H7/1000</f>
        <v>0.97399999999999998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399999999999999">
      <c r="A24" s="701" t="s">
        <v>415</v>
      </c>
      <c r="B24" s="706"/>
      <c r="C24" s="703">
        <f>-NSG_Supplies!F7/1000</f>
        <v>0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399999999999999">
      <c r="A25" s="701" t="s">
        <v>183</v>
      </c>
      <c r="B25" s="709"/>
      <c r="C25" s="703">
        <f>-NSG_Supplies!Q7/1000</f>
        <v>-28.4</v>
      </c>
      <c r="D25" s="710"/>
      <c r="E25" s="703">
        <f>-NSG_Supplies!Q7/1000</f>
        <v>-28.4</v>
      </c>
      <c r="F25" s="710"/>
      <c r="G25" s="703">
        <f>-NSG_Supplies!Q7/1000</f>
        <v>-28.4</v>
      </c>
      <c r="H25" s="709"/>
      <c r="I25" s="766">
        <f>-NSG_Supplies!Q7/1000</f>
        <v>-28.4</v>
      </c>
    </row>
    <row r="26" spans="1:9" ht="20.399999999999999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3.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1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399999999999999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399999999999999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399999999999999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399999999999999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399999999999999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399999999999999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.6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3.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399999999999999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399999999999999">
      <c r="A40" s="701" t="s">
        <v>484</v>
      </c>
      <c r="B40" s="808">
        <f>NSG_Requirements!J7/1000</f>
        <v>6.1130000000000004</v>
      </c>
      <c r="C40" s="710"/>
      <c r="D40" s="728"/>
      <c r="E40" s="711"/>
      <c r="F40" s="635"/>
      <c r="G40" s="707"/>
      <c r="H40" s="707"/>
      <c r="I40" s="726"/>
    </row>
    <row r="41" spans="1:9" ht="20.399999999999999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399999999999999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399999999999999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12</v>
      </c>
      <c r="C44" s="635"/>
      <c r="D44" s="738"/>
      <c r="E44" s="739"/>
      <c r="F44" s="635"/>
      <c r="G44" s="707"/>
      <c r="H44" s="707"/>
      <c r="I44" s="726"/>
    </row>
    <row r="45" spans="1:9" ht="21.6" thickBot="1">
      <c r="A45" s="733" t="s">
        <v>482</v>
      </c>
      <c r="B45" s="810">
        <f>B44+B41-B40</f>
        <v>5.8869999999999996</v>
      </c>
      <c r="C45" s="741"/>
      <c r="D45" s="740"/>
      <c r="E45" s="742"/>
      <c r="F45" s="635"/>
      <c r="G45" s="707"/>
      <c r="H45" s="707"/>
      <c r="I45" s="726"/>
    </row>
    <row r="46" spans="1:9" ht="23.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399999999999999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399999999999999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399999999999999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3.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399999999999999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.6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37081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89</v>
      </c>
      <c r="C5" s="261">
        <f>Weather_Input!C5</f>
        <v>70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206</v>
      </c>
      <c r="C8" s="269">
        <f>NSG_Deliveries!C5/1000</f>
        <v>34.5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128.80199999999999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15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40.602999999999994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15.42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34.5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1.0196999999999998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34.5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0.53</v>
      </c>
      <c r="C27" s="305">
        <f>NSG_Requirements!P7/1000</f>
        <v>0</v>
      </c>
      <c r="D27" s="305">
        <f>PGL_Requirements!Q7/1000</f>
        <v>0.53</v>
      </c>
      <c r="E27" s="305">
        <f>NSG_Requirements!P7/1000</f>
        <v>0</v>
      </c>
      <c r="F27" s="305">
        <f>PGL_Requirements!Q7/1000</f>
        <v>0.53</v>
      </c>
      <c r="G27" s="305">
        <f>NSG_Requirements!P7/1000</f>
        <v>0</v>
      </c>
      <c r="H27" s="306">
        <f>+B27</f>
        <v>0.53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-27.414999999999999</v>
      </c>
      <c r="C32" s="310">
        <f>-NSG_Supplies!Q7/1000</f>
        <v>-28.4</v>
      </c>
      <c r="D32" s="310">
        <f>B32</f>
        <v>-27.414999999999999</v>
      </c>
      <c r="E32" s="310">
        <f>C32</f>
        <v>-28.4</v>
      </c>
      <c r="F32" s="310">
        <f>B32</f>
        <v>-27.414999999999999</v>
      </c>
      <c r="G32" s="310">
        <f>C32</f>
        <v>-28.4</v>
      </c>
      <c r="H32" s="315">
        <f>B32</f>
        <v>-27.414999999999999</v>
      </c>
      <c r="I32" s="316">
        <f>C32</f>
        <v>-28.4</v>
      </c>
    </row>
    <row r="33" spans="1:9" ht="17.100000000000001" customHeight="1">
      <c r="A33" s="314" t="s">
        <v>371</v>
      </c>
      <c r="B33" s="310">
        <f>-PGL_Supplies!W7/1000</f>
        <v>0</v>
      </c>
      <c r="C33" s="310">
        <f>-NSG_Supplies!R7/1000</f>
        <v>-17.067</v>
      </c>
      <c r="D33" s="310">
        <f>B33</f>
        <v>0</v>
      </c>
      <c r="E33" s="310">
        <f>C33</f>
        <v>-17.067</v>
      </c>
      <c r="F33" s="310">
        <f>B33</f>
        <v>0</v>
      </c>
      <c r="G33" s="310">
        <f>C33</f>
        <v>-17.067</v>
      </c>
      <c r="H33" s="315">
        <f>B33</f>
        <v>0</v>
      </c>
      <c r="I33" s="316">
        <f>C33</f>
        <v>-17.067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0</v>
      </c>
      <c r="C35" s="305">
        <f>NSG_Requirements!H7/1000</f>
        <v>0.97399999999999998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-22.777999999999999</v>
      </c>
      <c r="C36" s="310">
        <f>-NSG_Supplies!F7/1000</f>
        <v>0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67.98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1.0196999999999998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1.0196999999999998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128.80199999999999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128.80199999999999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100.583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8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67.98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0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40.602999999999994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MON</v>
      </c>
      <c r="H73" s="401">
        <f>Weather_Input!A5</f>
        <v>37081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6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6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2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2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128.80199999999999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108.583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15.42</v>
      </c>
      <c r="D103" s="615"/>
      <c r="E103" s="264"/>
      <c r="F103" s="597"/>
      <c r="G103" s="264"/>
      <c r="H103" s="597"/>
      <c r="I103" s="262"/>
    </row>
    <row r="104" spans="1:9" ht="15.6" thickBot="1">
      <c r="A104" s="287" t="s">
        <v>105</v>
      </c>
      <c r="B104" s="610" t="s">
        <v>9</v>
      </c>
      <c r="C104" s="618">
        <f>PGL_Supplies!B7/1000</f>
        <v>0</v>
      </c>
      <c r="D104" s="596"/>
      <c r="E104" s="264"/>
      <c r="F104" s="597"/>
      <c r="G104" s="264"/>
      <c r="H104" s="597"/>
      <c r="I104" s="262"/>
    </row>
    <row r="105" spans="1:9" ht="16.2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2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6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2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6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6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6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6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6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0</v>
      </c>
      <c r="C123" s="310">
        <f>-NSG_Supplies!R7/1000</f>
        <v>-17.067</v>
      </c>
      <c r="D123" s="308"/>
      <c r="E123" s="308"/>
      <c r="F123" s="308"/>
      <c r="G123" s="308"/>
      <c r="H123" s="312"/>
      <c r="I123" s="313"/>
    </row>
    <row r="124" spans="1:9" ht="16.2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0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6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2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6.2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6" thickBot="1">
      <c r="A140" s="420" t="s">
        <v>371</v>
      </c>
      <c r="B140" s="319">
        <f>PGL_Supplies!U7/1000</f>
        <v>128.80199999999999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2" thickBot="1">
      <c r="A141" s="554" t="s">
        <v>421</v>
      </c>
      <c r="B141" s="556">
        <f>-B135+B136+B137-B138+B139+B140</f>
        <v>128.80199999999999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2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67.98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6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6" thickBot="1">
      <c r="A146" s="420" t="s">
        <v>428</v>
      </c>
      <c r="B146" s="319">
        <f>PGL_Supplies!G7/1000</f>
        <v>1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2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6" thickBot="1">
      <c r="A148" s="420" t="s">
        <v>429</v>
      </c>
      <c r="B148" s="319">
        <f>PGL_Requirements!P7/1000</f>
        <v>1.0196999999999998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2" thickBot="1">
      <c r="A149" s="513" t="s">
        <v>430</v>
      </c>
      <c r="B149" s="514">
        <f>B144+B146</f>
        <v>1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6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2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6.2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0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6" thickBot="1">
      <c r="A156" s="420" t="s">
        <v>434</v>
      </c>
      <c r="B156" s="319">
        <f>PGL_Supplies!F7/1000</f>
        <v>5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6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6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2" thickBot="1">
      <c r="A159" s="420" t="s">
        <v>104</v>
      </c>
      <c r="B159" s="319">
        <f>PGL_Supplies!AC7/1000</f>
        <v>3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6" thickBot="1">
      <c r="A160" s="420" t="s">
        <v>371</v>
      </c>
      <c r="B160" s="606">
        <f>PGL_Supplies!X7/1000</f>
        <v>100.583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2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2" thickBot="1">
      <c r="A162" s="394" t="s">
        <v>430</v>
      </c>
      <c r="B162" s="607">
        <f>B154+B156+B158+B159+B160-B153-B155-B157-B161</f>
        <v>108.583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6">
      <c r="D11" s="194" t="s">
        <v>250</v>
      </c>
    </row>
    <row r="12" spans="1:10" ht="15.6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6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37082.467991087964</v>
      </c>
      <c r="F22" s="161" t="s">
        <v>257</v>
      </c>
      <c r="G22" s="188">
        <f ca="1">NOW()</f>
        <v>37082.467991087964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6" thickBot="1"/>
    <row r="26" spans="2:9" ht="15.6" thickBot="1">
      <c r="B26" s="206" t="s">
        <v>9</v>
      </c>
      <c r="C26" s="161" t="s">
        <v>261</v>
      </c>
    </row>
    <row r="27" spans="2:9" ht="15.6" thickBot="1">
      <c r="B27" s="206" t="s">
        <v>9</v>
      </c>
      <c r="C27" s="161" t="s">
        <v>262</v>
      </c>
    </row>
    <row r="28" spans="2:9" ht="15.6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6">
      <c r="B34" s="161" t="s">
        <v>264</v>
      </c>
      <c r="E34" s="187">
        <v>0</v>
      </c>
      <c r="F34" t="s">
        <v>265</v>
      </c>
    </row>
    <row r="36" spans="2:8" ht="15.6">
      <c r="B36" s="161" t="s">
        <v>266</v>
      </c>
      <c r="E36" s="187">
        <v>0</v>
      </c>
      <c r="F36" t="s">
        <v>265</v>
      </c>
    </row>
    <row r="38" spans="2:8" ht="15.6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6">
      <c r="E39" s="163">
        <f>+E38+1</f>
        <v>35917</v>
      </c>
      <c r="F39" s="187">
        <v>0</v>
      </c>
      <c r="G39" t="s">
        <v>265</v>
      </c>
    </row>
    <row r="40" spans="2:8" ht="15.6">
      <c r="E40" s="163">
        <f>+E39+1</f>
        <v>35918</v>
      </c>
      <c r="F40" s="187">
        <v>0</v>
      </c>
      <c r="G40" t="s">
        <v>265</v>
      </c>
    </row>
    <row r="41" spans="2:8" ht="15.6">
      <c r="E41" s="163">
        <f>+E40+1</f>
        <v>35919</v>
      </c>
      <c r="F41" s="187">
        <v>0</v>
      </c>
      <c r="G41" t="s">
        <v>265</v>
      </c>
    </row>
    <row r="42" spans="2:8" ht="15.6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Monday</v>
      </c>
      <c r="B5" s="21">
        <f>Weather_Input!A5</f>
        <v>37081</v>
      </c>
      <c r="C5" s="15"/>
      <c r="D5" s="22" t="s">
        <v>275</v>
      </c>
      <c r="E5" s="23">
        <f>Weather_Input!B5</f>
        <v>89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70</v>
      </c>
      <c r="F6" s="24" t="s">
        <v>278</v>
      </c>
      <c r="G6" s="25">
        <f>Weather_Input!F5</f>
        <v>5</v>
      </c>
      <c r="H6" s="26" t="s">
        <v>279</v>
      </c>
      <c r="I6" s="27">
        <f ca="1">G6-(VLOOKUP(B5,DD_Normal_Data,CELL("Col",C7),FALSE))</f>
        <v>5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80.099999999999994</v>
      </c>
      <c r="F7" s="24" t="s">
        <v>281</v>
      </c>
      <c r="G7" s="25">
        <f>Weather_Input!G5</f>
        <v>6704</v>
      </c>
      <c r="H7" s="26" t="s">
        <v>281</v>
      </c>
      <c r="I7" s="120">
        <f ca="1">G7-(VLOOKUP(B5,DD_Normal_Data,CELL("Col",D4),FALSE))</f>
        <v>282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PARTLY CLOUDY. HIGHS IN THE 80S NEAR THE LAKE TO 90S INLAND WITH LIGHT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WINDS. A LITTLE COOLER AT NIGHT WITH LOWS IN THE MIDDLE 60S. LIGHT WINDS.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Tuesday</v>
      </c>
      <c r="B10" s="21">
        <f>Weather_Input!A6</f>
        <v>37082</v>
      </c>
      <c r="C10" s="15"/>
      <c r="D10" s="150" t="s">
        <v>275</v>
      </c>
      <c r="E10" s="23">
        <f>Weather_Input!B6</f>
        <v>89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60</v>
      </c>
      <c r="F11" s="24" t="s">
        <v>278</v>
      </c>
      <c r="G11" s="25">
        <f>IF(DAY(B10)=1,G10,G6+G10)</f>
        <v>5</v>
      </c>
      <c r="H11" s="30" t="s">
        <v>279</v>
      </c>
      <c r="I11" s="27">
        <f ca="1">G11-(VLOOKUP(B10,DD_Normal_Data,CELL("Col",C12),FALSE))</f>
        <v>5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74.5</v>
      </c>
      <c r="F12" s="24" t="s">
        <v>281</v>
      </c>
      <c r="G12" s="25">
        <f>IF(AND(DAY(B10)=1,MONTH(B10)=8),G10,G7+G10)</f>
        <v>6704</v>
      </c>
      <c r="H12" s="26" t="s">
        <v>281</v>
      </c>
      <c r="I12" s="27">
        <f ca="1">G12-(VLOOKUP(B10,DD_Normal_Data,CELL("Col",D9),FALSE))</f>
        <v>282</v>
      </c>
    </row>
    <row r="13" spans="1:109" ht="15">
      <c r="A13" s="18"/>
      <c r="B13" s="21"/>
      <c r="C13" s="15"/>
      <c r="D13" s="32" t="str">
        <f>IF(Weather_Input!I6=""," ",Weather_Input!I6)</f>
        <v>MOSTLY SUNNY. HIGH 85 TO 90….BUT ONLY IN THE LOWER 80S NEAR THE LAKE.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TONIGHT MOSTLY CLEAR. LOW IN THE LOWER 60S.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Wednesday</v>
      </c>
      <c r="B15" s="21">
        <f>Weather_Input!A7</f>
        <v>37083</v>
      </c>
      <c r="C15" s="15"/>
      <c r="D15" s="22" t="s">
        <v>275</v>
      </c>
      <c r="E15" s="23">
        <f>Weather_Input!B7</f>
        <v>78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58</v>
      </c>
      <c r="F16" s="24" t="s">
        <v>278</v>
      </c>
      <c r="G16" s="25">
        <f>IF(DAY(B15)=1,G15,G11+G15)</f>
        <v>5</v>
      </c>
      <c r="H16" s="30" t="s">
        <v>279</v>
      </c>
      <c r="I16" s="27">
        <f ca="1">G16-(VLOOKUP(B15,DD_Normal_Data,CELL("Col",C17),FALSE))</f>
        <v>5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68</v>
      </c>
      <c r="F17" s="24" t="s">
        <v>281</v>
      </c>
      <c r="G17" s="25">
        <f>IF(AND(DAY(B15)=1,MONTH(B15)=8),G15,G12+G15)</f>
        <v>6704</v>
      </c>
      <c r="H17" s="26" t="s">
        <v>281</v>
      </c>
      <c r="I17" s="27">
        <f ca="1">G17-(VLOOKUP(B15,DD_Normal_Data,CELL("Col",D14),FALSE))</f>
        <v>282</v>
      </c>
    </row>
    <row r="18" spans="1:109" ht="15">
      <c r="A18" s="18"/>
      <c r="B18" s="20"/>
      <c r="C18" s="15"/>
      <c r="D18" s="32" t="str">
        <f>IF(Weather_Input!I7=""," ",Weather_Input!I7)</f>
        <v xml:space="preserve">SUNNY,,,,COOLER AND LESS HUMID, WITH A HIGH AROUND LOWER 80S. MOSTLY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>CLEAR  AND LOW IN THE LOWER 60S 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Thursday</v>
      </c>
      <c r="B20" s="21">
        <f>Weather_Input!A8</f>
        <v>37084</v>
      </c>
      <c r="C20" s="15"/>
      <c r="D20" s="22" t="s">
        <v>275</v>
      </c>
      <c r="E20" s="23">
        <f>Weather_Input!B8</f>
        <v>72</v>
      </c>
      <c r="F20" s="24" t="s">
        <v>276</v>
      </c>
      <c r="G20" s="25">
        <f>IF(E22&lt;65,65-(Weather_Input!B8+Weather_Input!C8)/2,0)</f>
        <v>1.5</v>
      </c>
      <c r="H20" s="26" t="s">
        <v>277</v>
      </c>
      <c r="I20" s="27">
        <f ca="1">G20-(VLOOKUP(B20,DD_Normal_Data,CELL("Col",B21),FALSE))</f>
        <v>1.5</v>
      </c>
    </row>
    <row r="21" spans="1:109" ht="15">
      <c r="A21" s="18"/>
      <c r="B21" s="21"/>
      <c r="C21" s="15"/>
      <c r="D21" s="22" t="s">
        <v>162</v>
      </c>
      <c r="E21" s="23">
        <f>Weather_Input!C8</f>
        <v>55</v>
      </c>
      <c r="F21" s="24" t="s">
        <v>278</v>
      </c>
      <c r="G21" s="25">
        <f>IF(DAY(B20)=1,G20,G16+G20)</f>
        <v>6.5</v>
      </c>
      <c r="H21" s="30" t="s">
        <v>279</v>
      </c>
      <c r="I21" s="27">
        <f ca="1">G21-(VLOOKUP(B20,DD_Normal_Data,CELL("Col",C22),FALSE))</f>
        <v>6.5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63.5</v>
      </c>
      <c r="F22" s="24" t="s">
        <v>281</v>
      </c>
      <c r="G22" s="25">
        <f>IF(AND(DAY(B20)=1,MONTH(B20)=8),G20,G17+G20)</f>
        <v>6705.5</v>
      </c>
      <c r="H22" s="26" t="s">
        <v>281</v>
      </c>
      <c r="I22" s="27">
        <f ca="1">G22-(VLOOKUP(B20,DD_Normal_Data,CELL("Col",D19),FALSE))</f>
        <v>283.5</v>
      </c>
    </row>
    <row r="23" spans="1:109" ht="15">
      <c r="A23" s="18"/>
      <c r="B23" s="21"/>
      <c r="C23" s="15"/>
      <c r="D23" s="32" t="str">
        <f>IF(Weather_Input!I8=""," ",Weather_Input!I8)</f>
        <v>SUNNY,,,,  HIGH AROUND 80.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Friday</v>
      </c>
      <c r="B25" s="21">
        <f>Weather_Input!A9</f>
        <v>37085</v>
      </c>
      <c r="C25" s="15"/>
      <c r="D25" s="22" t="s">
        <v>275</v>
      </c>
      <c r="E25" s="23">
        <f>Weather_Input!B9</f>
        <v>75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57</v>
      </c>
      <c r="F26" s="24" t="s">
        <v>278</v>
      </c>
      <c r="G26" s="25">
        <f>IF(DAY(B25)=1,G25,G21+G25)</f>
        <v>6.5</v>
      </c>
      <c r="H26" s="30" t="s">
        <v>279</v>
      </c>
      <c r="I26" s="27">
        <f ca="1">G26-(VLOOKUP(B25,DD_Normal_Data,CELL("Col",C27),FALSE))</f>
        <v>6.5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66</v>
      </c>
      <c r="F27" s="24" t="s">
        <v>281</v>
      </c>
      <c r="G27" s="25">
        <f>IF(AND(DAY(B25)=1,MONTH(B25)=8),G25,G22+G25)</f>
        <v>6705.5</v>
      </c>
      <c r="H27" s="26" t="s">
        <v>281</v>
      </c>
      <c r="I27" s="27">
        <f ca="1">G27-(VLOOKUP(B25,DD_Normal_Data,CELL("Col",D24),FALSE))</f>
        <v>283.5</v>
      </c>
    </row>
    <row r="28" spans="1:109" ht="15">
      <c r="A28" s="18"/>
      <c r="B28" s="20"/>
      <c r="C28" s="15"/>
      <c r="D28" s="32" t="str">
        <f>IF(Weather_Input!I9=""," ",Weather_Input!I9)</f>
        <v>SUNNY,,, LOW IN THE MIDDLE 50S . HIGH AROUND 80.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Saturday</v>
      </c>
      <c r="B30" s="21">
        <f>Weather_Input!A10</f>
        <v>37086</v>
      </c>
      <c r="C30" s="15"/>
      <c r="D30" s="22" t="s">
        <v>275</v>
      </c>
      <c r="E30" s="23">
        <f>Weather_Input!B10</f>
        <v>84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64</v>
      </c>
      <c r="F31" s="24" t="s">
        <v>278</v>
      </c>
      <c r="G31" s="25">
        <f>IF(DAY(B30)=1,G30,G26+G30)</f>
        <v>6.5</v>
      </c>
      <c r="H31" s="30" t="s">
        <v>279</v>
      </c>
      <c r="I31" s="27">
        <f ca="1">G31-(VLOOKUP(B30,DD_Normal_Data,CELL("Col",C32),FALSE))</f>
        <v>6.5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74</v>
      </c>
      <c r="F32" s="24" t="s">
        <v>281</v>
      </c>
      <c r="G32" s="25">
        <f>IF(AND(DAY(B30)=1,MONTH(B30)=8),G30,G27+G30)</f>
        <v>6705.5</v>
      </c>
      <c r="H32" s="26" t="s">
        <v>281</v>
      </c>
      <c r="I32" s="27">
        <f ca="1">G32-(VLOOKUP(B30,DD_Normal_Data,CELL("Col",D29),FALSE))</f>
        <v>283.5</v>
      </c>
    </row>
    <row r="33" spans="1:9" ht="15">
      <c r="A33" s="15"/>
      <c r="B33" s="34"/>
      <c r="C33" s="15"/>
      <c r="D33" s="32" t="str">
        <f>IF(Weather_Input!I10=""," ",Weather_Input!I10)</f>
        <v>PARTLY CLOUDY, LOW NEAR 60. HIGH 80 TO 85.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37081</v>
      </c>
      <c r="C36" s="89">
        <f>B10</f>
        <v>37082</v>
      </c>
      <c r="D36" s="89">
        <f>B15</f>
        <v>37083</v>
      </c>
      <c r="E36" s="89">
        <f xml:space="preserve">       B20</f>
        <v>37084</v>
      </c>
      <c r="F36" s="89">
        <f>B25</f>
        <v>37085</v>
      </c>
      <c r="G36" s="89">
        <f>B30</f>
        <v>37086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206</v>
      </c>
      <c r="C37" s="41">
        <f ca="1">(VLOOKUP(C36,PGL_Sendouts,(CELL("COL",PGL_Deliveries!C7))))/1000</f>
        <v>205</v>
      </c>
      <c r="D37" s="41">
        <f ca="1">(VLOOKUP(D36,PGL_Sendouts,(CELL("COL",PGL_Deliveries!C8))))/1000</f>
        <v>205</v>
      </c>
      <c r="E37" s="41">
        <f ca="1">(VLOOKUP(E36,PGL_Sendouts,(CELL("COL",PGL_Deliveries!C9))))/1000</f>
        <v>205</v>
      </c>
      <c r="F37" s="41">
        <f ca="1">(VLOOKUP(F36,PGL_Sendouts,(CELL("COL",PGL_Deliveries!C10))))/1000</f>
        <v>190</v>
      </c>
      <c r="G37" s="41">
        <f ca="1">(VLOOKUP(G36,PGL_Sendouts,(CELL("COL",PGL_Deliveries!C10))))/1000</f>
        <v>180</v>
      </c>
      <c r="H37" s="14"/>
      <c r="I37" s="15"/>
    </row>
    <row r="38" spans="1:9" ht="15">
      <c r="A38" s="15" t="s">
        <v>286</v>
      </c>
      <c r="B38" s="41">
        <f>PGL_6_Day_Report!D25</f>
        <v>381.57319999999999</v>
      </c>
      <c r="C38" s="41">
        <f>PGL_6_Day_Report!E25</f>
        <v>385.09485000000001</v>
      </c>
      <c r="D38" s="41">
        <f>PGL_6_Day_Report!F25</f>
        <v>342.87</v>
      </c>
      <c r="E38" s="41">
        <f>PGL_6_Day_Report!G25</f>
        <v>342.87</v>
      </c>
      <c r="F38" s="41">
        <f>PGL_6_Day_Report!H25</f>
        <v>327.87</v>
      </c>
      <c r="G38" s="41">
        <f>PGL_6_Day_Report!I25</f>
        <v>317.87</v>
      </c>
      <c r="H38" s="14"/>
      <c r="I38" s="15"/>
    </row>
    <row r="39" spans="1:9" ht="15">
      <c r="A39" s="42" t="s">
        <v>104</v>
      </c>
      <c r="B39" s="41">
        <f>SUM(PGL_Supplies!Y7:AD7)/1000</f>
        <v>209.46100000000001</v>
      </c>
      <c r="C39" s="41">
        <f>SUM(PGL_Supplies!Y8:AD8)/1000</f>
        <v>224.03399999999999</v>
      </c>
      <c r="D39" s="41">
        <f>SUM(PGL_Supplies!Y9:AD9)/1000</f>
        <v>224.03399999999999</v>
      </c>
      <c r="E39" s="41">
        <f>SUM(PGL_Supplies!Y10:AD10)/1000</f>
        <v>224.03399999999999</v>
      </c>
      <c r="F39" s="41">
        <f>SUM(PGL_Supplies!Y11:AD11)/1000</f>
        <v>224.03399999999999</v>
      </c>
      <c r="G39" s="41">
        <f>SUM(PGL_Supplies!Y12:AD12)/1000</f>
        <v>224.03399999999999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0.73</v>
      </c>
      <c r="C41" s="41">
        <f>SUM(PGL_Requirements!Q7:T7)/1000</f>
        <v>0.73</v>
      </c>
      <c r="D41" s="41">
        <f>SUM(PGL_Requirements!Q7:T7)/1000</f>
        <v>0.73</v>
      </c>
      <c r="E41" s="41">
        <f>SUM(PGL_Requirements!Q7:T7)/1000</f>
        <v>0.73</v>
      </c>
      <c r="F41" s="41">
        <f>SUM(PGL_Requirements!Q7:T7)/1000</f>
        <v>0.73</v>
      </c>
      <c r="G41" s="41">
        <f>SUM(PGL_Requirements!Q7:T7)/1000</f>
        <v>0.73</v>
      </c>
      <c r="H41" s="14"/>
      <c r="I41" s="15"/>
    </row>
    <row r="42" spans="1:9" ht="15">
      <c r="A42" s="15" t="s">
        <v>127</v>
      </c>
      <c r="B42" s="41">
        <f>PGL_Supplies!U7/1000</f>
        <v>128.80199999999999</v>
      </c>
      <c r="C42" s="41">
        <f>PGL_Supplies!U8/1000</f>
        <v>119.884</v>
      </c>
      <c r="D42" s="41">
        <f>PGL_Supplies!U9/1000</f>
        <v>119.884</v>
      </c>
      <c r="E42" s="41">
        <f>PGL_Supplies!U10/1000</f>
        <v>119.884</v>
      </c>
      <c r="F42" s="41">
        <f>PGL_Supplies!U11/1000</f>
        <v>119.884</v>
      </c>
      <c r="G42" s="41">
        <f>PGL_Supplies!U12/1000</f>
        <v>119.884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37081</v>
      </c>
      <c r="C44" s="89">
        <f t="shared" si="0"/>
        <v>37082</v>
      </c>
      <c r="D44" s="89">
        <f t="shared" si="0"/>
        <v>37083</v>
      </c>
      <c r="E44" s="89">
        <f t="shared" si="0"/>
        <v>37084</v>
      </c>
      <c r="F44" s="89">
        <f t="shared" si="0"/>
        <v>37085</v>
      </c>
      <c r="G44" s="89">
        <f t="shared" si="0"/>
        <v>37086</v>
      </c>
      <c r="H44" s="14"/>
      <c r="I44" s="15"/>
    </row>
    <row r="45" spans="1:9" ht="15">
      <c r="A45" s="15" t="s">
        <v>54</v>
      </c>
      <c r="B45" s="41">
        <f ca="1">NSG_6_Day_Report!D6</f>
        <v>34.5</v>
      </c>
      <c r="C45" s="41">
        <f ca="1">NSG_6_Day_Report!E6</f>
        <v>35</v>
      </c>
      <c r="D45" s="41">
        <f ca="1">NSG_6_Day_Report!F6</f>
        <v>35</v>
      </c>
      <c r="E45" s="41">
        <f ca="1">NSG_6_Day_Report!G6</f>
        <v>35</v>
      </c>
      <c r="F45" s="41">
        <f ca="1">NSG_6_Day_Report!H6</f>
        <v>33</v>
      </c>
      <c r="G45" s="41">
        <f ca="1">NSG_6_Day_Report!I6</f>
        <v>31</v>
      </c>
      <c r="H45" s="14"/>
      <c r="I45" s="15"/>
    </row>
    <row r="46" spans="1:9" ht="15">
      <c r="A46" s="42" t="s">
        <v>286</v>
      </c>
      <c r="B46" s="41">
        <f ca="1">NSG_6_Day_Report!D11</f>
        <v>41.586999999999996</v>
      </c>
      <c r="C46" s="41">
        <f ca="1">NSG_6_Day_Report!E11</f>
        <v>39.18</v>
      </c>
      <c r="D46" s="41">
        <f ca="1">NSG_6_Day_Report!F11</f>
        <v>35</v>
      </c>
      <c r="E46" s="41">
        <f ca="1">NSG_6_Day_Report!G11</f>
        <v>35</v>
      </c>
      <c r="F46" s="41">
        <f ca="1">NSG_6_Day_Report!H11</f>
        <v>33</v>
      </c>
      <c r="G46" s="41">
        <f ca="1">NSG_6_Day_Report!I11</f>
        <v>31</v>
      </c>
      <c r="H46" s="14"/>
      <c r="I46" s="15"/>
    </row>
    <row r="47" spans="1:9" ht="15">
      <c r="A47" s="42" t="s">
        <v>104</v>
      </c>
      <c r="B47" s="41">
        <f>SUM(NSG_Supplies!O7:Q7)/1000</f>
        <v>40.4</v>
      </c>
      <c r="C47" s="41">
        <f>SUM(NSG_Supplies!O8:Q8)/1000</f>
        <v>39.183</v>
      </c>
      <c r="D47" s="41">
        <f>SUM(NSG_Supplies!O9:Q9)/1000</f>
        <v>39.183</v>
      </c>
      <c r="E47" s="41">
        <f>SUM(NSG_Supplies!O10:Q10)/1000</f>
        <v>39.183</v>
      </c>
      <c r="F47" s="41">
        <f>SUM(NSG_Supplies!O11:Q11)/1000</f>
        <v>39.183</v>
      </c>
      <c r="G47" s="41">
        <f>SUM(NSG_Supplies!O12:Q12)/1000</f>
        <v>39.183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17.067</v>
      </c>
      <c r="C50" s="41">
        <f>NSG_Supplies!R8/1000</f>
        <v>15.85</v>
      </c>
      <c r="D50" s="41">
        <f>NSG_Supplies!R9/1000</f>
        <v>15.85</v>
      </c>
      <c r="E50" s="41">
        <f>NSG_Supplies!R10/1000</f>
        <v>15.85</v>
      </c>
      <c r="F50" s="41">
        <f>NSG_Supplies!R11/1000</f>
        <v>15.85</v>
      </c>
      <c r="G50" s="41">
        <f>NSG_Supplies!R12/1000</f>
        <v>15.85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37081</v>
      </c>
      <c r="C52" s="89">
        <f t="shared" si="1"/>
        <v>37082</v>
      </c>
      <c r="D52" s="89">
        <f t="shared" si="1"/>
        <v>37083</v>
      </c>
      <c r="E52" s="89">
        <f t="shared" si="1"/>
        <v>37084</v>
      </c>
      <c r="F52" s="89">
        <f t="shared" si="1"/>
        <v>37085</v>
      </c>
      <c r="G52" s="89">
        <f t="shared" si="1"/>
        <v>37086</v>
      </c>
      <c r="H52" s="14"/>
      <c r="I52" s="15"/>
    </row>
    <row r="53" spans="1:9" ht="15">
      <c r="A53" s="92" t="s">
        <v>290</v>
      </c>
      <c r="B53" s="41">
        <f>PGL_Requirements!O7/1000</f>
        <v>67.98</v>
      </c>
      <c r="C53" s="41">
        <f>PGL_Requirements!O8/1000</f>
        <v>63.09</v>
      </c>
      <c r="D53" s="41">
        <f>PGL_Requirements!O9/1000</f>
        <v>132</v>
      </c>
      <c r="E53" s="41">
        <f>PGL_Requirements!O10/1000</f>
        <v>132</v>
      </c>
      <c r="F53" s="41">
        <f>PGL_Requirements!O11/1000</f>
        <v>132</v>
      </c>
      <c r="G53" s="41">
        <f>PGL_Requirements!O12/1000</f>
        <v>132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5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64"/>
    </row>
    <row r="3" spans="1:8" ht="16.2" thickBot="1">
      <c r="A3" s="96" t="s">
        <v>296</v>
      </c>
    </row>
    <row r="4" spans="1:8">
      <c r="A4" s="97"/>
      <c r="B4" s="1065" t="str">
        <f>Six_Day_Summary!A10</f>
        <v>Tuesday</v>
      </c>
      <c r="C4" s="1066" t="str">
        <f>Six_Day_Summary!A15</f>
        <v>Wednesday</v>
      </c>
      <c r="D4" s="1066" t="str">
        <f>Six_Day_Summary!A20</f>
        <v>Thursday</v>
      </c>
      <c r="E4" s="1066" t="str">
        <f>Six_Day_Summary!A25</f>
        <v>Friday</v>
      </c>
      <c r="F4" s="1067" t="str">
        <f>Six_Day_Summary!A30</f>
        <v>Saturday</v>
      </c>
      <c r="G4" s="98"/>
    </row>
    <row r="5" spans="1:8">
      <c r="A5" s="101" t="s">
        <v>297</v>
      </c>
      <c r="B5" s="1068">
        <f>Weather_Input!A6</f>
        <v>37082</v>
      </c>
      <c r="C5" s="1069">
        <f>Weather_Input!A7</f>
        <v>37083</v>
      </c>
      <c r="D5" s="1069">
        <f>Weather_Input!A8</f>
        <v>37084</v>
      </c>
      <c r="E5" s="1069">
        <f>Weather_Input!A9</f>
        <v>37085</v>
      </c>
      <c r="F5" s="1070">
        <f>Weather_Input!A10</f>
        <v>37086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62.358000000000004</v>
      </c>
      <c r="C6" s="1071">
        <f>PGL_Supplies!AB9/1000+PGL_Supplies!K9/1000-PGL_Requirements!N9/1000+C15-PGL_Requirements!S9/1000</f>
        <v>32.558</v>
      </c>
      <c r="D6" s="1071">
        <f>PGL_Supplies!AB10/1000+PGL_Supplies!K10/1000-PGL_Requirements!N10/1000+D15-PGL_Requirements!S10/1000</f>
        <v>32.558</v>
      </c>
      <c r="E6" s="1071">
        <f>PGL_Supplies!AB11/1000+PGL_Supplies!K11/1000-PGL_Requirements!N11/1000+E15-PGL_Requirements!S11/1000</f>
        <v>32.558</v>
      </c>
      <c r="F6" s="1072">
        <f>PGL_Supplies!AB12/1000+PGL_Supplies!K12/1000-PGL_Requirements!N12/1000+F15-PGL_Requirements!S12/1000</f>
        <v>32.558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7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6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6.2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Tuesday</v>
      </c>
      <c r="C21" s="1081" t="str">
        <f t="shared" si="0"/>
        <v>Wednesday</v>
      </c>
      <c r="D21" s="1081" t="str">
        <f t="shared" si="0"/>
        <v>Thursday</v>
      </c>
      <c r="E21" s="1081" t="str">
        <f t="shared" si="0"/>
        <v>Friday</v>
      </c>
      <c r="F21" s="1082" t="str">
        <f t="shared" si="0"/>
        <v>Saturday</v>
      </c>
      <c r="G21" s="98"/>
    </row>
    <row r="22" spans="1:7">
      <c r="A22" s="105" t="s">
        <v>297</v>
      </c>
      <c r="B22" s="1083">
        <f t="shared" si="0"/>
        <v>37082</v>
      </c>
      <c r="C22" s="1083">
        <f t="shared" si="0"/>
        <v>37083</v>
      </c>
      <c r="D22" s="1083">
        <f t="shared" si="0"/>
        <v>37084</v>
      </c>
      <c r="E22" s="1083">
        <f t="shared" si="0"/>
        <v>37085</v>
      </c>
      <c r="F22" s="1084">
        <f t="shared" si="0"/>
        <v>37086</v>
      </c>
      <c r="G22" s="98"/>
    </row>
    <row r="23" spans="1:7">
      <c r="A23" s="98" t="s">
        <v>298</v>
      </c>
      <c r="B23" s="1077">
        <f>NSG_Supplies!Q8/1000+NSG_Supplies!F8/1000-NSG_Requirements!H8/1000</f>
        <v>27.183</v>
      </c>
      <c r="C23" s="1077">
        <f>NSG_Supplies!Q9/1000+NSG_Supplies!F9/1000-NSG_Requirements!H9/1000</f>
        <v>27.183</v>
      </c>
      <c r="D23" s="1077">
        <f>NSG_Supplies!Q10/1000+NSG_Supplies!F10/1000-NSG_Requirements!H10/1000</f>
        <v>27.183</v>
      </c>
      <c r="E23" s="1077">
        <f>NSG_Supplies!Q12/1000+NSG_Supplies!F11/1000-NSG_Requirements!H11/1000</f>
        <v>27.183</v>
      </c>
      <c r="F23" s="1072">
        <f>NSG_Supplies!Q12/1000+NSG_Supplies!F12/1000-NSG_Requirements!H12/1000</f>
        <v>27.183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6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0"/>
      <c r="B1" s="796" t="s">
        <v>359</v>
      </c>
      <c r="C1" s="892">
        <f>Weather_Input!A6</f>
        <v>37082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12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NSG_Supplies!E8/1000</f>
        <v>0</v>
      </c>
      <c r="D4" s="132">
        <f>NSG_Requirements!J8/1000</f>
        <v>4.18</v>
      </c>
      <c r="E4" s="789"/>
      <c r="F4" s="169" t="s">
        <v>520</v>
      </c>
      <c r="G4" s="60"/>
      <c r="H4" s="151">
        <f>PGL_Requirements!O8/1000</f>
        <v>63.09</v>
      </c>
      <c r="I4" s="173">
        <f>AVERAGE(H4/1.025)</f>
        <v>61.551219512195132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7.82</v>
      </c>
      <c r="D5" s="433"/>
      <c r="E5" s="435">
        <f>AVERAGE(C5/24)</f>
        <v>0.32583333333333336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2.6287500000000001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40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188.27600000000001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95.257999999999996</v>
      </c>
      <c r="D11" s="778"/>
      <c r="E11" s="1056"/>
      <c r="F11" s="430" t="s">
        <v>356</v>
      </c>
      <c r="G11" s="442">
        <f>G8+G10</f>
        <v>228.27600000000001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95.257999999999996</v>
      </c>
      <c r="D14" s="433"/>
      <c r="E14" s="435">
        <f>AVERAGE(C14/24)</f>
        <v>3.9690833333333333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93.939000000000021</v>
      </c>
      <c r="H15" s="433" t="s">
        <v>9</v>
      </c>
      <c r="I15" s="435">
        <f>AVERAGE(G15/24)</f>
        <v>3.9141250000000007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134.33699999999999</v>
      </c>
      <c r="H16" s="443" t="s">
        <v>9</v>
      </c>
      <c r="I16" s="435">
        <f>AVERAGE(G16/24)</f>
        <v>5.5973749999999995</v>
      </c>
    </row>
    <row r="17" spans="1:9" ht="15.75" customHeight="1" thickTop="1" thickBot="1">
      <c r="B17" s="430" t="s">
        <v>356</v>
      </c>
      <c r="C17" s="442">
        <f>SUM(C15:C16)-SUM(D15:D16)</f>
        <v>0</v>
      </c>
      <c r="D17" s="429"/>
      <c r="E17" s="431"/>
      <c r="F17" s="1025" t="s">
        <v>671</v>
      </c>
      <c r="G17" s="1104">
        <v>0</v>
      </c>
      <c r="H17" s="1024"/>
      <c r="I17" s="1105">
        <f>AVERAGE(G17/24)</f>
        <v>0</v>
      </c>
    </row>
    <row r="18" spans="1:9" ht="15.75" customHeight="1">
      <c r="B18" s="1257"/>
      <c r="C18" s="1258"/>
      <c r="D18" s="624"/>
      <c r="E18" s="1259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7"/>
      <c r="C19" s="624"/>
      <c r="D19" s="1258"/>
      <c r="E19" s="1259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</v>
      </c>
      <c r="D20" s="436" t="s">
        <v>9</v>
      </c>
      <c r="E20" s="435">
        <f>AVERAGE(C20/24)</f>
        <v>0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3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3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3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81" customWidth="1"/>
    <col min="2" max="2" width="8.08984375" style="981" customWidth="1"/>
    <col min="3" max="3" width="7.90625" style="981" customWidth="1"/>
    <col min="4" max="4" width="5.90625" style="981" customWidth="1"/>
    <col min="5" max="5" width="4.453125" style="981" customWidth="1"/>
    <col min="6" max="6" width="5.1796875" style="981" customWidth="1"/>
    <col min="7" max="7" width="9" style="981" customWidth="1"/>
    <col min="8" max="11" width="8.90625" style="981"/>
    <col min="12" max="12" width="14.90625" style="981" customWidth="1"/>
    <col min="13" max="13" width="5.6328125" style="981" customWidth="1"/>
    <col min="14" max="16384" width="8.90625" style="981"/>
  </cols>
  <sheetData>
    <row r="1" spans="1:22" ht="20.399999999999999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37082</v>
      </c>
      <c r="I1" s="914"/>
      <c r="J1" s="916"/>
      <c r="K1" s="916"/>
    </row>
    <row r="2" spans="1:22" ht="16.5" customHeight="1">
      <c r="A2" s="934" t="s">
        <v>641</v>
      </c>
      <c r="C2" s="982">
        <v>376</v>
      </c>
      <c r="F2" s="983">
        <v>378</v>
      </c>
      <c r="H2" s="916"/>
      <c r="I2" s="914" t="s">
        <v>643</v>
      </c>
      <c r="J2" s="936">
        <f>NSG_Supplies!P8/1000</f>
        <v>12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7.82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" customHeight="1">
      <c r="A9" s="936">
        <f>PGL_Supplies!H8/1000</f>
        <v>15</v>
      </c>
      <c r="H9" s="936">
        <f>NSG_Supplies!Q8/1000+NSG_Supplies!F8/1000-NSG_Requirements!H8/1000</f>
        <v>27.183</v>
      </c>
      <c r="I9" s="987"/>
      <c r="K9" s="914" t="s">
        <v>645</v>
      </c>
      <c r="L9" s="936">
        <f>NSG_Deliveries!C6/1000</f>
        <v>35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" customHeight="1">
      <c r="A11" s="936">
        <f>Billy_Sheet!C17</f>
        <v>0</v>
      </c>
      <c r="B11" s="987"/>
      <c r="H11" s="936">
        <f>NSG_Supplies!T8/1000</f>
        <v>0</v>
      </c>
      <c r="K11" s="917" t="s">
        <v>646</v>
      </c>
      <c r="L11" s="942">
        <f>SUM(K4+K17+K19+H11+H9-L9)</f>
        <v>3.0000000000001137E-3</v>
      </c>
      <c r="N11" s="917"/>
      <c r="O11" s="942"/>
      <c r="U11" s="916"/>
      <c r="V11" s="930"/>
    </row>
    <row r="12" spans="1:22" ht="14.4" customHeight="1">
      <c r="A12" s="914" t="s">
        <v>697</v>
      </c>
      <c r="H12" s="936"/>
      <c r="U12" s="916"/>
      <c r="V12" s="936"/>
    </row>
    <row r="13" spans="1:22" ht="14.4" customHeight="1">
      <c r="A13" s="985">
        <f>PGL_Supplies!X8/1000</f>
        <v>95.257999999999996</v>
      </c>
      <c r="H13" s="936"/>
      <c r="U13" s="916"/>
      <c r="V13" s="936"/>
    </row>
    <row r="14" spans="1:22" ht="14.4" customHeight="1">
      <c r="H14" s="936"/>
      <c r="U14" s="916"/>
      <c r="V14" s="936"/>
    </row>
    <row r="15" spans="1:22" ht="15.6" customHeight="1">
      <c r="B15" s="981" t="s">
        <v>9</v>
      </c>
      <c r="C15" s="988">
        <v>378</v>
      </c>
      <c r="F15" s="988">
        <v>378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489</v>
      </c>
      <c r="D18" s="990"/>
      <c r="E18" s="990"/>
      <c r="F18" s="983">
        <v>770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93.939000000000021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48.49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2">
        <v>9.1999999999999993</v>
      </c>
      <c r="H26" s="917"/>
      <c r="I26" s="917"/>
      <c r="J26" s="917" t="s">
        <v>542</v>
      </c>
      <c r="K26" s="995">
        <f>PGL_Deliveries!C6/1000</f>
        <v>205</v>
      </c>
      <c r="L26" s="914" t="s">
        <v>645</v>
      </c>
      <c r="M26" s="936">
        <f>NSG_Deliveries!C6/1000</f>
        <v>35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7.7700000000000102</v>
      </c>
      <c r="L28" s="917" t="s">
        <v>689</v>
      </c>
      <c r="M28" s="942">
        <f>SUM(J2+K17+K19+H11+H9-M26)</f>
        <v>4.1829999999999998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37081</v>
      </c>
      <c r="G29" s="936">
        <f>PGL_Requirements!G7/1000</f>
        <v>83.867000000000004</v>
      </c>
      <c r="H29" s="915"/>
      <c r="J29" s="917" t="s">
        <v>649</v>
      </c>
      <c r="K29" s="936">
        <f>PGL_Supplies!AB8/1000+PGL_Supplies!K8/1000-PGL_Requirements!N8/1000</f>
        <v>62.358000000000004</v>
      </c>
    </row>
    <row r="30" spans="1:17" ht="10.5" customHeight="1">
      <c r="A30" s="919"/>
      <c r="B30" s="936"/>
      <c r="C30" s="917"/>
      <c r="D30" s="936"/>
      <c r="F30" s="1041">
        <f>PGL_Requirements!A8</f>
        <v>37082</v>
      </c>
      <c r="G30" s="936">
        <f>PGL_Requirements!G8/1000</f>
        <v>134.33699999999999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-134.87199999999999</v>
      </c>
    </row>
    <row r="32" spans="1:17">
      <c r="A32" s="936">
        <f>PGL_Supplies!G8/1000</f>
        <v>1</v>
      </c>
      <c r="G32" s="936">
        <f>PGL_Requirements!O8/1000</f>
        <v>63.09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489</v>
      </c>
      <c r="F38" s="988">
        <v>749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205.197</v>
      </c>
      <c r="B40" s="930"/>
      <c r="C40" s="929"/>
      <c r="D40" s="930"/>
      <c r="E40" s="930"/>
      <c r="F40" s="998"/>
      <c r="G40" s="998">
        <f>SUM(G30:G35)</f>
        <v>197.42699999999999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7.7700000000000102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378</v>
      </c>
      <c r="E45" s="1003"/>
      <c r="F45" s="1004">
        <v>6.7000000000000004E-2</v>
      </c>
      <c r="G45" s="1005">
        <f>(C45-D45)*F45</f>
        <v>4.8239999999999998</v>
      </c>
      <c r="H45" s="1005">
        <f>(D45-B45)*F45</f>
        <v>6.9010000000000007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377</v>
      </c>
      <c r="E47" s="1003"/>
      <c r="F47" s="1004">
        <v>0.14099999999999999</v>
      </c>
      <c r="G47" s="1005">
        <f>(C47-D47)*F47</f>
        <v>10.292999999999999</v>
      </c>
      <c r="H47" s="1005">
        <f>(D47-B47)*F47</f>
        <v>14.381999999999998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489</v>
      </c>
      <c r="E48" s="1003"/>
      <c r="F48" s="1004">
        <v>0.161</v>
      </c>
      <c r="G48" s="1005">
        <f>(C48-D48)*F48</f>
        <v>42.021000000000001</v>
      </c>
      <c r="H48" s="1005">
        <f>(D48-B48)*F48</f>
        <v>32.844000000000001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57.137999999999998</v>
      </c>
      <c r="H49" s="1005">
        <f>SUM(H45:H48)</f>
        <v>54.126999999999995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37081</v>
      </c>
      <c r="B5" s="11">
        <v>89</v>
      </c>
      <c r="C5" s="49">
        <v>70</v>
      </c>
      <c r="D5" s="49">
        <v>6.4</v>
      </c>
      <c r="E5" s="11">
        <v>80.099999999999994</v>
      </c>
      <c r="F5" s="11">
        <v>5</v>
      </c>
      <c r="G5" s="11">
        <v>6704</v>
      </c>
      <c r="H5" s="11">
        <v>0</v>
      </c>
      <c r="I5" s="894" t="s">
        <v>809</v>
      </c>
      <c r="J5" s="894" t="s">
        <v>810</v>
      </c>
      <c r="K5" s="11">
        <v>3</v>
      </c>
      <c r="L5" s="11">
        <v>1</v>
      </c>
      <c r="N5" s="15" t="str">
        <f>I5&amp;" "&amp;I5</f>
        <v xml:space="preserve">PARTLY CLOUDY. HIGHS IN THE 80S NEAR THE LAKE TO 90S INLAND WITH LIGHT  PARTLY CLOUDY. HIGHS IN THE 80S NEAR THE LAKE TO 90S INLAND WITH LIGHT </v>
      </c>
      <c r="AE5" s="15">
        <v>1</v>
      </c>
      <c r="AH5" s="15" t="s">
        <v>32</v>
      </c>
    </row>
    <row r="6" spans="1:34" ht="16.5" customHeight="1">
      <c r="A6" s="86">
        <f>A5+1</f>
        <v>37082</v>
      </c>
      <c r="B6" s="11">
        <v>89</v>
      </c>
      <c r="C6" s="49">
        <v>60</v>
      </c>
      <c r="D6" s="49">
        <v>7.5</v>
      </c>
      <c r="E6" s="11" t="s">
        <v>9</v>
      </c>
      <c r="F6" s="11" t="s">
        <v>9</v>
      </c>
      <c r="G6" s="11"/>
      <c r="H6" s="11" t="s">
        <v>9</v>
      </c>
      <c r="I6" s="894" t="s">
        <v>811</v>
      </c>
      <c r="J6" s="894" t="s">
        <v>812</v>
      </c>
      <c r="K6" s="11">
        <v>1</v>
      </c>
      <c r="L6" s="11" t="s">
        <v>590</v>
      </c>
      <c r="N6" s="15" t="str">
        <f>I6&amp;" "&amp;J6</f>
        <v>MOSTLY SUNNY. HIGH 85 TO 90….BUT ONLY IN THE LOWER 80S NEAR THE LAKE. TONIGHT MOSTLY CLEAR. LOW IN THE LOWER 60S.</v>
      </c>
      <c r="AE6" s="15">
        <v>1</v>
      </c>
      <c r="AH6" s="15" t="s">
        <v>33</v>
      </c>
    </row>
    <row r="7" spans="1:34" ht="16.5" customHeight="1">
      <c r="A7" s="86">
        <f>A6+1</f>
        <v>37083</v>
      </c>
      <c r="B7" s="11">
        <v>78</v>
      </c>
      <c r="C7" s="49">
        <v>58</v>
      </c>
      <c r="D7" s="49">
        <v>10</v>
      </c>
      <c r="E7" s="11" t="s">
        <v>9</v>
      </c>
      <c r="F7" s="11" t="s">
        <v>9</v>
      </c>
      <c r="G7" s="11"/>
      <c r="H7" s="11" t="s">
        <v>9</v>
      </c>
      <c r="I7" s="894" t="s">
        <v>813</v>
      </c>
      <c r="J7" s="894" t="s">
        <v>814</v>
      </c>
      <c r="K7" s="11">
        <v>1</v>
      </c>
      <c r="L7" s="11" t="s">
        <v>20</v>
      </c>
      <c r="N7" s="15" t="str">
        <f>I7&amp;" "&amp;J7</f>
        <v>SUNNY,,,,COOLER AND LESS HUMID, WITH A HIGH AROUND LOWER 80S. MOSTLY  CLEAR  AND LOW IN THE LOWER 60S .</v>
      </c>
    </row>
    <row r="8" spans="1:34" ht="16.5" customHeight="1">
      <c r="A8" s="86">
        <f>A7+1</f>
        <v>37084</v>
      </c>
      <c r="B8" s="11">
        <v>72</v>
      </c>
      <c r="C8" s="49">
        <v>55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94" t="s">
        <v>815</v>
      </c>
      <c r="J8" s="894" t="s">
        <v>9</v>
      </c>
      <c r="K8" s="11">
        <v>1</v>
      </c>
      <c r="L8" s="11"/>
      <c r="N8" s="15" t="str">
        <f>I8&amp;" "&amp;J8</f>
        <v xml:space="preserve">SUNNY,,,,  HIGH AROUND 80.  </v>
      </c>
    </row>
    <row r="9" spans="1:34" ht="16.5" customHeight="1">
      <c r="A9" s="86">
        <f>A8+1</f>
        <v>37085</v>
      </c>
      <c r="B9" s="11">
        <v>75</v>
      </c>
      <c r="C9" s="49">
        <v>57</v>
      </c>
      <c r="D9" s="49">
        <v>6</v>
      </c>
      <c r="E9" s="11" t="s">
        <v>9</v>
      </c>
      <c r="F9" s="11" t="s">
        <v>9</v>
      </c>
      <c r="G9" s="11"/>
      <c r="H9" s="11" t="s">
        <v>9</v>
      </c>
      <c r="I9" s="894" t="s">
        <v>816</v>
      </c>
      <c r="J9" s="894" t="s">
        <v>9</v>
      </c>
      <c r="K9" s="11">
        <v>1</v>
      </c>
      <c r="L9" s="11">
        <v>0</v>
      </c>
      <c r="M9" s="87"/>
      <c r="N9" s="15" t="str">
        <f>I9&amp;" "&amp;J9</f>
        <v xml:space="preserve">SUNNY,,, LOW IN THE MIDDLE 50S . HIGH AROUND 80.  </v>
      </c>
    </row>
    <row r="10" spans="1:34" ht="16.5" customHeight="1">
      <c r="A10" s="86">
        <f>A9+1</f>
        <v>37086</v>
      </c>
      <c r="B10" s="11">
        <v>84</v>
      </c>
      <c r="C10" s="49">
        <v>64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894" t="s">
        <v>817</v>
      </c>
      <c r="J10" s="894" t="s">
        <v>9</v>
      </c>
      <c r="K10" s="11">
        <v>3</v>
      </c>
      <c r="L10" s="11" t="s">
        <v>392</v>
      </c>
      <c r="N10" s="15" t="str">
        <f>I10&amp;" "&amp;J10</f>
        <v xml:space="preserve">PARTLY CLOUDY, LOW NEAR 60. HIGH 80 TO 85.  </v>
      </c>
    </row>
    <row r="11" spans="1:34" ht="16.5" customHeight="1">
      <c r="G11"/>
    </row>
    <row r="12" spans="1:34" ht="15.6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542</v>
      </c>
      <c r="B2" s="183">
        <f>PGL_Deliveries!U5/1000</f>
        <v>199.06399999999999</v>
      </c>
      <c r="C2" s="60"/>
      <c r="D2" s="118" t="s">
        <v>310</v>
      </c>
      <c r="E2" s="421">
        <f>Weather_Input!A5</f>
        <v>37081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6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2E-3</v>
      </c>
      <c r="F5" s="168"/>
      <c r="H5"/>
      <c r="I5"/>
      <c r="J5"/>
      <c r="K5"/>
      <c r="L5"/>
      <c r="M5"/>
    </row>
    <row r="6" spans="1:13" ht="15.6" thickBot="1">
      <c r="A6" s="179" t="s">
        <v>240</v>
      </c>
      <c r="B6" s="151">
        <f>PGL_Deliveries!I5/1000</f>
        <v>149.89099999999999</v>
      </c>
      <c r="C6" s="166"/>
      <c r="D6" s="59" t="s">
        <v>545</v>
      </c>
      <c r="E6" s="151">
        <f>PGL_Deliveries!P5/1000</f>
        <v>0.72399999999999998</v>
      </c>
      <c r="F6" s="168"/>
      <c r="H6"/>
      <c r="I6"/>
      <c r="J6"/>
      <c r="K6"/>
      <c r="L6"/>
      <c r="M6"/>
    </row>
    <row r="7" spans="1:13" ht="16.2" thickBot="1">
      <c r="A7" s="178" t="s">
        <v>548</v>
      </c>
      <c r="B7" s="224">
        <f>SUM(B5:B6)</f>
        <v>149.89099999999999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100.59699999999999</v>
      </c>
      <c r="C8" s="626"/>
      <c r="D8" s="115" t="s">
        <v>547</v>
      </c>
      <c r="E8" s="151">
        <f>PGL_Deliveries!N5/1000</f>
        <v>1.2050000000000001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0.25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1.0980000000000001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31.087</v>
      </c>
      <c r="C11" s="63"/>
      <c r="D11" s="115" t="s">
        <v>549</v>
      </c>
      <c r="E11" s="151">
        <f>PGL_Deliveries!R5/1000</f>
        <v>3.6469999999999998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1.0999999999999999E-2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92.549999999999955</v>
      </c>
      <c r="C13" s="63"/>
      <c r="D13" s="115" t="s">
        <v>205</v>
      </c>
      <c r="E13" s="151">
        <f>PGL_Deliveries!F5/1000</f>
        <v>4.3920000000000003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7.915</v>
      </c>
      <c r="C14" s="63"/>
      <c r="D14" s="115" t="s">
        <v>206</v>
      </c>
      <c r="E14" s="151">
        <f>PGL_Deliveries!H5/1000</f>
        <v>36.338000000000001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-66.838000000000008</v>
      </c>
      <c r="C15" s="63"/>
      <c r="D15" s="59" t="s">
        <v>380</v>
      </c>
      <c r="E15" s="151">
        <f>PGL_Deliveries!K5/1000</f>
        <v>1.2999999999999999E-2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15.42</v>
      </c>
      <c r="D16" s="115" t="s">
        <v>209</v>
      </c>
      <c r="E16" s="151">
        <f>PGL_Deliveries!L5/1000</f>
        <v>1E-3</v>
      </c>
      <c r="F16" s="168"/>
      <c r="H16"/>
      <c r="I16"/>
      <c r="J16"/>
      <c r="K16"/>
      <c r="L16"/>
      <c r="M16"/>
    </row>
    <row r="17" spans="1:13" ht="15.6" thickBot="1">
      <c r="A17" s="167" t="s">
        <v>172</v>
      </c>
      <c r="B17" s="151">
        <f>PGL_Deliveries!AP5/1000</f>
        <v>0</v>
      </c>
      <c r="C17" s="166" t="s">
        <v>9</v>
      </c>
      <c r="D17" s="1086" t="s">
        <v>208</v>
      </c>
      <c r="E17" s="207">
        <f>PGL_Deliveries!M5/1000</f>
        <v>1.492</v>
      </c>
      <c r="F17" s="164"/>
      <c r="H17"/>
      <c r="I17"/>
      <c r="J17"/>
      <c r="K17"/>
      <c r="L17"/>
      <c r="M17"/>
    </row>
    <row r="18" spans="1:13" ht="16.2" thickBot="1">
      <c r="A18" s="177" t="s">
        <v>553</v>
      </c>
      <c r="B18" s="888">
        <f>SUM(B8:B17)-C16</f>
        <v>149.89099999999993</v>
      </c>
      <c r="C18" s="166"/>
      <c r="D18" s="176" t="s">
        <v>554</v>
      </c>
      <c r="E18" s="175">
        <f>SUM(E5:E17)</f>
        <v>49.172999999999995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100.583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</v>
      </c>
      <c r="C20" s="63"/>
      <c r="D20" s="115" t="s">
        <v>175</v>
      </c>
      <c r="E20" s="151">
        <f>PGL_Deliveries!AW5/1000+B40</f>
        <v>1.0196999999999998</v>
      </c>
      <c r="F20" s="168"/>
      <c r="H20"/>
      <c r="I20"/>
      <c r="J20"/>
      <c r="K20"/>
      <c r="L20"/>
      <c r="M20"/>
    </row>
    <row r="21" spans="1:13" ht="16.2" thickBot="1">
      <c r="A21" s="169" t="s">
        <v>701</v>
      </c>
      <c r="C21" s="173">
        <f>PGL_Requirements!I7/1000</f>
        <v>0</v>
      </c>
      <c r="D21" s="625" t="s">
        <v>555</v>
      </c>
      <c r="E21" s="208">
        <f>SUM(E18:E20)</f>
        <v>50.192699999999995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100.583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PGL_Deliveries!AQ5/1000</f>
        <v>0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22.777999999999999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3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27.414999999999999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7.915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PGL_Deliveries!AU5/1000</f>
        <v>67.98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2" thickBot="1">
      <c r="A39" s="169" t="s">
        <v>195</v>
      </c>
      <c r="B39" s="151">
        <f>PGL_Deliveries!AT5/1000</f>
        <v>1.6719999999999999</v>
      </c>
      <c r="C39" s="63"/>
      <c r="D39" s="209" t="s">
        <v>210</v>
      </c>
      <c r="E39" s="208">
        <f>SUM(E22:E33)-SUM(F23:F38)-E29</f>
        <v>50.192999999999998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48.49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PGL_Deliveries!AF5/1000</f>
        <v>0</v>
      </c>
      <c r="C41" s="63"/>
      <c r="D41" s="246" t="s">
        <v>498</v>
      </c>
      <c r="E41" s="795">
        <f>PGL_Supplies!AA7/1000</f>
        <v>178.846</v>
      </c>
      <c r="F41" s="168"/>
      <c r="H41"/>
      <c r="I41"/>
      <c r="J41"/>
      <c r="K41"/>
      <c r="L41"/>
      <c r="M41"/>
    </row>
    <row r="42" spans="1:13" ht="15">
      <c r="A42" s="1" t="s">
        <v>793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1.0196999999999998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6" thickBot="1">
      <c r="A44" s="169" t="s">
        <v>694</v>
      </c>
      <c r="B44" s="165"/>
      <c r="C44" s="222">
        <f>PGL_Requirements!Q7/1000</f>
        <v>0.53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89</v>
      </c>
      <c r="C45" s="182"/>
      <c r="D45" s="60" t="s">
        <v>587</v>
      </c>
      <c r="E45" s="795">
        <f>PGL_Supplies!S7/1000</f>
        <v>0.33200000000000002</v>
      </c>
      <c r="F45" s="168"/>
    </row>
    <row r="46" spans="1:13" ht="15">
      <c r="A46" s="169" t="s">
        <v>580</v>
      </c>
      <c r="B46" s="234">
        <f>Weather_Input!C5</f>
        <v>70</v>
      </c>
      <c r="C46" s="159"/>
      <c r="D46" s="72" t="s">
        <v>791</v>
      </c>
      <c r="E46" s="60"/>
      <c r="F46" s="173">
        <f>PGL_Deliveries!BE5/1000</f>
        <v>83.867000000000004</v>
      </c>
    </row>
    <row r="47" spans="1:13" ht="15">
      <c r="A47" s="170" t="s">
        <v>581</v>
      </c>
      <c r="B47" s="60">
        <f>Weather_Input!E5</f>
        <v>80.099999999999994</v>
      </c>
      <c r="C47" s="159"/>
      <c r="D47" s="769" t="s">
        <v>792</v>
      </c>
      <c r="E47" s="67"/>
      <c r="F47" s="1246">
        <f>PGL_Deliveries!BF5/1000</f>
        <v>48.49</v>
      </c>
    </row>
    <row r="48" spans="1:13" ht="15">
      <c r="A48" s="169" t="s">
        <v>582</v>
      </c>
      <c r="B48" s="223">
        <f>Weather_Input!D5</f>
        <v>6.4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1.026</v>
      </c>
      <c r="C49" s="159"/>
      <c r="D49" s="60" t="s">
        <v>727</v>
      </c>
      <c r="E49" s="151">
        <f>PGL_Deliveries!AJ5/1000</f>
        <v>18.620999999999999</v>
      </c>
      <c r="F49" s="158"/>
    </row>
    <row r="50" spans="1:6" ht="15.6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12.465999999999999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60" t="s">
        <v>4</v>
      </c>
      <c r="B3" s="239">
        <f>NSG_Deliveries!H5/1000</f>
        <v>33.313000000000002</v>
      </c>
      <c r="C3" s="117"/>
      <c r="D3" s="226" t="s">
        <v>310</v>
      </c>
      <c r="E3" s="424">
        <f>Weather_Input!A5</f>
        <v>37081</v>
      </c>
      <c r="F3" s="117"/>
      <c r="G3"/>
      <c r="J3"/>
      <c r="K3"/>
    </row>
    <row r="4" spans="1:11" ht="15.6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27.425999999999998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27.425999999999998</v>
      </c>
      <c r="C8" s="158"/>
      <c r="D8" s="806" t="s">
        <v>603</v>
      </c>
      <c r="E8" s="800">
        <f>NSG_Deliveries!F5/1000</f>
        <v>5.8869999999999996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6.1130000000000004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12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28.4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0.97399999999999998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0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27.425999999999998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87" customWidth="1"/>
    <col min="3" max="3" width="20.63281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336</v>
      </c>
      <c r="B1" s="51">
        <f>Weather_Input!A5</f>
        <v>37081</v>
      </c>
      <c r="C1" s="4"/>
    </row>
    <row r="2" spans="1:19">
      <c r="A2" s="109" t="s">
        <v>337</v>
      </c>
      <c r="B2" s="4"/>
      <c r="C2" s="4"/>
    </row>
    <row r="3" spans="1:19" ht="15.6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37080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103583</v>
      </c>
      <c r="O6" s="201">
        <v>0</v>
      </c>
      <c r="P6" s="201">
        <v>53998387</v>
      </c>
      <c r="Q6" s="201">
        <v>15045098</v>
      </c>
      <c r="R6" s="201">
        <v>38953289</v>
      </c>
      <c r="S6" s="201">
        <v>0</v>
      </c>
    </row>
    <row r="7" spans="1:19">
      <c r="A7" s="4">
        <f>B1</f>
        <v>37081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95668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54094055</v>
      </c>
      <c r="Q7">
        <f>IF(O7&gt;0,Q6+O7,Q6)</f>
        <v>15045098</v>
      </c>
      <c r="R7">
        <f>IF(P7&gt;Q7,P7-Q7,0)</f>
        <v>39048957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B1" zoomScale="75" workbookViewId="0">
      <selection activeCell="AN5" sqref="AN5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  <col min="59" max="59" width="4.8164062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795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794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796</v>
      </c>
      <c r="BI4" s="1" t="s">
        <v>797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37081</v>
      </c>
      <c r="B5" s="1">
        <f>(Weather_Input!B5+Weather_Input!C5)/2</f>
        <v>79.5</v>
      </c>
      <c r="C5" s="895">
        <v>206000</v>
      </c>
      <c r="D5" s="896">
        <v>0</v>
      </c>
      <c r="E5" s="896">
        <v>0</v>
      </c>
      <c r="F5" s="896">
        <v>4392</v>
      </c>
      <c r="G5" s="896">
        <v>11</v>
      </c>
      <c r="H5" s="896">
        <v>36338</v>
      </c>
      <c r="I5" s="896">
        <v>149891</v>
      </c>
      <c r="J5" s="896">
        <v>0</v>
      </c>
      <c r="K5" s="896">
        <v>13</v>
      </c>
      <c r="L5" s="896">
        <v>1</v>
      </c>
      <c r="M5" s="896">
        <v>1492</v>
      </c>
      <c r="N5" s="896">
        <v>1205</v>
      </c>
      <c r="O5" s="896">
        <v>2</v>
      </c>
      <c r="P5" s="896">
        <v>724</v>
      </c>
      <c r="Q5" s="896">
        <v>250</v>
      </c>
      <c r="R5" s="896">
        <v>3647</v>
      </c>
      <c r="S5" s="901">
        <v>1098</v>
      </c>
      <c r="T5" s="1085">
        <v>0</v>
      </c>
      <c r="U5" s="895">
        <f>SUM(D5:S5)-T5</f>
        <v>199064</v>
      </c>
      <c r="V5" s="895">
        <v>100597</v>
      </c>
      <c r="W5" s="11">
        <v>0</v>
      </c>
      <c r="X5" s="11">
        <v>0</v>
      </c>
      <c r="Y5" s="11">
        <v>0</v>
      </c>
      <c r="Z5" s="11">
        <v>91081</v>
      </c>
      <c r="AA5" s="11">
        <v>133826</v>
      </c>
      <c r="AB5" s="11">
        <v>0</v>
      </c>
      <c r="AC5" s="11">
        <v>0</v>
      </c>
      <c r="AD5" s="11">
        <v>7915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18621</v>
      </c>
      <c r="AK5" s="11">
        <v>12466</v>
      </c>
      <c r="AL5" s="11">
        <v>0</v>
      </c>
      <c r="AM5" s="1">
        <v>1026</v>
      </c>
      <c r="AN5" s="1"/>
      <c r="AO5" s="1">
        <v>15420</v>
      </c>
      <c r="AP5" s="1">
        <v>0</v>
      </c>
      <c r="AQ5" s="1">
        <v>0</v>
      </c>
      <c r="AR5" s="1">
        <v>22778</v>
      </c>
      <c r="AS5" s="1">
        <v>0</v>
      </c>
      <c r="AT5" s="1">
        <v>1672</v>
      </c>
      <c r="AU5" s="1">
        <v>67980</v>
      </c>
      <c r="AV5" s="1">
        <v>530</v>
      </c>
      <c r="AW5" s="622">
        <f>AU5*0.015</f>
        <v>1019.6999999999999</v>
      </c>
      <c r="AX5" s="1">
        <v>0</v>
      </c>
      <c r="AY5" s="1"/>
      <c r="AZ5" s="1">
        <v>2922</v>
      </c>
      <c r="BA5" s="1">
        <v>6286</v>
      </c>
      <c r="BB5" s="1">
        <v>0</v>
      </c>
      <c r="BC5" s="1">
        <v>0</v>
      </c>
      <c r="BD5" s="1"/>
      <c r="BE5" s="1">
        <v>83867</v>
      </c>
      <c r="BF5" s="1">
        <v>48490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37082</v>
      </c>
      <c r="B6" s="913">
        <f>(Weather_Input!B6+Weather_Input!C6)/2</f>
        <v>74.5</v>
      </c>
      <c r="C6" s="895">
        <v>205000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37083</v>
      </c>
      <c r="B7" s="913">
        <f>(Weather_Input!B7+Weather_Input!C7)/2</f>
        <v>68</v>
      </c>
      <c r="C7" s="895">
        <v>205000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37084</v>
      </c>
      <c r="B8" s="913">
        <f>(Weather_Input!B8+Weather_Input!C8)/2</f>
        <v>63.5</v>
      </c>
      <c r="C8" s="895">
        <v>205000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37085</v>
      </c>
      <c r="B9" s="913">
        <f>(Weather_Input!B9+Weather_Input!C9)/2</f>
        <v>66</v>
      </c>
      <c r="C9" s="895">
        <v>190000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37086</v>
      </c>
      <c r="B10" s="913">
        <f>(Weather_Input!B10+Weather_Input!C10)/2</f>
        <v>74</v>
      </c>
      <c r="C10" s="895">
        <v>180000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E1" zoomScale="75" workbookViewId="0">
      <selection activeCell="I6" sqref="I6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37081</v>
      </c>
      <c r="B5" s="1">
        <f>(Weather_Input!B5+Weather_Input!C5)/2</f>
        <v>79.5</v>
      </c>
      <c r="C5" s="895">
        <v>34500</v>
      </c>
      <c r="D5" s="895">
        <v>0</v>
      </c>
      <c r="E5" s="895">
        <v>27426</v>
      </c>
      <c r="F5" s="895">
        <v>5887</v>
      </c>
      <c r="G5" s="895">
        <v>0</v>
      </c>
      <c r="H5" s="903">
        <f>SUM(D5:G5)</f>
        <v>33313</v>
      </c>
      <c r="I5" s="1">
        <v>1004</v>
      </c>
      <c r="J5" s="1" t="s">
        <v>9</v>
      </c>
      <c r="K5" s="1">
        <v>974</v>
      </c>
      <c r="L5" s="1">
        <v>0</v>
      </c>
      <c r="M5" s="1">
        <v>6113</v>
      </c>
      <c r="N5" s="1">
        <v>0</v>
      </c>
    </row>
    <row r="6" spans="1:14">
      <c r="A6" s="12">
        <f>A5+1</f>
        <v>37082</v>
      </c>
      <c r="B6" s="913">
        <f>(Weather_Input!B6+Weather_Input!C6)/2</f>
        <v>74.5</v>
      </c>
      <c r="C6" s="895">
        <v>35000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37083</v>
      </c>
      <c r="B7" s="913">
        <f>(Weather_Input!B7+Weather_Input!C7)/2</f>
        <v>68</v>
      </c>
      <c r="C7" s="895">
        <v>35000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37084</v>
      </c>
      <c r="B8" s="913">
        <f>(Weather_Input!B8+Weather_Input!C8)/2</f>
        <v>63.5</v>
      </c>
      <c r="C8" s="895">
        <v>35000</v>
      </c>
      <c r="D8" s="898" t="s">
        <v>9</v>
      </c>
      <c r="E8" s="898"/>
      <c r="F8" s="898"/>
      <c r="G8" s="898"/>
      <c r="H8" s="15"/>
    </row>
    <row r="9" spans="1:14">
      <c r="A9" s="12">
        <f>A8+1</f>
        <v>37085</v>
      </c>
      <c r="B9" s="913">
        <f>(Weather_Input!B9+Weather_Input!C9)/2</f>
        <v>66</v>
      </c>
      <c r="C9" s="895">
        <v>33000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37086</v>
      </c>
      <c r="B10" s="913">
        <f>(Weather_Input!B10+Weather_Input!C10)/2</f>
        <v>74</v>
      </c>
      <c r="C10" s="895">
        <v>31000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topLeftCell="M1" zoomScale="75" workbookViewId="0">
      <selection activeCell="X7" sqref="X7"/>
    </sheetView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108">
        <v>1</v>
      </c>
      <c r="H4" s="3" t="s">
        <v>1</v>
      </c>
      <c r="I4" s="3" t="s">
        <v>703</v>
      </c>
      <c r="J4" s="3" t="s">
        <v>679</v>
      </c>
      <c r="L4" s="3" t="s">
        <v>785</v>
      </c>
      <c r="M4" s="3" t="s">
        <v>804</v>
      </c>
      <c r="N4" s="58"/>
      <c r="O4" s="65"/>
      <c r="P4" s="65"/>
      <c r="T4" s="1238" t="s">
        <v>798</v>
      </c>
      <c r="U4" s="1053"/>
      <c r="V4" s="1203" t="s">
        <v>762</v>
      </c>
      <c r="W4" s="1204"/>
      <c r="X4" s="1205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3.2">
      <c r="B5" s="66" t="s">
        <v>90</v>
      </c>
      <c r="E5" s="247"/>
      <c r="F5" s="66" t="s">
        <v>9</v>
      </c>
      <c r="G5" s="792" t="s">
        <v>783</v>
      </c>
      <c r="H5" s="107" t="s">
        <v>675</v>
      </c>
      <c r="I5" s="54" t="s">
        <v>695</v>
      </c>
      <c r="J5" s="3" t="s">
        <v>732</v>
      </c>
      <c r="L5" s="3" t="s">
        <v>786</v>
      </c>
      <c r="M5" s="56" t="s">
        <v>805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3.2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784</v>
      </c>
      <c r="H6" s="1011" t="s">
        <v>676</v>
      </c>
      <c r="I6" s="54" t="s">
        <v>702</v>
      </c>
      <c r="J6" s="54" t="s">
        <v>731</v>
      </c>
      <c r="K6" s="54" t="s">
        <v>778</v>
      </c>
      <c r="L6" s="54" t="s">
        <v>67</v>
      </c>
      <c r="M6" s="54" t="s">
        <v>803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780</v>
      </c>
      <c r="U6" s="68" t="s">
        <v>799</v>
      </c>
      <c r="V6" s="1206" t="s">
        <v>764</v>
      </c>
      <c r="W6" s="1206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3.2">
      <c r="A7" s="819">
        <f>Weather_Input!A5</f>
        <v>37081</v>
      </c>
      <c r="B7" s="904">
        <v>0</v>
      </c>
      <c r="C7" s="620">
        <v>0</v>
      </c>
      <c r="D7" s="620">
        <v>0</v>
      </c>
      <c r="E7" s="904">
        <v>0</v>
      </c>
      <c r="F7" s="904">
        <v>15420</v>
      </c>
      <c r="G7" s="906">
        <v>83867</v>
      </c>
      <c r="H7" s="619">
        <v>0</v>
      </c>
      <c r="I7" s="619">
        <v>0</v>
      </c>
      <c r="J7" s="620">
        <v>48490</v>
      </c>
      <c r="K7" s="619">
        <v>0</v>
      </c>
      <c r="L7" s="620">
        <v>0</v>
      </c>
      <c r="M7" s="620">
        <v>0</v>
      </c>
      <c r="N7" s="621">
        <v>0</v>
      </c>
      <c r="O7" s="620">
        <v>67980</v>
      </c>
      <c r="P7" s="622">
        <f t="shared" ref="P7:P12" si="0">O7*0.015</f>
        <v>1019.6999999999999</v>
      </c>
      <c r="Q7" s="620">
        <v>530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3.2">
      <c r="A8" s="819">
        <f>A7+1</f>
        <v>37082</v>
      </c>
      <c r="B8" s="904">
        <v>0</v>
      </c>
      <c r="C8" s="620">
        <v>0</v>
      </c>
      <c r="D8" s="620">
        <v>0</v>
      </c>
      <c r="E8" s="904">
        <v>3000</v>
      </c>
      <c r="F8" s="904">
        <v>0</v>
      </c>
      <c r="G8" s="906">
        <v>134337</v>
      </c>
      <c r="H8" s="619">
        <v>0</v>
      </c>
      <c r="I8" s="619">
        <v>0</v>
      </c>
      <c r="J8" s="620">
        <v>45000</v>
      </c>
      <c r="K8" s="619">
        <v>0</v>
      </c>
      <c r="L8" s="620">
        <v>0</v>
      </c>
      <c r="M8" s="620">
        <v>0</v>
      </c>
      <c r="N8" s="621">
        <v>0</v>
      </c>
      <c r="O8" s="620">
        <v>63090</v>
      </c>
      <c r="P8" s="622">
        <f t="shared" si="0"/>
        <v>946.34999999999991</v>
      </c>
      <c r="Q8" s="620">
        <v>690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3.2">
      <c r="A9" s="819">
        <f>A8+1</f>
        <v>37083</v>
      </c>
      <c r="B9" s="904">
        <v>0</v>
      </c>
      <c r="C9" s="620">
        <v>0</v>
      </c>
      <c r="D9" s="620">
        <v>0</v>
      </c>
      <c r="E9" s="904">
        <v>3000</v>
      </c>
      <c r="F9" s="904">
        <v>0</v>
      </c>
      <c r="G9" s="906">
        <v>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132000</v>
      </c>
      <c r="P9" s="622">
        <f t="shared" si="0"/>
        <v>1980</v>
      </c>
      <c r="Q9" s="620">
        <v>690</v>
      </c>
      <c r="R9" s="620">
        <v>0</v>
      </c>
      <c r="S9" s="620">
        <v>0</v>
      </c>
      <c r="T9" s="619">
        <v>200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3.2">
      <c r="A10" s="819">
        <f>A9+1</f>
        <v>37084</v>
      </c>
      <c r="B10" s="904">
        <v>0</v>
      </c>
      <c r="C10" s="620">
        <v>0</v>
      </c>
      <c r="D10" s="620">
        <v>0</v>
      </c>
      <c r="E10" s="904">
        <v>3000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132000</v>
      </c>
      <c r="P10" s="622">
        <f t="shared" si="0"/>
        <v>1980</v>
      </c>
      <c r="Q10" s="620">
        <v>690</v>
      </c>
      <c r="R10" s="620">
        <v>0</v>
      </c>
      <c r="S10" s="620">
        <v>0</v>
      </c>
      <c r="T10" s="619">
        <v>200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3.2">
      <c r="A11" s="819">
        <f>A10+1</f>
        <v>37085</v>
      </c>
      <c r="B11" s="904">
        <v>0</v>
      </c>
      <c r="C11" s="620">
        <v>0</v>
      </c>
      <c r="D11" s="620">
        <v>0</v>
      </c>
      <c r="E11" s="904">
        <v>3000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132000</v>
      </c>
      <c r="P11" s="622">
        <f t="shared" si="0"/>
        <v>1980</v>
      </c>
      <c r="Q11" s="620">
        <v>690</v>
      </c>
      <c r="R11" s="620">
        <v>0</v>
      </c>
      <c r="S11" s="620">
        <v>0</v>
      </c>
      <c r="T11" s="619">
        <v>200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3.2">
      <c r="A12" s="819">
        <f>A11+1</f>
        <v>37086</v>
      </c>
      <c r="B12" s="904">
        <v>0</v>
      </c>
      <c r="C12" s="620">
        <v>0</v>
      </c>
      <c r="D12" s="620">
        <v>0</v>
      </c>
      <c r="E12" s="904">
        <v>3000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132000</v>
      </c>
      <c r="P12" s="622">
        <f t="shared" si="0"/>
        <v>1980</v>
      </c>
      <c r="Q12" s="620">
        <v>690</v>
      </c>
      <c r="R12" s="620">
        <v>0</v>
      </c>
      <c r="S12" s="620">
        <v>0</v>
      </c>
      <c r="T12" s="619">
        <v>200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topLeftCell="H1" zoomScale="75" workbookViewId="0">
      <selection activeCell="R7" sqref="R7"/>
    </sheetView>
  </sheetViews>
  <sheetFormatPr defaultColWidth="8.81640625" defaultRowHeight="13.2"/>
  <cols>
    <col min="1" max="15" width="8.81640625" style="1" customWidth="1"/>
    <col min="16" max="16" width="9.54296875" style="1" customWidth="1"/>
    <col min="17" max="18" width="8.81640625" style="1" customWidth="1"/>
    <col min="19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804</v>
      </c>
      <c r="Q4" s="1238" t="s">
        <v>782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802</v>
      </c>
      <c r="N5" s="3" t="s">
        <v>9</v>
      </c>
      <c r="O5" s="3" t="s">
        <v>9</v>
      </c>
      <c r="P5" s="3" t="s">
        <v>6</v>
      </c>
      <c r="Q5" s="107" t="s">
        <v>780</v>
      </c>
      <c r="R5" s="1239" t="s">
        <v>781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803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  <c r="AE6" s="819"/>
    </row>
    <row r="7" spans="1:36">
      <c r="A7" s="819">
        <f>Weather_Input!A5</f>
        <v>37081</v>
      </c>
      <c r="B7" s="622">
        <v>0</v>
      </c>
      <c r="C7" s="622">
        <v>0</v>
      </c>
      <c r="D7" s="622">
        <v>0</v>
      </c>
      <c r="E7" s="622">
        <v>0</v>
      </c>
      <c r="F7" s="904">
        <v>5000</v>
      </c>
      <c r="G7" s="620">
        <v>1000</v>
      </c>
      <c r="H7" s="620">
        <v>15000</v>
      </c>
      <c r="I7" s="620">
        <v>0</v>
      </c>
      <c r="J7" s="907">
        <v>0</v>
      </c>
      <c r="K7" s="621">
        <v>22778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41">
        <v>332</v>
      </c>
      <c r="T7" s="620">
        <v>0</v>
      </c>
      <c r="U7" s="621">
        <v>128802</v>
      </c>
      <c r="V7" s="621">
        <v>0</v>
      </c>
      <c r="W7" s="619">
        <v>0</v>
      </c>
      <c r="X7" s="907">
        <v>100583</v>
      </c>
      <c r="Y7" s="621">
        <v>200</v>
      </c>
      <c r="Z7" s="1">
        <v>0</v>
      </c>
      <c r="AA7" s="619">
        <v>178846</v>
      </c>
      <c r="AB7" s="619">
        <v>27415</v>
      </c>
      <c r="AC7" s="619">
        <v>3000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37082</v>
      </c>
      <c r="B8" s="622">
        <v>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29800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41">
        <v>40000</v>
      </c>
      <c r="T8" s="620">
        <v>0</v>
      </c>
      <c r="U8" s="621">
        <v>119884</v>
      </c>
      <c r="V8" s="621">
        <v>0</v>
      </c>
      <c r="W8" s="619">
        <v>0</v>
      </c>
      <c r="X8" s="907">
        <v>95258</v>
      </c>
      <c r="Y8" s="621">
        <v>200</v>
      </c>
      <c r="Z8" s="1">
        <v>0</v>
      </c>
      <c r="AA8" s="619">
        <v>188276</v>
      </c>
      <c r="AB8" s="619">
        <v>32558</v>
      </c>
      <c r="AC8" s="619">
        <v>3000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37083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41">
        <v>10000</v>
      </c>
      <c r="T9" s="620">
        <v>0</v>
      </c>
      <c r="U9" s="621">
        <v>119884</v>
      </c>
      <c r="V9" s="621">
        <v>0</v>
      </c>
      <c r="W9" s="619">
        <v>0</v>
      </c>
      <c r="X9" s="907">
        <v>95258</v>
      </c>
      <c r="Y9" s="621">
        <v>200</v>
      </c>
      <c r="Z9" s="1">
        <v>0</v>
      </c>
      <c r="AA9" s="619">
        <v>188276</v>
      </c>
      <c r="AB9" s="619">
        <v>32558</v>
      </c>
      <c r="AC9" s="619">
        <v>3000</v>
      </c>
      <c r="AD9" s="907">
        <v>0</v>
      </c>
      <c r="AE9" s="819">
        <f t="shared" si="0"/>
        <v>3</v>
      </c>
    </row>
    <row r="10" spans="1:36">
      <c r="A10" s="819">
        <f>A9+1</f>
        <v>37084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41">
        <v>0</v>
      </c>
      <c r="T10" s="620">
        <v>0</v>
      </c>
      <c r="U10" s="621">
        <v>119884</v>
      </c>
      <c r="V10" s="621">
        <v>0</v>
      </c>
      <c r="W10" s="619">
        <v>0</v>
      </c>
      <c r="X10" s="907">
        <v>95258</v>
      </c>
      <c r="Y10" s="621">
        <v>200</v>
      </c>
      <c r="Z10" s="1">
        <v>0</v>
      </c>
      <c r="AA10" s="619">
        <v>188276</v>
      </c>
      <c r="AB10" s="619">
        <v>32558</v>
      </c>
      <c r="AC10" s="619">
        <v>3000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37085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41">
        <v>0</v>
      </c>
      <c r="T11" s="620">
        <v>0</v>
      </c>
      <c r="U11" s="621">
        <v>119884</v>
      </c>
      <c r="V11" s="621">
        <v>0</v>
      </c>
      <c r="W11" s="619">
        <v>0</v>
      </c>
      <c r="X11" s="907">
        <v>95258</v>
      </c>
      <c r="Y11" s="621">
        <v>200</v>
      </c>
      <c r="Z11" s="1">
        <v>0</v>
      </c>
      <c r="AA11" s="619">
        <v>188276</v>
      </c>
      <c r="AB11" s="619">
        <v>32558</v>
      </c>
      <c r="AC11" s="619">
        <v>3000</v>
      </c>
      <c r="AD11" s="907">
        <v>0</v>
      </c>
      <c r="AE11" s="819">
        <f t="shared" si="0"/>
        <v>5</v>
      </c>
    </row>
    <row r="12" spans="1:36">
      <c r="A12" s="819">
        <f>A11+1</f>
        <v>37086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41">
        <v>0</v>
      </c>
      <c r="T12" s="620">
        <v>0</v>
      </c>
      <c r="U12" s="621">
        <v>119884</v>
      </c>
      <c r="V12" s="621">
        <v>0</v>
      </c>
      <c r="W12" s="619">
        <v>0</v>
      </c>
      <c r="X12" s="907">
        <v>95258</v>
      </c>
      <c r="Y12" s="621">
        <v>200</v>
      </c>
      <c r="Z12" s="1">
        <v>0</v>
      </c>
      <c r="AA12" s="619">
        <v>188276</v>
      </c>
      <c r="AB12" s="619">
        <v>32558</v>
      </c>
      <c r="AC12" s="619">
        <v>3000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4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I7" sqref="I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3.2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3.2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3.2">
      <c r="A7" s="820">
        <f>Weather_Input!A5</f>
        <v>37081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974</v>
      </c>
      <c r="I7" s="905">
        <v>7197</v>
      </c>
      <c r="J7" s="905">
        <v>6113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37081</v>
      </c>
      <c r="AG7" s="619"/>
      <c r="AH7" s="619"/>
      <c r="AI7" s="619"/>
      <c r="AJ7" s="619"/>
      <c r="AK7" s="619"/>
    </row>
    <row r="8" spans="1:128" s="1" customFormat="1" ht="13.2">
      <c r="A8" s="820">
        <f>Weather_Input!A6</f>
        <v>37082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4180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37082</v>
      </c>
      <c r="AG8" s="619"/>
      <c r="AH8" s="619"/>
      <c r="AI8" s="619"/>
      <c r="AJ8" s="619"/>
      <c r="AK8" s="619"/>
    </row>
    <row r="9" spans="1:128" s="1" customFormat="1" ht="13.2">
      <c r="A9" s="819">
        <f>A8+1</f>
        <v>37083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37083</v>
      </c>
      <c r="AG9" s="619"/>
      <c r="AH9" s="619"/>
      <c r="AI9" s="619"/>
      <c r="AJ9" s="619"/>
      <c r="AK9" s="619"/>
    </row>
    <row r="10" spans="1:128" s="1" customFormat="1" ht="13.2">
      <c r="A10" s="819">
        <f>A9+1</f>
        <v>37084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37084</v>
      </c>
      <c r="AG10" s="619"/>
      <c r="AH10" s="619"/>
      <c r="AI10" s="619"/>
      <c r="AJ10" s="619"/>
      <c r="AK10" s="619"/>
    </row>
    <row r="11" spans="1:128" s="1" customFormat="1" ht="13.2">
      <c r="A11" s="819">
        <f>A10+1</f>
        <v>37085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37085</v>
      </c>
      <c r="AG11" s="619"/>
      <c r="AH11" s="619"/>
      <c r="AI11" s="619"/>
      <c r="AJ11" s="619"/>
      <c r="AK11" s="619"/>
    </row>
    <row r="12" spans="1:128" s="1" customFormat="1" ht="13.2">
      <c r="A12" s="819">
        <f>A11+1</f>
        <v>37086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37086</v>
      </c>
      <c r="AG12" s="619"/>
      <c r="AH12" s="619"/>
      <c r="AI12" s="619"/>
      <c r="AJ12" s="619"/>
      <c r="AK12" s="619"/>
    </row>
    <row r="13" spans="1:128" s="1" customFormat="1" ht="13.2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3.2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81640625" defaultRowHeight="13.2"/>
  <cols>
    <col min="1" max="16384" width="8.8164062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37081</v>
      </c>
      <c r="B7" s="622">
        <v>0</v>
      </c>
      <c r="C7" s="623">
        <v>0</v>
      </c>
      <c r="D7" s="622">
        <v>0</v>
      </c>
      <c r="E7" s="622">
        <v>0</v>
      </c>
      <c r="F7" s="622">
        <v>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12000</v>
      </c>
      <c r="Q7" s="622">
        <v>28400</v>
      </c>
      <c r="R7" s="622">
        <v>17067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37082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12000</v>
      </c>
      <c r="Q8" s="622">
        <v>27183</v>
      </c>
      <c r="R8" s="622">
        <v>15850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37083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12000</v>
      </c>
      <c r="Q9" s="622">
        <v>27183</v>
      </c>
      <c r="R9" s="622">
        <v>15850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37084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12000</v>
      </c>
      <c r="Q10" s="622">
        <v>27183</v>
      </c>
      <c r="R10" s="622">
        <v>15850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37085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12000</v>
      </c>
      <c r="Q11" s="622">
        <v>27183</v>
      </c>
      <c r="R11" s="622">
        <v>15850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37086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12000</v>
      </c>
      <c r="Q12" s="622">
        <v>27183</v>
      </c>
      <c r="R12" s="622">
        <v>15850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9" zoomScale="75" workbookViewId="0">
      <selection activeCell="A49" sqref="A49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MON</v>
      </c>
      <c r="I1" s="824">
        <f>D4</f>
        <v>37081</v>
      </c>
    </row>
    <row r="2" spans="1:256" ht="18.899999999999999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899999999999999" customHeight="1" thickBot="1">
      <c r="A3" s="828"/>
      <c r="B3" s="826"/>
      <c r="C3" s="826"/>
      <c r="D3" s="829" t="str">
        <f t="shared" ref="D3:I3" si="0">CHOOSE(WEEKDAY(D4),"SUN","MON","TUE","WED","THU","FRI","SAT")</f>
        <v>MON</v>
      </c>
      <c r="E3" s="829" t="str">
        <f t="shared" si="0"/>
        <v>TUE</v>
      </c>
      <c r="F3" s="829" t="str">
        <f t="shared" si="0"/>
        <v>WED</v>
      </c>
      <c r="G3" s="829" t="str">
        <f t="shared" si="0"/>
        <v>THU</v>
      </c>
      <c r="H3" s="829" t="str">
        <f t="shared" si="0"/>
        <v>FRI</v>
      </c>
      <c r="I3" s="830" t="str">
        <f t="shared" si="0"/>
        <v>SAT</v>
      </c>
    </row>
    <row r="4" spans="1:256" ht="18.899999999999999" customHeight="1" thickBot="1">
      <c r="A4" s="831"/>
      <c r="B4" s="832"/>
      <c r="C4" s="832"/>
      <c r="D4" s="461">
        <f>Weather_Input!A5</f>
        <v>37081</v>
      </c>
      <c r="E4" s="461">
        <f>Weather_Input!A6</f>
        <v>37082</v>
      </c>
      <c r="F4" s="461">
        <f>Weather_Input!A7</f>
        <v>37083</v>
      </c>
      <c r="G4" s="461">
        <f>Weather_Input!A8</f>
        <v>37084</v>
      </c>
      <c r="H4" s="461">
        <f>Weather_Input!A9</f>
        <v>37085</v>
      </c>
      <c r="I4" s="462">
        <f>Weather_Input!A10</f>
        <v>37086</v>
      </c>
    </row>
    <row r="5" spans="1:256" ht="18.899999999999999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89/70/80</v>
      </c>
      <c r="E5" s="463" t="str">
        <f>TEXT(Weather_Input!B6,"0")&amp;"/"&amp;TEXT(Weather_Input!C6,"0") &amp; "/" &amp; TEXT((Weather_Input!B6+Weather_Input!C6)/2,"0")</f>
        <v>89/60/75</v>
      </c>
      <c r="F5" s="463" t="str">
        <f>TEXT(Weather_Input!B7,"0")&amp;"/"&amp;TEXT(Weather_Input!C7,"0") &amp; "/" &amp; TEXT((Weather_Input!B7+Weather_Input!C7)/2,"0")</f>
        <v>78/58/68</v>
      </c>
      <c r="G5" s="463" t="str">
        <f>TEXT(Weather_Input!B8,"0")&amp;"/"&amp;TEXT(Weather_Input!C8,"0") &amp; "/" &amp; TEXT((Weather_Input!B8+Weather_Input!C8)/2,"0")</f>
        <v>72/55/64</v>
      </c>
      <c r="H5" s="463" t="str">
        <f>TEXT(Weather_Input!B9,"0")&amp;"/"&amp;TEXT(Weather_Input!C9,"0") &amp; "/" &amp; TEXT((Weather_Input!B9+Weather_Input!C9)/2,"0")</f>
        <v>75/57/66</v>
      </c>
      <c r="I5" s="464" t="str">
        <f>TEXT(Weather_Input!B10,"0")&amp;"/"&amp;TEXT(Weather_Input!C10,"0") &amp; "/" &amp; TEXT((Weather_Input!B10+Weather_Input!C10)/2,"0")</f>
        <v>84/64/74</v>
      </c>
    </row>
    <row r="6" spans="1:256" ht="18.899999999999999" customHeight="1">
      <c r="A6" s="838" t="s">
        <v>134</v>
      </c>
      <c r="B6" s="826"/>
      <c r="C6" s="826"/>
      <c r="D6" s="463">
        <f>PGL_Deliveries!C5/1000</f>
        <v>206</v>
      </c>
      <c r="E6" s="463">
        <f>PGL_Deliveries!C6/1000</f>
        <v>205</v>
      </c>
      <c r="F6" s="463">
        <f>PGL_Deliveries!C7/1000</f>
        <v>205</v>
      </c>
      <c r="G6" s="463">
        <f>PGL_Deliveries!C8/1000</f>
        <v>205</v>
      </c>
      <c r="H6" s="463">
        <f>PGL_Deliveries!C9/1000</f>
        <v>190</v>
      </c>
      <c r="I6" s="464">
        <f>PGL_Deliveries!C10/1000</f>
        <v>180</v>
      </c>
    </row>
    <row r="7" spans="1:256" ht="18.899999999999999" customHeight="1">
      <c r="A7" s="838" t="s">
        <v>536</v>
      </c>
      <c r="B7" s="826" t="s">
        <v>9</v>
      </c>
      <c r="C7" s="826"/>
      <c r="D7" s="463">
        <f>PGL_Requirements!G7/1000*0.5</f>
        <v>41.933500000000002</v>
      </c>
      <c r="E7" s="463">
        <f>PGL_Requirements!G8/1000*0.5</f>
        <v>67.168499999999995</v>
      </c>
      <c r="F7" s="463">
        <f>PGL_Requirements!G9/1000*0.5</f>
        <v>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899999999999999" customHeight="1">
      <c r="A8" s="838" t="s">
        <v>774</v>
      </c>
      <c r="B8" s="826"/>
      <c r="C8" s="826"/>
      <c r="D8" s="463">
        <f>PGL_Requirements!J7/1000</f>
        <v>48.49</v>
      </c>
      <c r="E8" s="463">
        <f>PGL_Requirements!J8/1000</f>
        <v>45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899999999999999" customHeight="1">
      <c r="A9" s="835" t="s">
        <v>775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899999999999999" customHeight="1">
      <c r="A10" s="835" t="s">
        <v>790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899999999999999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67.98</v>
      </c>
      <c r="E11" s="463">
        <f>PGL_Requirements!O8/1000</f>
        <v>63.09</v>
      </c>
      <c r="F11" s="463">
        <f>PGL_Requirements!O9/1000</f>
        <v>132</v>
      </c>
      <c r="G11" s="463">
        <f>PGL_Requirements!O10/1000</f>
        <v>132</v>
      </c>
      <c r="H11" s="463">
        <f>PGL_Requirements!O11/1000</f>
        <v>132</v>
      </c>
      <c r="I11" s="464">
        <f>PGL_Requirements!O12/1000</f>
        <v>132</v>
      </c>
    </row>
    <row r="12" spans="1:256" ht="18.899999999999999" customHeight="1">
      <c r="A12" s="835"/>
      <c r="B12" s="826"/>
      <c r="C12" s="826" t="s">
        <v>97</v>
      </c>
      <c r="D12" s="463">
        <f>PGL_Requirements!P7/1000</f>
        <v>1.0196999999999998</v>
      </c>
      <c r="E12" s="463">
        <f>PGL_Requirements!P8/1000</f>
        <v>0.94634999999999991</v>
      </c>
      <c r="F12" s="463">
        <f>PGL_Requirements!P9/1000</f>
        <v>1.98</v>
      </c>
      <c r="G12" s="463">
        <f>PGL_Requirements!P10/1000</f>
        <v>1.98</v>
      </c>
      <c r="H12" s="463">
        <f>PGL_Requirements!P11/1000</f>
        <v>1.98</v>
      </c>
      <c r="I12" s="464">
        <f>PGL_Requirements!P12/1000</f>
        <v>1.98</v>
      </c>
    </row>
    <row r="13" spans="1:256" ht="18.899999999999999" customHeight="1">
      <c r="A13" s="835"/>
      <c r="C13" s="826" t="s">
        <v>690</v>
      </c>
      <c r="D13" s="463">
        <f>PGL_Requirements!Q7/1000</f>
        <v>0.53</v>
      </c>
      <c r="E13" s="463">
        <f>PGL_Requirements!Q8/1000</f>
        <v>0.69</v>
      </c>
      <c r="F13" s="463">
        <f>PGL_Requirements!Q9/1000</f>
        <v>0.69</v>
      </c>
      <c r="G13" s="463">
        <f>PGL_Requirements!Q10/1000</f>
        <v>0.69</v>
      </c>
      <c r="H13" s="463">
        <f>PGL_Requirements!Q11/1000</f>
        <v>0.69</v>
      </c>
      <c r="I13" s="464">
        <f>PGL_Requirements!Q12/1000</f>
        <v>0.69</v>
      </c>
    </row>
    <row r="14" spans="1:256" ht="18.899999999999999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899999999999999" customHeight="1">
      <c r="A15" s="835"/>
      <c r="B15" s="826" t="s">
        <v>137</v>
      </c>
      <c r="C15" s="826" t="s">
        <v>777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0.2</v>
      </c>
      <c r="G15" s="463">
        <f>PGL_Requirements!T10/1000</f>
        <v>0.2</v>
      </c>
      <c r="H15" s="463">
        <f>PGL_Requirements!T11/1000</f>
        <v>0.2</v>
      </c>
      <c r="I15" s="464">
        <f>PGL_Requirements!T12/1000</f>
        <v>0.2</v>
      </c>
    </row>
    <row r="16" spans="1:256" ht="18.899999999999999" customHeight="1">
      <c r="A16" s="835"/>
      <c r="B16" s="826"/>
      <c r="C16" s="826" t="s">
        <v>779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899999999999999" customHeight="1">
      <c r="A17" s="835"/>
      <c r="B17" s="826" t="s">
        <v>135</v>
      </c>
      <c r="C17" s="826" t="s">
        <v>87</v>
      </c>
      <c r="D17" s="463">
        <f>PGL_Requirements!N7/1000</f>
        <v>0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899999999999999" customHeight="1">
      <c r="A18" s="835" t="s">
        <v>800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899999999999999" customHeight="1">
      <c r="A19" s="835" t="s">
        <v>787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899999999999999" customHeight="1">
      <c r="A20" s="838" t="s">
        <v>141</v>
      </c>
      <c r="B20" s="826"/>
      <c r="C20" s="826"/>
      <c r="D20" s="463">
        <f>PGL_Requirements!F7/1000</f>
        <v>15.42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899999999999999" customHeight="1">
      <c r="A21" s="835" t="s">
        <v>142</v>
      </c>
      <c r="B21" s="826" t="s">
        <v>705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899999999999999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899999999999999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899999999999999" customHeight="1">
      <c r="A24" s="835"/>
      <c r="B24" s="826" t="s">
        <v>92</v>
      </c>
      <c r="C24" s="826"/>
      <c r="D24" s="465">
        <f>PGL_Requirements!E7/1000</f>
        <v>0</v>
      </c>
      <c r="E24" s="465">
        <f>PGL_Requirements!E8/1000</f>
        <v>3</v>
      </c>
      <c r="F24" s="465">
        <f>PGL_Requirements!E9/1000</f>
        <v>3</v>
      </c>
      <c r="G24" s="465">
        <f>PGL_Requirements!E10/1000</f>
        <v>3</v>
      </c>
      <c r="H24" s="465">
        <f>PGL_Requirements!E11/1000</f>
        <v>3</v>
      </c>
      <c r="I24" s="466">
        <f>PGL_Requirements!E12/1000</f>
        <v>3</v>
      </c>
    </row>
    <row r="25" spans="1:10" ht="18.899999999999999" customHeight="1" thickBot="1">
      <c r="A25" s="843" t="s">
        <v>143</v>
      </c>
      <c r="B25" s="844"/>
      <c r="C25" s="844"/>
      <c r="D25" s="467">
        <f t="shared" ref="D25:I25" si="1">SUM(D6:D24)</f>
        <v>381.57319999999999</v>
      </c>
      <c r="E25" s="467">
        <f t="shared" si="1"/>
        <v>385.09485000000001</v>
      </c>
      <c r="F25" s="467">
        <f t="shared" si="1"/>
        <v>342.87</v>
      </c>
      <c r="G25" s="467">
        <f t="shared" si="1"/>
        <v>342.87</v>
      </c>
      <c r="H25" s="467">
        <f t="shared" si="1"/>
        <v>327.87</v>
      </c>
      <c r="I25" s="1099">
        <f t="shared" si="1"/>
        <v>317.87</v>
      </c>
    </row>
    <row r="26" spans="1:10" ht="18.899999999999999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899999999999999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899999999999999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899999999999999" customHeight="1">
      <c r="A29" s="835"/>
      <c r="B29" s="826"/>
      <c r="C29" s="826" t="s">
        <v>90</v>
      </c>
      <c r="D29" s="463">
        <f>PGL_Supplies!G7/1000</f>
        <v>1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899999999999999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899999999999999" customHeight="1">
      <c r="A31" s="835"/>
      <c r="B31" s="826" t="s">
        <v>137</v>
      </c>
      <c r="C31" s="826" t="s">
        <v>777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899999999999999" customHeight="1">
      <c r="A32" s="835"/>
      <c r="B32" s="826"/>
      <c r="C32" s="826" t="s">
        <v>779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899999999999999" customHeight="1">
      <c r="A33" s="835"/>
      <c r="B33" s="826" t="s">
        <v>135</v>
      </c>
      <c r="C33" s="826" t="s">
        <v>87</v>
      </c>
      <c r="D33" s="463">
        <f>PGL_Supplies!K7/1000</f>
        <v>22.777999999999999</v>
      </c>
      <c r="E33" s="463">
        <f>PGL_Supplies!K8/1000</f>
        <v>29.8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899999999999999" customHeight="1">
      <c r="A34" s="835" t="s">
        <v>801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899999999999999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899999999999999" customHeight="1">
      <c r="A36" s="838" t="s">
        <v>776</v>
      </c>
      <c r="B36" s="826" t="s">
        <v>394</v>
      </c>
      <c r="C36" s="826"/>
      <c r="D36" s="463">
        <f>PGL_Supplies!S7/1000*0.5</f>
        <v>0.16600000000000001</v>
      </c>
      <c r="E36" s="463">
        <f>PGL_Supplies!S8/1000*0.5</f>
        <v>20</v>
      </c>
      <c r="F36" s="463">
        <f>PGL_Supplies!S9/1000*0.5</f>
        <v>5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899999999999999" customHeight="1">
      <c r="A37" s="852" t="s">
        <v>715</v>
      </c>
      <c r="B37" s="826" t="s">
        <v>696</v>
      </c>
      <c r="C37" s="826"/>
      <c r="D37" s="463">
        <f>PGL_Supplies!X7/1000</f>
        <v>100.583</v>
      </c>
      <c r="E37" s="463">
        <f>PGL_Supplies!X8/1000</f>
        <v>95.257999999999996</v>
      </c>
      <c r="F37" s="463">
        <f>PGL_Supplies!X9/1000</f>
        <v>95.257999999999996</v>
      </c>
      <c r="G37" s="463">
        <f>PGL_Supplies!X10/1000</f>
        <v>95.257999999999996</v>
      </c>
      <c r="H37" s="463">
        <f>PGL_Supplies!X11/1000</f>
        <v>95.257999999999996</v>
      </c>
      <c r="I37" s="464">
        <f>PGL_Supplies!X12/1000</f>
        <v>95.257999999999996</v>
      </c>
    </row>
    <row r="38" spans="1:10" ht="18.899999999999999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899999999999999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899999999999999" customHeight="1">
      <c r="A40" s="838"/>
      <c r="B40" s="826" t="s">
        <v>394</v>
      </c>
      <c r="C40" s="839"/>
      <c r="D40" s="463">
        <f>PGL_Supplies!AA7/1000</f>
        <v>178.846</v>
      </c>
      <c r="E40" s="463">
        <f>PGL_Supplies!AA8/1000</f>
        <v>188.27600000000001</v>
      </c>
      <c r="F40" s="463">
        <f>PGL_Supplies!AA9/1000</f>
        <v>188.27600000000001</v>
      </c>
      <c r="G40" s="463">
        <f>PGL_Supplies!AA10/1000</f>
        <v>188.27600000000001</v>
      </c>
      <c r="H40" s="463">
        <f>PGL_Supplies!AA11/1000</f>
        <v>188.27600000000001</v>
      </c>
      <c r="I40" s="464">
        <f>PGL_Supplies!AA12/1000</f>
        <v>188.27600000000001</v>
      </c>
    </row>
    <row r="41" spans="1:10" ht="18.899999999999999" customHeight="1">
      <c r="A41" s="838"/>
      <c r="B41" s="826" t="s">
        <v>135</v>
      </c>
      <c r="C41" s="826"/>
      <c r="D41" s="463">
        <f>PGL_Supplies!AB7/1000</f>
        <v>27.414999999999999</v>
      </c>
      <c r="E41" s="463">
        <f>PGL_Supplies!AB8/1000</f>
        <v>32.558</v>
      </c>
      <c r="F41" s="463">
        <f>PGL_Supplies!AB9/1000</f>
        <v>32.558</v>
      </c>
      <c r="G41" s="463">
        <f>PGL_Supplies!AB10/1000</f>
        <v>32.558</v>
      </c>
      <c r="H41" s="463">
        <f>PGL_Supplies!AB11/1000</f>
        <v>32.558</v>
      </c>
      <c r="I41" s="464">
        <f>PGL_Supplies!AB12/1000</f>
        <v>32.558</v>
      </c>
    </row>
    <row r="42" spans="1:10" ht="18.899999999999999" customHeight="1">
      <c r="A42" s="838"/>
      <c r="B42" s="826" t="s">
        <v>136</v>
      </c>
      <c r="C42" s="826"/>
      <c r="D42" s="463">
        <f>PGL_Supplies!AC7/1000</f>
        <v>3</v>
      </c>
      <c r="E42" s="463">
        <f>PGL_Supplies!AC8/1000</f>
        <v>3</v>
      </c>
      <c r="F42" s="463">
        <f>PGL_Supplies!AC9/1000</f>
        <v>3</v>
      </c>
      <c r="G42" s="463">
        <f>PGL_Supplies!AC10/1000</f>
        <v>3</v>
      </c>
      <c r="H42" s="463">
        <f>PGL_Supplies!AC11/1000</f>
        <v>3</v>
      </c>
      <c r="I42" s="464">
        <f>PGL_Supplies!AC12/1000</f>
        <v>3</v>
      </c>
    </row>
    <row r="43" spans="1:10" ht="18.899999999999999" customHeight="1">
      <c r="A43" s="852"/>
      <c r="B43" s="826" t="s">
        <v>147</v>
      </c>
      <c r="C43" s="826"/>
      <c r="D43" s="463">
        <f>PGL_Supplies!H7/1000</f>
        <v>15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899999999999999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899999999999999" customHeight="1">
      <c r="A45" s="838" t="s">
        <v>728</v>
      </c>
      <c r="B45" s="826"/>
      <c r="C45" s="826"/>
      <c r="D45" s="463">
        <f>PGL_Supplies!B7/1000</f>
        <v>0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899999999999999" customHeight="1">
      <c r="A46" s="835" t="s">
        <v>704</v>
      </c>
      <c r="B46" s="826" t="s">
        <v>696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899999999999999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899999999999999" customHeight="1">
      <c r="A48" s="835"/>
      <c r="B48" s="826" t="s">
        <v>394</v>
      </c>
      <c r="C48" s="826"/>
      <c r="D48" s="463">
        <f>PGL_Supplies!D7/1000</f>
        <v>0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899999999999999" customHeight="1">
      <c r="A49" s="853"/>
      <c r="B49" s="854" t="s">
        <v>136</v>
      </c>
      <c r="C49" s="854"/>
      <c r="D49" s="465">
        <f>PGL_Supplies!F7/1000</f>
        <v>5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899999999999999" customHeight="1" thickBot="1">
      <c r="A50" s="855" t="s">
        <v>149</v>
      </c>
      <c r="B50" s="856"/>
      <c r="C50" s="856"/>
      <c r="D50" s="473">
        <f t="shared" ref="D50:I50" si="2">SUM(D28:D49)</f>
        <v>353.988</v>
      </c>
      <c r="E50" s="473">
        <f t="shared" si="2"/>
        <v>385.09199999999998</v>
      </c>
      <c r="F50" s="473">
        <f t="shared" si="2"/>
        <v>340.29200000000003</v>
      </c>
      <c r="G50" s="473">
        <f t="shared" si="2"/>
        <v>335.29200000000003</v>
      </c>
      <c r="H50" s="473">
        <f t="shared" si="2"/>
        <v>335.29200000000003</v>
      </c>
      <c r="I50" s="1101">
        <f t="shared" si="2"/>
        <v>335.29200000000003</v>
      </c>
    </row>
    <row r="51" spans="1:9" ht="18.899999999999999" customHeight="1">
      <c r="A51" s="857" t="s">
        <v>150</v>
      </c>
      <c r="B51" s="858"/>
      <c r="C51" s="858"/>
      <c r="D51" s="474">
        <f t="shared" ref="D51:I51" si="3">IF(D50-D25&lt;0,0,D50-D25)</f>
        <v>0</v>
      </c>
      <c r="E51" s="474">
        <f t="shared" si="3"/>
        <v>0</v>
      </c>
      <c r="F51" s="474">
        <f t="shared" si="3"/>
        <v>0</v>
      </c>
      <c r="G51" s="474">
        <f t="shared" si="3"/>
        <v>0</v>
      </c>
      <c r="H51" s="474">
        <f t="shared" si="3"/>
        <v>7.4220000000000255</v>
      </c>
      <c r="I51" s="1102">
        <f t="shared" si="3"/>
        <v>17.422000000000025</v>
      </c>
    </row>
    <row r="52" spans="1:9" ht="18.899999999999999" customHeight="1" thickBot="1">
      <c r="A52" s="859" t="s">
        <v>151</v>
      </c>
      <c r="B52" s="844"/>
      <c r="C52" s="860"/>
      <c r="D52" s="475">
        <f t="shared" ref="D52:I52" si="4">IF(D25-D50&lt;0,0,D25-D50)</f>
        <v>27.585199999999986</v>
      </c>
      <c r="E52" s="475">
        <f t="shared" si="4"/>
        <v>2.8500000000235559E-3</v>
      </c>
      <c r="F52" s="475">
        <f t="shared" si="4"/>
        <v>2.5779999999999745</v>
      </c>
      <c r="G52" s="475">
        <f t="shared" si="4"/>
        <v>7.5779999999999745</v>
      </c>
      <c r="H52" s="475">
        <f t="shared" si="4"/>
        <v>0</v>
      </c>
      <c r="I52" s="1103">
        <f t="shared" si="4"/>
        <v>0</v>
      </c>
    </row>
    <row r="53" spans="1:9" ht="18.899999999999999" customHeight="1" thickTop="1" thickBot="1">
      <c r="A53" s="1090" t="s">
        <v>718</v>
      </c>
      <c r="B53" s="1091"/>
      <c r="C53" s="1091"/>
      <c r="D53" s="1092">
        <f>PGL_Supplies!U7/1000</f>
        <v>128.80199999999999</v>
      </c>
      <c r="E53" s="1092">
        <f>PGL_Supplies!U8/1000</f>
        <v>119.884</v>
      </c>
      <c r="F53" s="1092">
        <f>PGL_Supplies!U9/1000</f>
        <v>119.884</v>
      </c>
      <c r="G53" s="1092">
        <f>PGL_Supplies!U10/1000</f>
        <v>119.884</v>
      </c>
      <c r="H53" s="1092">
        <f>PGL_Supplies!U11/1000</f>
        <v>119.884</v>
      </c>
      <c r="I53" s="1093">
        <f>PGL_Supplies!U12/1000</f>
        <v>119.884</v>
      </c>
    </row>
    <row r="54" spans="1:9" ht="18.899999999999999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2001-07-10T16:13:54Z</cp:lastPrinted>
  <dcterms:created xsi:type="dcterms:W3CDTF">1997-07-16T16:14:22Z</dcterms:created>
  <dcterms:modified xsi:type="dcterms:W3CDTF">2023-09-10T11:13:24Z</dcterms:modified>
</cp:coreProperties>
</file>