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<sst xmlns="http://schemas.openxmlformats.org/spreadsheetml/2006/main" count="2068" uniqueCount="815">
  <si>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</si>
  <si>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</si>
  <si>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</si>
  <si>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</si>
  <si>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</si>
  <si>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</si>
  <si>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</si>
  <si>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</si>
  <si>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</si>
  <si>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</si>
  <si>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</si>
  <si>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</si>
  <si>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</si>
  <si>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</si>
  <si>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</si>
  <si>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</si>
  <si>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</si>
  <si>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</si>
  <si>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</si>
  <si>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</si>
  <si>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</si>
  <si>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</si>
  <si>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</si>
  <si>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</si>
  <si>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</si>
  <si>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</si>
  <si>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</si>
  <si>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</si>
  <si>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</si>
  <si>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</si>
  <si>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</si>
  <si>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</si>
  <si>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</si>
  <si>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</si>
  <si>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</si>
  <si>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</si>
  <si>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</si>
  <si>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</si>
  <si>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</si>
  <si>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</si>
  <si>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</si>
  <si>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</si>
  <si>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</si>
  <si>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</si>
  <si>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</si>
  <si>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</si>
  <si>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</si>
  <si>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</si>
  <si>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</si>
  <si>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</si>
  <si>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</si>
  <si>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</si>
  <si>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</si>
  <si>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</si>
  <si>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</si>
  <si>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</si>
  <si>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</si>
  <si>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</si>
  <si>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</si>
  <si>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</si>
  <si>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</si>
  <si>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</si>
  <si>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</si>
  <si>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</si>
  <si>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</si>
  <si>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</si>
  <si>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</si>
  <si>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</si>
  <si>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</si>
  <si>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</si>
  <si>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</si>
  <si>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</si>
  <si>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</si>
  <si>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</si>
  <si>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</si>
  <si>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</si>
  <si>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</si>
  <si>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</si>
  <si>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</si>
  <si>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</si>
  <si>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</si>
  <si>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</si>
  <si>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</si>
  <si>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</si>
  <si>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</si>
  <si>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</si>
  <si>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</si>
  <si>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</si>
  <si>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</si>
  <si>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</si>
  <si>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</si>
  <si>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</si>
  <si>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</si>
  <si>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</si>
  <si>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</si>
  <si>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</si>
  <si>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</si>
  <si>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</si>
  <si>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</si>
  <si>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</si>
  <si>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</si>
  <si>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</si>
  <si>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</si>
  <si>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</si>
  <si>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</si>
  <si>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</si>
  <si>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</si>
  <si>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</si>
  <si>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</si>
  <si>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</si>
  <si>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</si>
  <si>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</si>
  <si>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</si>
  <si>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</si>
  <si>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</si>
  <si>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</si>
  <si>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</si>
  <si>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</si>
  <si>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</si>
  <si>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</si>
  <si>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</si>
  <si>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</si>
  <si>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</si>
  <si>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</si>
  <si>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</si>
  <si>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</si>
  <si>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</si>
  <si>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</si>
  <si>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</si>
  <si>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</si>
  <si>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</si>
  <si>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</si>
  <si>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</si>
  <si>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</si>
  <si>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</si>
  <si>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</si>
  <si>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</si>
  <si>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</si>
  <si>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</si>
  <si>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</si>
  <si>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</si>
  <si>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</si>
  <si>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</si>
  <si>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</si>
  <si>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</si>
  <si>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</si>
  <si>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</si>
  <si>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</si>
  <si>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</si>
  <si>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</si>
  <si>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</si>
  <si>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</si>
  <si>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</si>
  <si>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</si>
  <si>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</si>
  <si>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</si>
  <si>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</si>
  <si>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</si>
  <si>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</si>
  <si>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</si>
  <si>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</si>
  <si>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</si>
  <si>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</si>
  <si>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</si>
  <si>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</si>
  <si>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</si>
  <si>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</si>
  <si>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</si>
  <si>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</si>
  <si>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</si>
  <si>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</si>
  <si>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</si>
  <si>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</si>
  <si>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</si>
  <si>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</si>
  <si>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</si>
  <si>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</si>
  <si>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</si>
  <si>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</si>
  <si>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</si>
  <si>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</si>
  <si>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</si>
  <si>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</si>
  <si>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</si>
  <si>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</si>
  <si>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</si>
  <si>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</si>
  <si>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</si>
  <si>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</si>
  <si>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</si>
  <si>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</si>
  <si>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</si>
  <si>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</si>
  <si>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</si>
  <si>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</si>
  <si>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</si>
  <si>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</si>
  <si>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</si>
  <si>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</si>
  <si>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</si>
  <si>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</si>
  <si>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</si>
  <si>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</si>
  <si>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</si>
  <si>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</si>
  <si>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</si>
  <si>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</si>
  <si>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</si>
  <si>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</si>
  <si>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</si>
  <si>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</si>
  <si>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</si>
  <si>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</si>
  <si>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</si>
  <si>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</si>
  <si>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</si>
  <si>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</si>
  <si>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</si>
  <si>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</si>
  <si>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</si>
  <si>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</si>
  <si>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</si>
  <si>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</si>
  <si>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</si>
  <si>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</si>
  <si>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</si>
  <si>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</si>
  <si>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</si>
  <si>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</si>
  <si>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</si>
  <si>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</si>
  <si>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</si>
  <si>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</si>
  <si>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</si>
  <si>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</si>
  <si>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</si>
  <si>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</si>
  <si>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</si>
  <si>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</si>
  <si>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</si>
  <si>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</si>
  <si>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</si>
  <si>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</si>
  <si>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</si>
  <si>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</si>
  <si>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</si>
  <si>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</si>
  <si>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</si>
  <si>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</si>
  <si>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</si>
  <si>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</si>
  <si>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</si>
  <si>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</si>
  <si>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</si>
  <si>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</si>
  <si>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</si>
  <si>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</si>
  <si>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</si>
  <si>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</si>
  <si>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</si>
  <si>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</si>
  <si>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</si>
  <si>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</si>
  <si>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</si>
  <si>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</si>
  <si>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</si>
  <si>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</si>
  <si>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</si>
  <si>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</si>
  <si>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</si>
  <si>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</si>
  <si>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</si>
  <si>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</si>
  <si>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</si>
  <si>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</si>
  <si>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</si>
  <si>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</si>
  <si>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</si>
  <si>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</si>
  <si>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</si>
  <si>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</si>
  <si>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</si>
  <si>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</si>
  <si>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</si>
  <si>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</si>
  <si>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</si>
  <si>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</si>
  <si>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</si>
  <si>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</si>
  <si>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</si>
  <si>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</si>
  <si>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</si>
  <si>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</si>
  <si>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</si>
  <si>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</si>
  <si>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</si>
  <si>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</si>
  <si>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</si>
  <si>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</si>
  <si>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</si>
  <si>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</si>
  <si>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</si>
  <si>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</si>
  <si>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</si>
  <si>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</si>
  <si>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</si>
  <si>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</si>
  <si>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</si>
  <si>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</si>
  <si>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</si>
  <si>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</si>
  <si>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</si>
  <si>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</si>
  <si>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</si>
  <si>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</si>
  <si>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</si>
  <si>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</si>
  <si>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</si>
  <si>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</si>
  <si>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</si>
  <si>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</si>
  <si>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</si>
  <si>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</si>
  <si>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</si>
  <si>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</si>
  <si>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</si>
  <si>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</si>
  <si>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</si>
  <si>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</si>
  <si>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</si>
  <si>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</si>
  <si>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</si>
  <si>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</si>
  <si>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</si>
  <si>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</si>
  <si>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</si>
  <si>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</si>
  <si>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</si>
  <si>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</si>
  <si>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</si>
  <si>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</si>
  <si>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</si>
  <si>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</si>
  <si>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</si>
  <si>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</si>
  <si>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</si>
  <si>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</si>
  <si>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</si>
  <si>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</si>
  <si>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</si>
  <si>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</si>
  <si>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</si>
  <si>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</si>
  <si>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</si>
  <si>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</si>
  <si>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</si>
  <si>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</si>
  <si>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</si>
  <si>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</si>
  <si>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</si>
  <si>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</si>
  <si>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</si>
  <si>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</si>
  <si>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</si>
  <si>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</si>
  <si>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</si>
  <si>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</si>
  <si>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</si>
  <si>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</si>
  <si>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</si>
  <si>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</si>
  <si>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</si>
  <si>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</si>
  <si>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</si>
  <si>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</si>
  <si>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</si>
  <si>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</si>
  <si>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</si>
  <si>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</si>
  <si>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</si>
  <si>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</si>
  <si>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</si>
  <si>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</si>
  <si>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</si>
  <si>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</si>
  <si>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</si>
  <si>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</si>
  <si>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</si>
  <si>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</si>
  <si>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</si>
  <si>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</si>
  <si>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</si>
  <si>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</si>
  <si>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</si>
  <si>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</si>
  <si>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</si>
  <si>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</si>
  <si>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</si>
  <si>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</si>
  <si>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</si>
  <si>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</si>
  <si>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</si>
  <si>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</si>
  <si>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</si>
  <si>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</si>
  <si>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</si>
  <si>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</si>
  <si>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</si>
  <si>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</si>
  <si>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</si>
  <si>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</si>
  <si>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</si>
  <si>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</si>
  <si>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</si>
  <si>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</si>
  <si>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</si>
  <si>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</si>
  <si>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</si>
  <si>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</si>
  <si>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</si>
  <si>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</si>
  <si>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</si>
  <si>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</si>
  <si>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</si>
  <si>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</si>
  <si>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</si>
  <si>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</si>
  <si>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</si>
  <si>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</si>
  <si>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</si>
  <si>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</si>
  <si>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</si>
  <si>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</si>
  <si>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</si>
  <si>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</si>
  <si>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</si>
  <si>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</si>
  <si>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</si>
  <si>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</si>
  <si>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</si>
  <si>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</si>
  <si>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</si>
  <si>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</si>
  <si>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</si>
  <si>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</si>
  <si>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</si>
  <si>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</si>
  <si>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</si>
  <si>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</si>
  <si>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</si>
  <si>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</si>
  <si>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</si>
  <si>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</si>
  <si>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</si>
  <si>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</si>
  <si>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</si>
  <si>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</si>
  <si>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</si>
  <si>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</si>
  <si>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</si>
  <si>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</si>
  <si>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</si>
  <si>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</si>
  <si>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</si>
  <si>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</si>
  <si>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</si>
  <si>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</si>
  <si>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</si>
  <si>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</si>
  <si>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</si>
  <si>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</si>
  <si>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</si>
  <si>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</si>
  <si>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</si>
  <si>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</si>
  <si>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</si>
  <si>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</si>
  <si>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</si>
  <si>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</si>
  <si>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</si>
  <si>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</si>
  <si>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</si>
  <si>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</si>
  <si>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</si>
  <si>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</si>
  <si>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</si>
  <si>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</si>
  <si>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</si>
  <si>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</si>
  <si>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</si>
  <si>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</si>
  <si>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</si>
  <si>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</si>
  <si>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</si>
  <si>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</si>
  <si>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</si>
  <si>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</si>
  <si>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</si>
  <si>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</si>
  <si>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</si>
  <si>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</si>
  <si>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</si>
  <si>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</si>
  <si>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</si>
  <si>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</si>
  <si>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</si>
  <si>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</si>
  <si>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</si>
  <si>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</si>
  <si>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</si>
  <si>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</si>
  <si>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</si>
  <si>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</si>
  <si>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</si>
  <si>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</si>
  <si>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</si>
  <si>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</si>
  <si>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</si>
  <si>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</si>
  <si>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</si>
  <si>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</si>
  <si>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</si>
  <si>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</si>
  <si>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</si>
  <si>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</si>
  <si>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</si>
  <si>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</si>
  <si>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</si>
  <si>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</si>
  <si>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</si>
  <si>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</si>
  <si>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</si>
  <si>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</si>
  <si>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</si>
  <si>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</si>
  <si>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</si>
  <si>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</si>
  <si>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</si>
  <si>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</si>
  <si>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</si>
  <si>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</si>
  <si>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</si>
  <si>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</si>
  <si>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</si>
  <si>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</si>
  <si>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</si>
  <si>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</si>
  <si>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</si>
  <si>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</si>
  <si>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</si>
  <si>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</si>
  <si>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</si>
  <si>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</si>
  <si>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</si>
  <si>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</si>
  <si>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</si>
  <si>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</si>
  <si>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</si>
  <si>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</si>
  <si>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</si>
  <si>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</si>
  <si>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</si>
  <si>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</si>
  <si>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</si>
  <si>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</si>
  <si>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</si>
  <si>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</si>
  <si>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</si>
  <si>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</si>
  <si>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</si>
  <si>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</si>
  <si>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</si>
  <si>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</si>
  <si>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</si>
  <si>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</si>
  <si>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</si>
  <si>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</si>
  <si>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</si>
  <si>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</si>
  <si>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</si>
  <si>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</si>
  <si>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</si>
  <si>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</si>
  <si>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</si>
  <si>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</si>
  <si>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</si>
  <si>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</si>
  <si>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</si>
  <si>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</si>
  <si>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</si>
  <si>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</si>
  <si>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</si>
  <si>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</si>
  <si>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</si>
  <si>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</si>
  <si>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</si>
  <si>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</si>
  <si>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</si>
  <si>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</si>
  <si>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</si>
  <si>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</si>
  <si>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</si>
  <si>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</si>
  <si>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</si>
  <si>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</si>
  <si>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</si>
  <si>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</si>
  <si>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</si>
  <si>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</si>
  <si>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</si>
  <si>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</si>
  <si>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</si>
  <si>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</si>
  <si>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</si>
  <si>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</si>
  <si>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</si>
  <si>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</si>
  <si>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</si>
  <si>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</si>
  <si>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</si>
  <si>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</si>
  <si>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</si>
  <si>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</si>
  <si>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</si>
  <si>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</si>
  <si>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</si>
  <si>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</si>
  <si>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</si>
  <si>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</si>
  <si>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</si>
  <si>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</si>
  <si>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</si>
  <si>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</si>
  <si>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</si>
  <si>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</si>
  <si>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</si>
  <si>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</si>
  <si>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</si>
  <si>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</si>
  <si>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</si>
  <si>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</si>
  <si>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</si>
  <si>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</si>
  <si>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</si>
  <si>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</si>
  <si>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</si>
  <si>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</si>
  <si>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</si>
  <si>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</si>
  <si>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</si>
  <si>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</si>
  <si>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</si>
  <si>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</si>
  <si>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</si>
  <si>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</si>
  <si>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</si>
  <si>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</si>
  <si>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</si>
  <si>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</si>
  <si>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</si>
  <si>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</si>
  <si>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</si>
  <si>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</si>
  <si>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</si>
  <si>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</si>
  <si>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</si>
  <si>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</si>
  <si>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</si>
  <si>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</si>
  <si>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</si>
  <si>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</si>
  <si>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</si>
  <si>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</si>
  <si>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</si>
  <si>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</si>
  <si>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</si>
  <si>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</si>
  <si>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</si>
  <si>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</si>
  <si>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</si>
  <si>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</si>
  <si>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</si>
  <si>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</si>
  <si>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</si>
  <si>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</si>
  <si>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</si>
  <si>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</si>
  <si>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</si>
  <si>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</si>
  <si>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</si>
  <si>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</si>
  <si>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</si>
  <si>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</si>
  <si>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</si>
  <si>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</si>
  <si>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</si>
  <si>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</si>
  <si>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</si>
  <si>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</si>
  <si>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</si>
  <si>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</si>
  <si>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</si>
  <si>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</si>
  <si>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</si>
  <si>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</si>
  <si>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</si>
  <si>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</si>
  <si>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</si>
  <si>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</si>
  <si>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</si>
  <si>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</si>
  <si>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</si>
  <si>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</si>
  <si>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</si>
  <si>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</si>
  <si>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</si>
  <si>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</si>
  <si>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</si>
  <si>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</si>
  <si>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</si>
  <si>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</si>
  <si>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</si>
  <si>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</si>
  <si>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</si>
  <si>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</si>
  <si>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</si>
  <si>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</si>
  <si>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</si>
  <si>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</si>
  <si>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</si>
  <si>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</si>
  <si>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</si>
  <si>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</si>
  <si>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</si>
  <si>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</si>
  <si>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</si>
  <si>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</si>
  <si>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</si>
  <si>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</si>
  <si>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</si>
  <si>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</si>
  <si>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</si>
  <si>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</si>
  <si>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</si>
  <si>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</si>
  <si>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</si>
  <si>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</si>
  <si>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</si>
  <si>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</si>
  <si>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</si>
  <si>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</si>
  <si>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</si>
  <si>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</si>
  <si>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</si>
  <si>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</si>
  <si>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</si>
  <si>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</si>
  <si>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</si>
  <si>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</si>
  <si>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</si>
  <si>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</si>
  <si>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</si>
  <si>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</si>
  <si>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</si>
  <si>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</si>
  <si>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</si>
  <si>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</si>
  <si>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</si>
  <si>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</si>
  <si>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</si>
  <si>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</si>
  <si>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</si>
  <si>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</si>
  <si>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</si>
  <si>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</si>
  <si>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</si>
  <si>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</si>
  <si>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</si>
  <si>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</si>
  <si>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</si>
  <si>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</si>
  <si>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</si>
  <si>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</si>
  <si>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</si>
  <si>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</si>
  <si>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</si>
  <si>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</si>
  <si>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</si>
  <si>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</si>
  <si>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</si>
  <si>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</si>
  <si>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</si>
  <si>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</si>
  <si>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</si>
  <si>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</si>
  <si>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</si>
  <si>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</si>
  <si>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</si>
  <si>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</si>
  <si>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</si>
  <si>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</si>
  <si>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</si>
  <si>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</si>
  <si>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</si>
  <si>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</si>
  <si>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</si>
  <si>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</si>
  <si>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</si>
  <si>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</si>
  <si>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OVERNIGHT…40% CHANCE OF T'STORMS.</t>
  </si>
  <si>
    <t>PARTLY CLOUDY WITH A 30% CHANCE OF A T'STORM. VERY WARM AND HUMID.</t>
  </si>
  <si>
    <t>LIGHT WINDS S.E. 5 TO 10 MPH. OVERNIGHT…PARTLY CLOUDY. WINDS N.E. 5/10 MPH.</t>
  </si>
  <si>
    <t>PARTLT CLOUDY. OVERNIGHT…PARTLY CLOUDY.</t>
  </si>
  <si>
    <t xml:space="preserve">MOSTLY SUNNY. </t>
  </si>
  <si>
    <t>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</si>
</sst>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57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57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57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57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57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57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SAT</v>
      </c>
      <c r="I1" s="865">
        <f>D4</f>
        <v>37079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37079</v>
      </c>
      <c r="E4" s="833">
        <f>Weather_Input!A6</f>
        <v>37080</v>
      </c>
      <c r="F4" s="833">
        <f>Weather_Input!A7</f>
        <v>37081</v>
      </c>
      <c r="G4" s="833">
        <f>Weather_Input!A8</f>
        <v>37082</v>
      </c>
      <c r="H4" s="833">
        <f>Weather_Input!A9</f>
        <v>37083</v>
      </c>
      <c r="I4" s="834">
        <f>Weather_Input!A10</f>
        <v>37084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85/70/78</v>
      </c>
      <c r="E5" s="866" t="str">
        <f>TEXT(Weather_Input!B6,"0")&amp;"/"&amp;TEXT(Weather_Input!C6,"0") &amp; "/" &amp; TEXT((Weather_Input!B6+Weather_Input!C6)/2,"0")</f>
        <v>89/69/79</v>
      </c>
      <c r="F5" s="866" t="str">
        <f>TEXT(Weather_Input!B7,"0")&amp;"/"&amp;TEXT(Weather_Input!C7,"0") &amp; "/" &amp; TEXT((Weather_Input!B7+Weather_Input!C7)/2,"0")</f>
        <v>89/68/79</v>
      </c>
      <c r="G5" s="866" t="str">
        <f>TEXT(Weather_Input!B8,"0")&amp;"/"&amp;TEXT(Weather_Input!C8,"0") &amp; "/" &amp; TEXT((Weather_Input!B8+Weather_Input!C8)/2,"0")</f>
        <v>82/60/71</v>
      </c>
      <c r="H5" s="866" t="str">
        <f>TEXT(Weather_Input!B9,"0")&amp;"/"&amp;TEXT(Weather_Input!C9,"0") &amp; "/" &amp; TEXT((Weather_Input!B9+Weather_Input!C9)/2,"0")</f>
        <v>80/58/69</v>
      </c>
      <c r="I5" s="867" t="str">
        <f>TEXT(Weather_Input!B10,"0")&amp;"/"&amp;TEXT(Weather_Input!C10,"0") &amp; "/" &amp; TEXT((Weather_Input!B10+Weather_Input!C10)/2,"0")</f>
        <v>82/61/72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30.5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36</v>
      </c>
      <c r="G6" s="836">
        <f ca="1">VLOOKUP(G4,NSG_Sendouts,CELL("Col",NSG_Deliveries!C8),FALSE)/1000</f>
        <v>36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36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9.8460000000000001</v>
      </c>
      <c r="E8" s="836">
        <f>NSG_Requirements!J8/1000</f>
        <v>6.4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0.221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40.567</v>
      </c>
      <c r="E11" s="845">
        <f t="shared" ca="1" si="1"/>
        <v>40.4</v>
      </c>
      <c r="F11" s="845">
        <f t="shared" ca="1" si="1"/>
        <v>36</v>
      </c>
      <c r="G11" s="845">
        <f t="shared" ca="1" si="1"/>
        <v>36</v>
      </c>
      <c r="H11" s="845">
        <f t="shared" ca="1" si="1"/>
        <v>36</v>
      </c>
      <c r="I11" s="846">
        <f t="shared" ca="1" si="1"/>
        <v>36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28.4</v>
      </c>
      <c r="E19" s="836">
        <f>NSG_Supplies!Q8/1000</f>
        <v>28.4</v>
      </c>
      <c r="F19" s="836">
        <f>NSG_Supplies!Q9/1000</f>
        <v>28.4</v>
      </c>
      <c r="G19" s="836">
        <f>NSG_Supplies!Q10/1000</f>
        <v>28.4</v>
      </c>
      <c r="H19" s="836">
        <f>NSG_Supplies!Q11/1000</f>
        <v>28.4</v>
      </c>
      <c r="I19" s="837">
        <f>NSG_Supplies!Q12/1000</f>
        <v>28.4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40.4</v>
      </c>
      <c r="E21" s="1244">
        <f t="shared" si="2"/>
        <v>40.4</v>
      </c>
      <c r="F21" s="1244">
        <f t="shared" si="2"/>
        <v>40.4</v>
      </c>
      <c r="G21" s="1244">
        <f t="shared" si="2"/>
        <v>40.4</v>
      </c>
      <c r="H21" s="1244">
        <f t="shared" si="2"/>
        <v>40.4</v>
      </c>
      <c r="I21" s="1245">
        <f t="shared" si="2"/>
        <v>40.4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0</v>
      </c>
      <c r="F22" s="877">
        <f t="shared" ca="1" si="3"/>
        <v>4.3999999999999986</v>
      </c>
      <c r="G22" s="877">
        <f t="shared" ca="1" si="3"/>
        <v>4.3999999999999986</v>
      </c>
      <c r="H22" s="877">
        <f t="shared" ca="1" si="3"/>
        <v>4.3999999999999986</v>
      </c>
      <c r="I22" s="878">
        <f t="shared" ca="1" si="3"/>
        <v>4.3999999999999986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0.16700000000000159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17.067</v>
      </c>
      <c r="E24" s="1097">
        <f>NSG_Supplies!R8/1000</f>
        <v>17.067</v>
      </c>
      <c r="F24" s="1097">
        <f>NSG_Supplies!R9/1000</f>
        <v>17.067</v>
      </c>
      <c r="G24" s="1097">
        <f>NSG_Supplies!R10/1000</f>
        <v>17.067</v>
      </c>
      <c r="H24" s="1097">
        <f>NSG_Supplies!R11/1000</f>
        <v>17.067</v>
      </c>
      <c r="I24" s="1098">
        <f>NSG_Supplies!R12/1000</f>
        <v>17.067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6.3</v>
      </c>
      <c r="E26" s="884">
        <f>Weather_Input!D6</f>
        <v>6</v>
      </c>
      <c r="F26" s="884">
        <f>Weather_Input!D7</f>
        <v>10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37079</v>
      </c>
      <c r="N1" s="1218" t="str">
        <f>CHOOSE(WEEKDAY(M1),"SUN","MON","TUE","WED","THU","FRI","SAT")</f>
        <v>SAT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11.476000000000001</v>
      </c>
      <c r="G3" s="383" t="s">
        <v>9</v>
      </c>
      <c r="H3" s="1132" t="s">
        <v>9</v>
      </c>
      <c r="I3" s="1187" t="s">
        <v>9</v>
      </c>
      <c r="J3" s="944">
        <f>Weather_Input!B5</f>
        <v>85</v>
      </c>
      <c r="K3" s="945">
        <f>Weather_Input!C5</f>
        <v>70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100.583</v>
      </c>
      <c r="C5" s="1047" t="s">
        <v>9</v>
      </c>
      <c r="D5" s="344"/>
      <c r="E5" s="1197" t="s">
        <v>430</v>
      </c>
      <c r="F5" s="964">
        <f>F3+F4</f>
        <v>11.476000000000001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178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100.583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100.583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-130.36600000000001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131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179.012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11.476000000000001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1.254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5.08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1.9650000000000001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-130.36600000000001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0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165.785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12.215000000000003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1.9650000000000001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14.180000000000003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9.3409999999999993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-27.414999999999999</v>
      </c>
      <c r="L30" s="1161"/>
      <c r="M30" s="1061">
        <f>-PGL_Supplies!AB7/1000</f>
        <v>-27.414999999999999</v>
      </c>
      <c r="N30" s="1162"/>
      <c r="O30" s="1222">
        <f>-PGL_Supplies!AB7/1000</f>
        <v>-27.414999999999999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178.846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0.33200000000000002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179.012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179.012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179.012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SAT</v>
      </c>
      <c r="G1" s="1224">
        <f>Weather_Input!A5</f>
        <v>37079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85</v>
      </c>
      <c r="C4" s="750">
        <f>Weather_Input!C5</f>
        <v>70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30.5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28.346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2.1539999999999999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28.346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0.221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-28.4</v>
      </c>
      <c r="D25" s="710"/>
      <c r="E25" s="703">
        <f>-NSG_Supplies!Q7/1000</f>
        <v>-28.4</v>
      </c>
      <c r="F25" s="710"/>
      <c r="G25" s="703">
        <f>-NSG_Supplies!Q7/1000</f>
        <v>-28.4</v>
      </c>
      <c r="H25" s="709"/>
      <c r="I25" s="766">
        <f>-NSG_Supplies!Q7/1000</f>
        <v>-28.4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9.8460000000000001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2.1539999999999999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37079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85</v>
      </c>
      <c r="C5" s="261">
        <f>Weather_Input!C5</f>
        <v>70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178</v>
      </c>
      <c r="C8" s="269">
        <f>NSG_Deliveries!C5/1000</f>
        <v>30.5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128.80199999999999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11.476000000000001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-30.417000000000002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1.254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5.08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30.5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1.9650000000000001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30.5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-27.414999999999999</v>
      </c>
      <c r="C32" s="310">
        <f>-NSG_Supplies!Q7/1000</f>
        <v>-28.4</v>
      </c>
      <c r="D32" s="310">
        <f>B32</f>
        <v>-27.414999999999999</v>
      </c>
      <c r="E32" s="310">
        <f>C32</f>
        <v>-28.4</v>
      </c>
      <c r="F32" s="310">
        <f>B32</f>
        <v>-27.414999999999999</v>
      </c>
      <c r="G32" s="310">
        <f>C32</f>
        <v>-28.4</v>
      </c>
      <c r="H32" s="315">
        <f>B32</f>
        <v>-27.414999999999999</v>
      </c>
      <c r="I32" s="316">
        <f>C32</f>
        <v>-28.4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-17.067</v>
      </c>
      <c r="D33" s="310">
        <f>B33</f>
        <v>0</v>
      </c>
      <c r="E33" s="310">
        <f>C33</f>
        <v>-17.067</v>
      </c>
      <c r="F33" s="310">
        <f>B33</f>
        <v>0</v>
      </c>
      <c r="G33" s="310">
        <f>C33</f>
        <v>-17.067</v>
      </c>
      <c r="H33" s="315">
        <f>B33</f>
        <v>0</v>
      </c>
      <c r="I33" s="316">
        <f>C33</f>
        <v>-17.067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9.3409999999999993</v>
      </c>
      <c r="C35" s="305">
        <f>NSG_Requirements!H7/1000</f>
        <v>0.221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131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1.254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1.9650000000000001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1.9650000000000001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1.254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128.80199999999999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128.80199999999999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100.583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131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-30.417000000000002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SAT</v>
      </c>
      <c r="H73" s="401">
        <f>Weather_Input!A5</f>
        <v>37079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1.254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128.80199999999999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100.583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5.08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-17.067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9.3409999999999993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128.80199999999999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128.80199999999999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131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1.254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1.9650000000000001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1.254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100.583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100.583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37080.523645601854</v>
      </c>
      <c r="F22" s="161" t="s">
        <v>257</v>
      </c>
      <c r="G22" s="188">
        <f ca="1">NOW()</f>
        <v>37080.523645601854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37079</v>
      </c>
      <c r="C5" s="15"/>
      <c r="D5" s="22" t="s">
        <v>275</v>
      </c>
      <c r="E5" s="23">
        <f>Weather_Input!B5</f>
        <v>85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70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79.599999999999994</v>
      </c>
      <c r="F7" s="24" t="s">
        <v>281</v>
      </c>
      <c r="G7" s="25">
        <f>Weather_Input!G5</f>
        <v>93</v>
      </c>
      <c r="H7" s="26" t="s">
        <v>281</v>
      </c>
      <c r="I7" s="120">
        <f ca="1">G7-(VLOOKUP(B5,DD_Normal_Data,CELL("Col",D4),FALSE))</f>
        <v>-6329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OVERNIGHT…40% CHANCE OF T'STORMS.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37080</v>
      </c>
      <c r="C10" s="15"/>
      <c r="D10" s="150" t="s">
        <v>275</v>
      </c>
      <c r="E10" s="23">
        <f>Weather_Input!B6</f>
        <v>89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69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79</v>
      </c>
      <c r="F12" s="24" t="s">
        <v>281</v>
      </c>
      <c r="G12" s="25">
        <f>IF(AND(DAY(B10)=1,MONTH(B10)=8),G10,G7+G10)</f>
        <v>93</v>
      </c>
      <c r="H12" s="26" t="s">
        <v>281</v>
      </c>
      <c r="I12" s="27">
        <f ca="1">G12-(VLOOKUP(B10,DD_Normal_Data,CELL("Col",D9),FALSE))</f>
        <v>-6329</v>
      </c>
    </row>
    <row r="13" spans="1:109" ht="15">
      <c r="A13" s="18"/>
      <c r="B13" s="21"/>
      <c r="C13" s="15"/>
      <c r="D13" s="32" t="str">
        <f>IF(Weather_Input!I6=""," ",Weather_Input!I6)</f>
        <v>PARTLY CLOUDY WITH A 30% CHANCE OF A T'STORM. VERY WARM AND HUMID.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LIGHT WINDS S.E. 5 TO 10 MPH. OVERNIGHT…PARTLY CLOUDY. WINDS N.E. 5/10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37081</v>
      </c>
      <c r="C15" s="15"/>
      <c r="D15" s="22" t="s">
        <v>275</v>
      </c>
      <c r="E15" s="23">
        <f>Weather_Input!B7</f>
        <v>89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78.5</v>
      </c>
      <c r="F17" s="24" t="s">
        <v>281</v>
      </c>
      <c r="G17" s="25">
        <f>IF(AND(DAY(B15)=1,MONTH(B15)=8),G15,G12+G15)</f>
        <v>93</v>
      </c>
      <c r="H17" s="26" t="s">
        <v>281</v>
      </c>
      <c r="I17" s="27">
        <f ca="1">G17-(VLOOKUP(B15,DD_Normal_Data,CELL("Col",D14),FALSE))</f>
        <v>-6329</v>
      </c>
    </row>
    <row r="18" spans="1:109" ht="15">
      <c r="A18" s="18"/>
      <c r="B18" s="20"/>
      <c r="C18" s="15"/>
      <c r="D18" s="32" t="str">
        <f>IF(Weather_Input!I7=""," ",Weather_Input!I7)</f>
        <v>PARTLT CLOUDY. OVERNIGHT…PARTLY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37082</v>
      </c>
      <c r="C20" s="15"/>
      <c r="D20" s="22" t="s">
        <v>275</v>
      </c>
      <c r="E20" s="23">
        <f>Weather_Input!B8</f>
        <v>82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71</v>
      </c>
      <c r="F22" s="24" t="s">
        <v>281</v>
      </c>
      <c r="G22" s="25">
        <f>IF(AND(DAY(B20)=1,MONTH(B20)=8),G20,G17+G20)</f>
        <v>93</v>
      </c>
      <c r="H22" s="26" t="s">
        <v>281</v>
      </c>
      <c r="I22" s="27">
        <f ca="1">G22-(VLOOKUP(B20,DD_Normal_Data,CELL("Col",D19),FALSE))</f>
        <v>-6329</v>
      </c>
    </row>
    <row r="23" spans="1:109" ht="15">
      <c r="A23" s="18"/>
      <c r="B23" s="21"/>
      <c r="C23" s="15"/>
      <c r="D23" s="32" t="str">
        <f>IF(Weather_Input!I8=""," ",Weather_Input!I8)</f>
        <v xml:space="preserve">MOSTLY SUNNY.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37083</v>
      </c>
      <c r="C25" s="15"/>
      <c r="D25" s="22" t="s">
        <v>275</v>
      </c>
      <c r="E25" s="23">
        <f>Weather_Input!B9</f>
        <v>80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58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69</v>
      </c>
      <c r="F27" s="24" t="s">
        <v>281</v>
      </c>
      <c r="G27" s="25">
        <f>IF(AND(DAY(B25)=1,MONTH(B25)=8),G25,G22+G25)</f>
        <v>93</v>
      </c>
      <c r="H27" s="26" t="s">
        <v>281</v>
      </c>
      <c r="I27" s="27">
        <f ca="1">G27-(VLOOKUP(B25,DD_Normal_Data,CELL("Col",D24),FALSE))</f>
        <v>-6329</v>
      </c>
    </row>
    <row r="28" spans="1:109" ht="15">
      <c r="A28" s="18"/>
      <c r="B28" s="20"/>
      <c r="C28" s="15"/>
      <c r="D28" s="32" t="str">
        <f>IF(Weather_Input!I9=""," ",Weather_Input!I9)</f>
        <v>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37084</v>
      </c>
      <c r="C30" s="15"/>
      <c r="D30" s="22" t="s">
        <v>275</v>
      </c>
      <c r="E30" s="23">
        <f>Weather_Input!B10</f>
        <v>82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61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71.5</v>
      </c>
      <c r="F32" s="24" t="s">
        <v>281</v>
      </c>
      <c r="G32" s="25">
        <f>IF(AND(DAY(B30)=1,MONTH(B30)=8),G30,G27+G30)</f>
        <v>93</v>
      </c>
      <c r="H32" s="26" t="s">
        <v>281</v>
      </c>
      <c r="I32" s="27">
        <f ca="1">G32-(VLOOKUP(B30,DD_Normal_Data,CELL("Col",D29),FALSE))</f>
        <v>-6329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37079</v>
      </c>
      <c r="C36" s="89">
        <f>B10</f>
        <v>37080</v>
      </c>
      <c r="D36" s="89">
        <f>B15</f>
        <v>37081</v>
      </c>
      <c r="E36" s="89">
        <f xml:space="preserve">       B20</f>
        <v>37082</v>
      </c>
      <c r="F36" s="89">
        <f>B25</f>
        <v>37083</v>
      </c>
      <c r="G36" s="89">
        <f>B30</f>
        <v>37084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178</v>
      </c>
      <c r="C37" s="41">
        <f ca="1">(VLOOKUP(C36,PGL_Sendouts,(CELL("COL",PGL_Deliveries!C7))))/1000</f>
        <v>185</v>
      </c>
      <c r="D37" s="41">
        <f ca="1">(VLOOKUP(D36,PGL_Sendouts,(CELL("COL",PGL_Deliveries!C8))))/1000</f>
        <v>200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205</v>
      </c>
      <c r="G37" s="41">
        <f ca="1">(VLOOKUP(G36,PGL_Sendouts,(CELL("COL",PGL_Deliveries!C10))))/1000</f>
        <v>205</v>
      </c>
      <c r="H37" s="14"/>
      <c r="I37" s="15"/>
    </row>
    <row r="38" spans="1:9" ht="15">
      <c r="A38" s="15" t="s">
        <v>286</v>
      </c>
      <c r="B38" s="41">
        <f>PGL_6_Day_Report!D25</f>
        <v>324.12599999999998</v>
      </c>
      <c r="C38" s="41">
        <f>PGL_6_Day_Report!E25</f>
        <v>336.065</v>
      </c>
      <c r="D38" s="41">
        <f>PGL_6_Day_Report!F25</f>
        <v>358.3</v>
      </c>
      <c r="E38" s="41">
        <f>PGL_6_Day_Report!G25</f>
        <v>342.87</v>
      </c>
      <c r="F38" s="41">
        <f>PGL_6_Day_Report!H25</f>
        <v>342.87</v>
      </c>
      <c r="G38" s="41">
        <f>PGL_6_Day_Report!I25</f>
        <v>342.87</v>
      </c>
      <c r="H38" s="14"/>
      <c r="I38" s="15"/>
    </row>
    <row r="39" spans="1:9" ht="15">
      <c r="A39" s="42" t="s">
        <v>104</v>
      </c>
      <c r="B39" s="41">
        <f>SUM(PGL_Supplies!Y7:AD7)/1000</f>
        <v>209.46100000000001</v>
      </c>
      <c r="C39" s="41">
        <f>SUM(PGL_Supplies!Y8:AD8)/1000</f>
        <v>209.46100000000001</v>
      </c>
      <c r="D39" s="41">
        <f>SUM(PGL_Supplies!Y9:AD9)/1000</f>
        <v>209.46100000000001</v>
      </c>
      <c r="E39" s="41">
        <f>SUM(PGL_Supplies!Y10:AD10)/1000</f>
        <v>209.46100000000001</v>
      </c>
      <c r="F39" s="41">
        <f>SUM(PGL_Supplies!Y11:AD11)/1000</f>
        <v>209.46100000000001</v>
      </c>
      <c r="G39" s="41">
        <f>SUM(PGL_Supplies!Y12:AD12)/1000</f>
        <v>209.46100000000001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128.80199999999999</v>
      </c>
      <c r="C42" s="41">
        <f>PGL_Supplies!U8/1000</f>
        <v>128.80199999999999</v>
      </c>
      <c r="D42" s="41">
        <f>PGL_Supplies!U9/1000</f>
        <v>128.80199999999999</v>
      </c>
      <c r="E42" s="41">
        <f>PGL_Supplies!U10/1000</f>
        <v>128.80199999999999</v>
      </c>
      <c r="F42" s="41">
        <f>PGL_Supplies!U11/1000</f>
        <v>128.80199999999999</v>
      </c>
      <c r="G42" s="41">
        <f>PGL_Supplies!U12/1000</f>
        <v>128.80199999999999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37079</v>
      </c>
      <c r="C44" s="89">
        <f t="shared" si="0"/>
        <v>37080</v>
      </c>
      <c r="D44" s="89">
        <f t="shared" si="0"/>
        <v>37081</v>
      </c>
      <c r="E44" s="89">
        <f t="shared" si="0"/>
        <v>37082</v>
      </c>
      <c r="F44" s="89">
        <f t="shared" si="0"/>
        <v>37083</v>
      </c>
      <c r="G44" s="89">
        <f t="shared" si="0"/>
        <v>37084</v>
      </c>
      <c r="H44" s="14"/>
      <c r="I44" s="15"/>
    </row>
    <row r="45" spans="1:9" ht="15">
      <c r="A45" s="15" t="s">
        <v>54</v>
      </c>
      <c r="B45" s="41">
        <f ca="1">NSG_6_Day_Report!D6</f>
        <v>30.5</v>
      </c>
      <c r="C45" s="41">
        <f ca="1">NSG_6_Day_Report!E6</f>
        <v>34</v>
      </c>
      <c r="D45" s="41">
        <f ca="1">NSG_6_Day_Report!F6</f>
        <v>36</v>
      </c>
      <c r="E45" s="41">
        <f ca="1">NSG_6_Day_Report!G6</f>
        <v>36</v>
      </c>
      <c r="F45" s="41">
        <f ca="1">NSG_6_Day_Report!H6</f>
        <v>36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40.567</v>
      </c>
      <c r="C46" s="41">
        <f ca="1">NSG_6_Day_Report!E11</f>
        <v>40.4</v>
      </c>
      <c r="D46" s="41">
        <f ca="1">NSG_6_Day_Report!F11</f>
        <v>36</v>
      </c>
      <c r="E46" s="41">
        <f ca="1">NSG_6_Day_Report!G11</f>
        <v>36</v>
      </c>
      <c r="F46" s="41">
        <f ca="1">NSG_6_Day_Report!H11</f>
        <v>36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40.4</v>
      </c>
      <c r="C47" s="41">
        <f>SUM(NSG_Supplies!O8:Q8)/1000</f>
        <v>40.4</v>
      </c>
      <c r="D47" s="41">
        <f>SUM(NSG_Supplies!O9:Q9)/1000</f>
        <v>40.4</v>
      </c>
      <c r="E47" s="41">
        <f>SUM(NSG_Supplies!O10:Q10)/1000</f>
        <v>40.4</v>
      </c>
      <c r="F47" s="41">
        <f>SUM(NSG_Supplies!O11:Q11)/1000</f>
        <v>40.4</v>
      </c>
      <c r="G47" s="41">
        <f>SUM(NSG_Supplies!O12:Q12)/1000</f>
        <v>40.4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17.067</v>
      </c>
      <c r="C50" s="41">
        <f>NSG_Supplies!R8/1000</f>
        <v>17.067</v>
      </c>
      <c r="D50" s="41">
        <f>NSG_Supplies!R9/1000</f>
        <v>17.067</v>
      </c>
      <c r="E50" s="41">
        <f>NSG_Supplies!R10/1000</f>
        <v>17.067</v>
      </c>
      <c r="F50" s="41">
        <f>NSG_Supplies!R11/1000</f>
        <v>17.067</v>
      </c>
      <c r="G50" s="41">
        <f>NSG_Supplies!R12/1000</f>
        <v>17.067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37079</v>
      </c>
      <c r="C52" s="89">
        <f t="shared" si="1"/>
        <v>37080</v>
      </c>
      <c r="D52" s="89">
        <f t="shared" si="1"/>
        <v>37081</v>
      </c>
      <c r="E52" s="89">
        <f t="shared" si="1"/>
        <v>37082</v>
      </c>
      <c r="F52" s="89">
        <f t="shared" si="1"/>
        <v>37083</v>
      </c>
      <c r="G52" s="89">
        <f t="shared" si="1"/>
        <v>37084</v>
      </c>
      <c r="H52" s="14"/>
      <c r="I52" s="15"/>
    </row>
    <row r="53" spans="1:9" ht="15">
      <c r="A53" s="92" t="s">
        <v>290</v>
      </c>
      <c r="B53" s="41">
        <f>PGL_Requirements!O7/1000</f>
        <v>131</v>
      </c>
      <c r="C53" s="41">
        <f>PGL_Requirements!O8/1000</f>
        <v>145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topLeftCell="A11" zoomScale="75" workbookViewId="0">
      <selection activeCell="H37" sqref="H37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Sunday</v>
      </c>
      <c r="C4" s="1066" t="str">
        <f>Six_Day_Summary!A15</f>
        <v>Monday</v>
      </c>
      <c r="D4" s="1066" t="str">
        <f>Six_Day_Summary!A20</f>
        <v>Tuesday</v>
      </c>
      <c r="E4" s="1066" t="str">
        <f>Six_Day_Summary!A25</f>
        <v>Wednesday</v>
      </c>
      <c r="F4" s="1067" t="str">
        <f>Six_Day_Summary!A30</f>
        <v>Thursday</v>
      </c>
      <c r="G4" s="98"/>
    </row>
    <row r="5" spans="1:8">
      <c r="A5" s="101" t="s">
        <v>297</v>
      </c>
      <c r="B5" s="1068">
        <f>Weather_Input!A6</f>
        <v>37080</v>
      </c>
      <c r="C5" s="1069">
        <f>Weather_Input!A7</f>
        <v>37081</v>
      </c>
      <c r="D5" s="1069">
        <f>Weather_Input!A8</f>
        <v>37082</v>
      </c>
      <c r="E5" s="1069">
        <f>Weather_Input!A9</f>
        <v>37083</v>
      </c>
      <c r="F5" s="1070">
        <f>Weather_Input!A10</f>
        <v>37084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27.414999999999999</v>
      </c>
      <c r="C6" s="1071">
        <f>PGL_Supplies!AB9/1000+PGL_Supplies!K9/1000-PGL_Requirements!N9/1000+C15-PGL_Requirements!S9/1000</f>
        <v>27.414999999999999</v>
      </c>
      <c r="D6" s="1071">
        <f>PGL_Supplies!AB10/1000+PGL_Supplies!K10/1000-PGL_Requirements!N10/1000+D15-PGL_Requirements!S10/1000</f>
        <v>27.414999999999999</v>
      </c>
      <c r="E6" s="1071">
        <f>PGL_Supplies!AB11/1000+PGL_Supplies!K11/1000-PGL_Requirements!N11/1000+E15-PGL_Requirements!S11/1000</f>
        <v>27.414999999999999</v>
      </c>
      <c r="F6" s="1072">
        <f>PGL_Supplies!AB12/1000+PGL_Supplies!K12/1000-PGL_Requirements!N12/1000+F15-PGL_Requirements!S12/1000</f>
        <v>27.414999999999999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Sunday</v>
      </c>
      <c r="C21" s="1081" t="str">
        <f t="shared" si="0"/>
        <v>Monday</v>
      </c>
      <c r="D21" s="1081" t="str">
        <f t="shared" si="0"/>
        <v>Tuesday</v>
      </c>
      <c r="E21" s="1081" t="str">
        <f t="shared" si="0"/>
        <v>Wednesday</v>
      </c>
      <c r="F21" s="1082" t="str">
        <f t="shared" si="0"/>
        <v>Thursday</v>
      </c>
      <c r="G21" s="98"/>
    </row>
    <row r="22" spans="1:7">
      <c r="A22" s="105" t="s">
        <v>297</v>
      </c>
      <c r="B22" s="1083">
        <f t="shared" si="0"/>
        <v>37080</v>
      </c>
      <c r="C22" s="1083">
        <f t="shared" si="0"/>
        <v>37081</v>
      </c>
      <c r="D22" s="1083">
        <f t="shared" si="0"/>
        <v>37082</v>
      </c>
      <c r="E22" s="1083">
        <f t="shared" si="0"/>
        <v>37083</v>
      </c>
      <c r="F22" s="1084">
        <f t="shared" si="0"/>
        <v>37084</v>
      </c>
      <c r="G22" s="98"/>
    </row>
    <row r="23" spans="1:7">
      <c r="A23" s="98" t="s">
        <v>298</v>
      </c>
      <c r="B23" s="1077">
        <f>NSG_Supplies!Q8/1000+NSG_Supplies!F8/1000-NSG_Requirements!H8/1000</f>
        <v>28.4</v>
      </c>
      <c r="C23" s="1077">
        <f>NSG_Supplies!Q9/1000+NSG_Supplies!F9/1000-NSG_Requirements!H9/1000</f>
        <v>28.4</v>
      </c>
      <c r="D23" s="1077">
        <f>NSG_Supplies!Q10/1000+NSG_Supplies!F10/1000-NSG_Requirements!H10/1000</f>
        <v>28.4</v>
      </c>
      <c r="E23" s="1077">
        <f>NSG_Supplies!Q12/1000+NSG_Supplies!F11/1000-NSG_Requirements!H11/1000</f>
        <v>28.4</v>
      </c>
      <c r="F23" s="1072">
        <f>NSG_Supplies!Q12/1000+NSG_Supplies!F12/1000-NSG_Requirements!H12/1000</f>
        <v>28.4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37080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6.4</v>
      </c>
      <c r="E4" s="789"/>
      <c r="F4" s="169" t="s">
        <v>520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5.6</v>
      </c>
      <c r="D5" s="433"/>
      <c r="E5" s="435">
        <f>AVERAGE(C5/24)</f>
        <v>0.23333333333333331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6.041666666666667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0.33200000000000002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178.846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100.583</v>
      </c>
      <c r="D11" s="778"/>
      <c r="E11" s="1056"/>
      <c r="F11" s="430" t="s">
        <v>356</v>
      </c>
      <c r="G11" s="442">
        <f>G8+G10</f>
        <v>179.178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100.583</v>
      </c>
      <c r="D14" s="433"/>
      <c r="E14" s="435">
        <f>AVERAGE(C14/24)</f>
        <v>4.1909583333333336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179.178</v>
      </c>
      <c r="H15" s="433" t="s">
        <v>9</v>
      </c>
      <c r="I15" s="435">
        <f>AVERAGE(G15/24)</f>
        <v>7.4657499999999999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37080</v>
      </c>
      <c r="I1" s="914"/>
      <c r="J1" s="916"/>
      <c r="K1" s="916"/>
    </row>
    <row r="2" spans="1:22" ht="16.5" customHeight="1">
      <c r="A2" s="934" t="s">
        <v>641</v>
      </c>
      <c r="C2" s="982">
        <v>327</v>
      </c>
      <c r="F2" s="983">
        <v>329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5.6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28.4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0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100.583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330</v>
      </c>
      <c r="F15" s="988">
        <v>330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494</v>
      </c>
      <c r="D18" s="990"/>
      <c r="E18" s="990"/>
      <c r="F18" s="983">
        <v>779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179.178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4.5</v>
      </c>
      <c r="H26" s="917"/>
      <c r="I26" s="917"/>
      <c r="J26" s="917" t="s">
        <v>542</v>
      </c>
      <c r="K26" s="995">
        <f>PGL_Deliveries!C6/1000</f>
        <v>185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150.76099999999997</v>
      </c>
      <c r="L28" s="917" t="s">
        <v>689</v>
      </c>
      <c r="M28" s="942">
        <f>SUM(J2+K17+K19+H11+H9-M26)</f>
        <v>6.3999999999999986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37079</v>
      </c>
      <c r="G29" s="936">
        <f>PGL_Requirements!G7/1000</f>
        <v>0</v>
      </c>
      <c r="H29" s="915"/>
      <c r="J29" s="917" t="s">
        <v>649</v>
      </c>
      <c r="K29" s="936">
        <f>PGL_Supplies!AB8/1000+PGL_Supplies!K8/1000-PGL_Requirements!N8/1000</f>
        <v>27.414999999999999</v>
      </c>
    </row>
    <row r="30" spans="1:17" ht="10.5" customHeight="1">
      <c r="A30" s="919"/>
      <c r="B30" s="936"/>
      <c r="C30" s="917"/>
      <c r="D30" s="936"/>
      <c r="F30" s="1041">
        <f>PGL_Requirements!A8</f>
        <v>37080</v>
      </c>
      <c r="G30" s="936">
        <f>PGL_Requirements!G8/1000</f>
        <v>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-6.8240000000000407</v>
      </c>
    </row>
    <row r="32" spans="1:17">
      <c r="A32" s="936">
        <f>PGL_Supplies!G8/1000</f>
        <v>1</v>
      </c>
      <c r="G32" s="936">
        <f>PGL_Requirements!O8/1000</f>
        <v>145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496</v>
      </c>
      <c r="F38" s="988">
        <v>746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295.76099999999997</v>
      </c>
      <c r="B40" s="930"/>
      <c r="C40" s="929"/>
      <c r="D40" s="930"/>
      <c r="E40" s="930"/>
      <c r="F40" s="998"/>
      <c r="G40" s="998">
        <f>SUM(G30:G35)</f>
        <v>145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150.76099999999997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329.5</v>
      </c>
      <c r="E45" s="1003"/>
      <c r="F45" s="1004">
        <v>6.7000000000000004E-2</v>
      </c>
      <c r="G45" s="1005">
        <f>(C45-D45)*F45</f>
        <v>8.073500000000001</v>
      </c>
      <c r="H45" s="1005">
        <f>(D45-B45)*F45</f>
        <v>3.6515000000000004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328.5</v>
      </c>
      <c r="E47" s="1003"/>
      <c r="F47" s="1004">
        <v>0.14099999999999999</v>
      </c>
      <c r="G47" s="1005">
        <f>(C47-D47)*F47</f>
        <v>17.131499999999999</v>
      </c>
      <c r="H47" s="1005">
        <f>(D47-B47)*F47</f>
        <v>7.543499999999999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495</v>
      </c>
      <c r="E48" s="1003"/>
      <c r="F48" s="1004">
        <v>0.161</v>
      </c>
      <c r="G48" s="1005">
        <f>(C48-D48)*F48</f>
        <v>41.055</v>
      </c>
      <c r="H48" s="1005">
        <f>(D48-B48)*F48</f>
        <v>33.81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66.259999999999991</v>
      </c>
      <c r="H49" s="1005">
        <f>SUM(H45:H48)</f>
        <v>45.005000000000003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37079</v>
      </c>
      <c r="B5" s="11">
        <v>85</v>
      </c>
      <c r="C5" s="49">
        <v>70</v>
      </c>
      <c r="D5" s="49">
        <v>6.3</v>
      </c>
      <c r="E5" s="11">
        <v>79.599999999999994</v>
      </c>
      <c r="F5" s="11">
        <v>5</v>
      </c>
      <c r="G5" s="11">
        <v>93</v>
      </c>
      <c r="H5" s="11">
        <v>0</v>
      </c>
      <c r="I5" s="894" t="s">
        <v>809</v>
      </c>
      <c r="J5" s="894"/>
      <c r="K5" s="11">
        <v>6</v>
      </c>
      <c r="L5" s="11">
        <v>1</v>
      </c>
      <c r="N5" s="15" t="str">
        <f>I5&amp;" "&amp;I5</f>
        <v xml:space="preserve"> OVERNIGHT…40% CHANCE OF T'STORMS.  OVERNIGHT…40% CHANCE OF T'STORMS.</v>
      </c>
      <c r="AE5" s="15">
        <v>1</v>
      </c>
      <c r="AH5" s="15" t="s">
        <v>32</v>
      </c>
    </row>
    <row r="6" spans="1:34" ht="16.5" customHeight="1">
      <c r="A6" s="86">
        <f>A5+1</f>
        <v>37080</v>
      </c>
      <c r="B6" s="11">
        <v>89</v>
      </c>
      <c r="C6" s="49">
        <v>69</v>
      </c>
      <c r="D6" s="49">
        <v>6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811</v>
      </c>
      <c r="K6" s="11">
        <v>3</v>
      </c>
      <c r="L6" s="11" t="s">
        <v>590</v>
      </c>
      <c r="N6" s="15" t="str">
        <f>I6&amp;" "&amp;J6</f>
        <v>PARTLY CLOUDY WITH A 30% CHANCE OF A T'STORM. VERY WARM AND HUMID. LIGHT WINDS S.E. 5 TO 10 MPH. OVERNIGHT…PARTLY CLOUDY. WINDS N.E. 5/10 MPH.</v>
      </c>
      <c r="AE6" s="15">
        <v>1</v>
      </c>
      <c r="AH6" s="15" t="s">
        <v>33</v>
      </c>
    </row>
    <row r="7" spans="1:34" ht="16.5" customHeight="1">
      <c r="A7" s="86">
        <f>A6+1</f>
        <v>37081</v>
      </c>
      <c r="B7" s="11">
        <v>89</v>
      </c>
      <c r="C7" s="49">
        <v>68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PARTLT CLOUDY. OVERNIGHT…PARTLY CLOUDY.  </v>
      </c>
    </row>
    <row r="8" spans="1:34" ht="16.5" customHeight="1">
      <c r="A8" s="86">
        <f>A7+1</f>
        <v>37082</v>
      </c>
      <c r="B8" s="11">
        <v>82</v>
      </c>
      <c r="C8" s="49">
        <v>60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1</v>
      </c>
      <c r="L8" s="11"/>
      <c r="N8" s="15" t="str">
        <f>I8&amp;" "&amp;J8</f>
        <v xml:space="preserve">MOSTLY SUNNY.   </v>
      </c>
    </row>
    <row r="9" spans="1:34" ht="16.5" customHeight="1">
      <c r="A9" s="86">
        <f>A8+1</f>
        <v>37083</v>
      </c>
      <c r="B9" s="11">
        <v>80</v>
      </c>
      <c r="C9" s="49">
        <v>58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SUNNY.  </v>
      </c>
    </row>
    <row r="10" spans="1:34" ht="16.5" customHeight="1">
      <c r="A10" s="86">
        <f>A9+1</f>
        <v>37084</v>
      </c>
      <c r="B10" s="11">
        <v>82</v>
      </c>
      <c r="C10" s="49">
        <v>61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94" t="s">
        <v>814</v>
      </c>
      <c r="J10" s="894" t="s">
        <v>9</v>
      </c>
      <c r="K10" s="11">
        <v>1</v>
      </c>
      <c r="L10" s="11" t="s">
        <v>392</v>
      </c>
      <c r="N10" s="15" t="str">
        <f>I10&amp;" "&amp;J10</f>
        <v xml:space="preserve">SUNNY.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177.50299999999999</v>
      </c>
      <c r="C2" s="60"/>
      <c r="D2" s="118" t="s">
        <v>310</v>
      </c>
      <c r="E2" s="421">
        <f>Weather_Input!A5</f>
        <v>37079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161.39400000000001</v>
      </c>
      <c r="C6" s="166"/>
      <c r="D6" s="59" t="s">
        <v>545</v>
      </c>
      <c r="E6" s="151">
        <f>PGL_Deliveries!P5/1000</f>
        <v>0.52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161.39400000000001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99.561000000000007</v>
      </c>
      <c r="C8" s="626"/>
      <c r="D8" s="115" t="s">
        <v>547</v>
      </c>
      <c r="E8" s="151">
        <f>PGL_Deliveries!N5/1000</f>
        <v>1.641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0.249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4.1630000000000003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11.476000000000001</v>
      </c>
      <c r="C11" s="63"/>
      <c r="D11" s="115" t="s">
        <v>549</v>
      </c>
      <c r="E11" s="151">
        <f>PGL_Deliveries!R5/1000</f>
        <v>0.443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4.3460000000000001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175.643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3.161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-130.36600000000001</v>
      </c>
      <c r="C15" s="63"/>
      <c r="D15" s="59" t="s">
        <v>380</v>
      </c>
      <c r="E15" s="151">
        <f>PGL_Deliveries!K5/1000</f>
        <v>1.2999999999999999E-2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7.0000000000000001E-3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5.08</v>
      </c>
      <c r="C17" s="166" t="s">
        <v>9</v>
      </c>
      <c r="D17" s="1086" t="s">
        <v>208</v>
      </c>
      <c r="E17" s="207">
        <f>PGL_Deliveries!M5/1000</f>
        <v>1.5660000000000001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161.39400000000001</v>
      </c>
      <c r="C18" s="166"/>
      <c r="D18" s="176" t="s">
        <v>554</v>
      </c>
      <c r="E18" s="175">
        <f>SUM(E5:E17)</f>
        <v>16.108999999999998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100.583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1.9650000000000001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18.073999999999998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100.583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9.3409999999999993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27.414999999999999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131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1.254</v>
      </c>
      <c r="C39" s="63"/>
      <c r="D39" s="209" t="s">
        <v>210</v>
      </c>
      <c r="E39" s="208">
        <f>SUM(E22:E33)-SUM(F23:F38)-E29</f>
        <v>18.073999999999998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178.846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1.9650000000000001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85</v>
      </c>
      <c r="C45" s="182"/>
      <c r="D45" s="60" t="s">
        <v>587</v>
      </c>
      <c r="E45" s="795">
        <f>PGL_Supplies!S7/1000</f>
        <v>0.33200000000000002</v>
      </c>
      <c r="F45" s="168"/>
    </row>
    <row r="46" spans="1:13" ht="15">
      <c r="A46" s="169" t="s">
        <v>580</v>
      </c>
      <c r="B46" s="234">
        <f>Weather_Input!C5</f>
        <v>70</v>
      </c>
      <c r="C46" s="159"/>
      <c r="D46" s="72" t="s">
        <v>791</v>
      </c>
      <c r="E46" s="60"/>
      <c r="F46" s="173">
        <f>PGL_Deliveries!BE5/1000</f>
        <v>1.9450000000000001</v>
      </c>
    </row>
    <row r="47" spans="1:13" ht="15">
      <c r="A47" s="170" t="s">
        <v>581</v>
      </c>
      <c r="B47" s="60">
        <f>Weather_Input!E5</f>
        <v>79.599999999999994</v>
      </c>
      <c r="C47" s="159"/>
      <c r="D47" s="769" t="s">
        <v>792</v>
      </c>
      <c r="E47" s="67"/>
      <c r="F47" s="1246">
        <f>PGL_Deliveries!BF5/1000</f>
        <v>1.2E-2</v>
      </c>
    </row>
    <row r="48" spans="1:13" ht="15">
      <c r="A48" s="169" t="s">
        <v>582</v>
      </c>
      <c r="B48" s="223">
        <f>Weather_Input!D5</f>
        <v>6.3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1.0229999999999999</v>
      </c>
      <c r="C49" s="159"/>
      <c r="D49" s="60" t="s">
        <v>727</v>
      </c>
      <c r="E49" s="151">
        <f>PGL_Deliveries!AJ5/1000</f>
        <v>11.476000000000001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30.332999999999998</v>
      </c>
      <c r="C3" s="117"/>
      <c r="D3" s="226" t="s">
        <v>310</v>
      </c>
      <c r="E3" s="424">
        <f>Weather_Input!A5</f>
        <v>37079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28.178999999999998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28.178999999999998</v>
      </c>
      <c r="C8" s="158"/>
      <c r="D8" s="806" t="s">
        <v>603</v>
      </c>
      <c r="E8" s="800">
        <f>NSG_Deliveries!F5/1000</f>
        <v>2.1539999999999999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9.8460000000000001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28.4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0.221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28.178999999999998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37079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37078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101258</v>
      </c>
      <c r="O6" s="201">
        <v>0</v>
      </c>
      <c r="P6" s="201">
        <v>53791221</v>
      </c>
      <c r="Q6" s="201">
        <v>15045098</v>
      </c>
      <c r="R6" s="201">
        <v>38746123</v>
      </c>
      <c r="S6" s="201">
        <v>0</v>
      </c>
    </row>
    <row r="7" spans="1:19">
      <c r="A7" s="4">
        <f>B1</f>
        <v>37079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103583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53894804</v>
      </c>
      <c r="Q7">
        <f>IF(O7&gt;0,Q6+O7,Q6)</f>
        <v>15045098</v>
      </c>
      <c r="R7">
        <f>IF(P7&gt;Q7,P7-Q7,0)</f>
        <v>38849706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T1" zoomScale="75" workbookViewId="0">
      <selection activeCell="AW5" sqref="AW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37079</v>
      </c>
      <c r="B5" s="1">
        <f>(Weather_Input!B5+Weather_Input!C5)/2</f>
        <v>77.5</v>
      </c>
      <c r="C5" s="895">
        <v>178000</v>
      </c>
      <c r="D5" s="896">
        <v>0</v>
      </c>
      <c r="E5" s="896">
        <v>0</v>
      </c>
      <c r="F5" s="896">
        <v>0</v>
      </c>
      <c r="G5" s="896">
        <v>4346</v>
      </c>
      <c r="H5" s="896">
        <v>3161</v>
      </c>
      <c r="I5" s="896">
        <v>161394</v>
      </c>
      <c r="J5" s="896">
        <v>0</v>
      </c>
      <c r="K5" s="896">
        <v>13</v>
      </c>
      <c r="L5" s="896">
        <v>7</v>
      </c>
      <c r="M5" s="896">
        <v>1566</v>
      </c>
      <c r="N5" s="896">
        <v>1641</v>
      </c>
      <c r="O5" s="896">
        <v>0</v>
      </c>
      <c r="P5" s="896">
        <v>520</v>
      </c>
      <c r="Q5" s="896">
        <v>249</v>
      </c>
      <c r="R5" s="896">
        <v>443</v>
      </c>
      <c r="S5" s="901">
        <v>4163</v>
      </c>
      <c r="T5" s="1085">
        <v>0</v>
      </c>
      <c r="U5" s="895">
        <f>SUM(D5:S5)-T5</f>
        <v>177503</v>
      </c>
      <c r="V5" s="895">
        <v>99561</v>
      </c>
      <c r="W5" s="11">
        <v>0</v>
      </c>
      <c r="X5" s="11">
        <v>0</v>
      </c>
      <c r="Y5" s="11">
        <v>0</v>
      </c>
      <c r="Z5" s="11">
        <v>177600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11476</v>
      </c>
      <c r="AK5" s="11">
        <v>0</v>
      </c>
      <c r="AL5" s="11">
        <v>0</v>
      </c>
      <c r="AM5" s="1">
        <v>1023</v>
      </c>
      <c r="AN5" s="1"/>
      <c r="AO5" s="1">
        <v>0</v>
      </c>
      <c r="AP5" s="1">
        <v>5080</v>
      </c>
      <c r="AQ5" s="1">
        <v>9341</v>
      </c>
      <c r="AR5" s="1">
        <v>0</v>
      </c>
      <c r="AS5" s="1">
        <v>0</v>
      </c>
      <c r="AT5" s="1">
        <v>1254</v>
      </c>
      <c r="AU5" s="1">
        <v>131000</v>
      </c>
      <c r="AV5" s="1">
        <v>620</v>
      </c>
      <c r="AW5" s="622">
        <f>AU5*0.015</f>
        <v>1965</v>
      </c>
      <c r="AX5" s="1">
        <v>0</v>
      </c>
      <c r="AY5" s="1"/>
      <c r="AZ5" s="1">
        <v>4346</v>
      </c>
      <c r="BA5" s="1">
        <v>3110</v>
      </c>
      <c r="BB5" s="1">
        <v>0</v>
      </c>
      <c r="BC5" s="1">
        <v>0</v>
      </c>
      <c r="BD5" s="1"/>
      <c r="BE5" s="1">
        <v>1945</v>
      </c>
      <c r="BF5" s="1">
        <v>12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37080</v>
      </c>
      <c r="B6" s="913">
        <f>(Weather_Input!B6+Weather_Input!C6)/2</f>
        <v>79</v>
      </c>
      <c r="C6" s="895">
        <v>185000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37081</v>
      </c>
      <c r="B7" s="913">
        <f>(Weather_Input!B7+Weather_Input!C7)/2</f>
        <v>78.5</v>
      </c>
      <c r="C7" s="895">
        <v>200000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37082</v>
      </c>
      <c r="B8" s="913">
        <f>(Weather_Input!B8+Weather_Input!C8)/2</f>
        <v>71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37083</v>
      </c>
      <c r="B9" s="913">
        <f>(Weather_Input!B9+Weather_Input!C9)/2</f>
        <v>69</v>
      </c>
      <c r="C9" s="895">
        <v>205000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37084</v>
      </c>
      <c r="B10" s="913">
        <f>(Weather_Input!B10+Weather_Input!C10)/2</f>
        <v>71.5</v>
      </c>
      <c r="C10" s="895">
        <v>205000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37079</v>
      </c>
      <c r="B5" s="1">
        <f>(Weather_Input!B5+Weather_Input!C5)/2</f>
        <v>77.5</v>
      </c>
      <c r="C5" s="895">
        <v>30500</v>
      </c>
      <c r="D5" s="895">
        <v>0</v>
      </c>
      <c r="E5" s="895">
        <v>28179</v>
      </c>
      <c r="F5" s="895">
        <v>2154</v>
      </c>
      <c r="G5" s="895">
        <v>0</v>
      </c>
      <c r="H5" s="903">
        <f>SUM(D5:G5)</f>
        <v>30333</v>
      </c>
      <c r="I5" s="1">
        <v>1005</v>
      </c>
      <c r="J5" s="1" t="s">
        <v>9</v>
      </c>
      <c r="K5" s="1">
        <v>221</v>
      </c>
      <c r="L5" s="1">
        <v>0</v>
      </c>
      <c r="M5" s="1">
        <v>9846</v>
      </c>
      <c r="N5" s="1">
        <v>0</v>
      </c>
    </row>
    <row r="6" spans="1:14">
      <c r="A6" s="12">
        <f>A5+1</f>
        <v>37080</v>
      </c>
      <c r="B6" s="913">
        <f>(Weather_Input!B6+Weather_Input!C6)/2</f>
        <v>79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37081</v>
      </c>
      <c r="B7" s="913">
        <f>(Weather_Input!B7+Weather_Input!C7)/2</f>
        <v>78.5</v>
      </c>
      <c r="C7" s="895">
        <v>36000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37082</v>
      </c>
      <c r="B8" s="913">
        <f>(Weather_Input!B8+Weather_Input!C8)/2</f>
        <v>71</v>
      </c>
      <c r="C8" s="895">
        <v>36000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37083</v>
      </c>
      <c r="B9" s="913">
        <f>(Weather_Input!B9+Weather_Input!C9)/2</f>
        <v>69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37084</v>
      </c>
      <c r="B10" s="913">
        <f>(Weather_Input!B10+Weather_Input!C10)/2</f>
        <v>71.5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E1" zoomScale="75" workbookViewId="0">
      <selection activeCell="N7" sqref="N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37079</v>
      </c>
      <c r="B7" s="904">
        <v>0</v>
      </c>
      <c r="C7" s="620">
        <v>0</v>
      </c>
      <c r="D7" s="620">
        <v>0</v>
      </c>
      <c r="E7" s="904">
        <v>3000</v>
      </c>
      <c r="F7" s="904">
        <v>0</v>
      </c>
      <c r="G7" s="906">
        <v>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9341</v>
      </c>
      <c r="O7" s="620">
        <v>131000</v>
      </c>
      <c r="P7" s="622">
        <f t="shared" ref="P7:P12" si="0">O7*0.015</f>
        <v>1965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37080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145000</v>
      </c>
      <c r="P8" s="622">
        <f t="shared" si="0"/>
        <v>2175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37081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40860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37082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37083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37084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H7" sqref="H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37079</v>
      </c>
      <c r="B7" s="622">
        <v>5080</v>
      </c>
      <c r="C7" s="622">
        <v>0</v>
      </c>
      <c r="D7" s="622">
        <v>0</v>
      </c>
      <c r="E7" s="622">
        <v>0</v>
      </c>
      <c r="F7" s="904">
        <v>0</v>
      </c>
      <c r="G7" s="620">
        <v>1254</v>
      </c>
      <c r="H7" s="620">
        <v>11476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332</v>
      </c>
      <c r="T7" s="620">
        <v>0</v>
      </c>
      <c r="U7" s="621">
        <v>128802</v>
      </c>
      <c r="V7" s="621">
        <v>0</v>
      </c>
      <c r="W7" s="619">
        <v>0</v>
      </c>
      <c r="X7" s="907">
        <v>100583</v>
      </c>
      <c r="Y7" s="621">
        <v>200</v>
      </c>
      <c r="Z7" s="1">
        <v>0</v>
      </c>
      <c r="AA7" s="619">
        <v>178846</v>
      </c>
      <c r="AB7" s="619">
        <v>27415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37080</v>
      </c>
      <c r="B8" s="622">
        <v>9850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332</v>
      </c>
      <c r="T8" s="620">
        <v>0</v>
      </c>
      <c r="U8" s="621">
        <v>128802</v>
      </c>
      <c r="V8" s="621">
        <v>0</v>
      </c>
      <c r="W8" s="619">
        <v>0</v>
      </c>
      <c r="X8" s="907">
        <v>100583</v>
      </c>
      <c r="Y8" s="621">
        <v>200</v>
      </c>
      <c r="Z8" s="1">
        <v>0</v>
      </c>
      <c r="AA8" s="619">
        <v>178846</v>
      </c>
      <c r="AB8" s="619">
        <v>27415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37081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332</v>
      </c>
      <c r="T9" s="620">
        <v>0</v>
      </c>
      <c r="U9" s="621">
        <v>128802</v>
      </c>
      <c r="V9" s="621">
        <v>0</v>
      </c>
      <c r="W9" s="619">
        <v>0</v>
      </c>
      <c r="X9" s="907">
        <v>100583</v>
      </c>
      <c r="Y9" s="621">
        <v>200</v>
      </c>
      <c r="Z9" s="1">
        <v>0</v>
      </c>
      <c r="AA9" s="619">
        <v>178846</v>
      </c>
      <c r="AB9" s="619">
        <v>27415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37082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128802</v>
      </c>
      <c r="V10" s="621">
        <v>0</v>
      </c>
      <c r="W10" s="619">
        <v>0</v>
      </c>
      <c r="X10" s="907">
        <v>100583</v>
      </c>
      <c r="Y10" s="621">
        <v>200</v>
      </c>
      <c r="Z10" s="1">
        <v>0</v>
      </c>
      <c r="AA10" s="619">
        <v>178846</v>
      </c>
      <c r="AB10" s="619">
        <v>27415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37083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128802</v>
      </c>
      <c r="V11" s="621">
        <v>0</v>
      </c>
      <c r="W11" s="619">
        <v>0</v>
      </c>
      <c r="X11" s="907">
        <v>100583</v>
      </c>
      <c r="Y11" s="621">
        <v>200</v>
      </c>
      <c r="Z11" s="1">
        <v>0</v>
      </c>
      <c r="AA11" s="619">
        <v>178846</v>
      </c>
      <c r="AB11" s="619">
        <v>27415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37084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128802</v>
      </c>
      <c r="V12" s="621">
        <v>0</v>
      </c>
      <c r="W12" s="619">
        <v>0</v>
      </c>
      <c r="X12" s="907">
        <v>100583</v>
      </c>
      <c r="Y12" s="621">
        <v>200</v>
      </c>
      <c r="Z12" s="1">
        <v>0</v>
      </c>
      <c r="AA12" s="619">
        <v>178846</v>
      </c>
      <c r="AB12" s="619">
        <v>27415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I7" sqref="I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37079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221</v>
      </c>
      <c r="I7" s="905">
        <v>7197</v>
      </c>
      <c r="J7" s="905">
        <v>9846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37079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37080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6400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37080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37081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37081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37082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37082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37083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37083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37084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37084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K1" sqref="K1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37079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28400</v>
      </c>
      <c r="R7" s="622">
        <v>17067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37080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28400</v>
      </c>
      <c r="R8" s="622">
        <v>17067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37081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28400</v>
      </c>
      <c r="R9" s="622">
        <v>17067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37082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28400</v>
      </c>
      <c r="R10" s="622">
        <v>17067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37083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28400</v>
      </c>
      <c r="R11" s="622">
        <v>17067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37084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28400</v>
      </c>
      <c r="R12" s="622">
        <v>17067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SAT</v>
      </c>
      <c r="I1" s="824">
        <f>D4</f>
        <v>37079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</row>
    <row r="4" spans="1:256" ht="18.899999999999999" customHeight="1" thickBot="1">
      <c r="A4" s="831"/>
      <c r="B4" s="832"/>
      <c r="C4" s="832"/>
      <c r="D4" s="461">
        <f>Weather_Input!A5</f>
        <v>37079</v>
      </c>
      <c r="E4" s="461">
        <f>Weather_Input!A6</f>
        <v>37080</v>
      </c>
      <c r="F4" s="461">
        <f>Weather_Input!A7</f>
        <v>37081</v>
      </c>
      <c r="G4" s="461">
        <f>Weather_Input!A8</f>
        <v>37082</v>
      </c>
      <c r="H4" s="461">
        <f>Weather_Input!A9</f>
        <v>37083</v>
      </c>
      <c r="I4" s="462">
        <f>Weather_Input!A10</f>
        <v>37084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85/70/78</v>
      </c>
      <c r="E5" s="463" t="str">
        <f>TEXT(Weather_Input!B6,"0")&amp;"/"&amp;TEXT(Weather_Input!C6,"0") &amp; "/" &amp; TEXT((Weather_Input!B6+Weather_Input!C6)/2,"0")</f>
        <v>89/69/79</v>
      </c>
      <c r="F5" s="463" t="str">
        <f>TEXT(Weather_Input!B7,"0")&amp;"/"&amp;TEXT(Weather_Input!C7,"0") &amp; "/" &amp; TEXT((Weather_Input!B7+Weather_Input!C7)/2,"0")</f>
        <v>89/68/79</v>
      </c>
      <c r="G5" s="463" t="str">
        <f>TEXT(Weather_Input!B8,"0")&amp;"/"&amp;TEXT(Weather_Input!C8,"0") &amp; "/" &amp; TEXT((Weather_Input!B8+Weather_Input!C8)/2,"0")</f>
        <v>82/60/71</v>
      </c>
      <c r="H5" s="463" t="str">
        <f>TEXT(Weather_Input!B9,"0")&amp;"/"&amp;TEXT(Weather_Input!C9,"0") &amp; "/" &amp; TEXT((Weather_Input!B9+Weather_Input!C9)/2,"0")</f>
        <v>80/58/69</v>
      </c>
      <c r="I5" s="464" t="str">
        <f>TEXT(Weather_Input!B10,"0")&amp;"/"&amp;TEXT(Weather_Input!C10,"0") &amp; "/" &amp; TEXT((Weather_Input!B10+Weather_Input!C10)/2,"0")</f>
        <v>82/61/72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178</v>
      </c>
      <c r="E6" s="463">
        <f>PGL_Deliveries!C6/1000</f>
        <v>185</v>
      </c>
      <c r="F6" s="463">
        <f>PGL_Deliveries!C7/1000</f>
        <v>200</v>
      </c>
      <c r="G6" s="463">
        <f>PGL_Deliveries!C8/1000</f>
        <v>205</v>
      </c>
      <c r="H6" s="463">
        <f>PGL_Deliveries!C9/1000</f>
        <v>205</v>
      </c>
      <c r="I6" s="464">
        <f>PGL_Deliveries!C10/1000</f>
        <v>205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0</v>
      </c>
      <c r="E7" s="463">
        <f>PGL_Requirements!G8/1000*0.5</f>
        <v>0</v>
      </c>
      <c r="F7" s="463">
        <f>PGL_Requirements!G9/1000*0.5</f>
        <v>20.43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131</v>
      </c>
      <c r="E11" s="463">
        <f>PGL_Requirements!O8/1000</f>
        <v>145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1.9650000000000001</v>
      </c>
      <c r="E12" s="463">
        <f>PGL_Requirements!P8/1000</f>
        <v>2.1749999999999998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9.3409999999999993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324.12599999999998</v>
      </c>
      <c r="E25" s="467">
        <f t="shared" si="1"/>
        <v>336.065</v>
      </c>
      <c r="F25" s="467">
        <f t="shared" si="1"/>
        <v>358.3</v>
      </c>
      <c r="G25" s="467">
        <f t="shared" si="1"/>
        <v>342.87</v>
      </c>
      <c r="H25" s="467">
        <f t="shared" si="1"/>
        <v>342.87</v>
      </c>
      <c r="I25" s="1099">
        <f t="shared" si="1"/>
        <v>342.87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1.254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0.16600000000000001</v>
      </c>
      <c r="E36" s="463">
        <f>PGL_Supplies!S8/1000*0.5</f>
        <v>0.16600000000000001</v>
      </c>
      <c r="F36" s="463">
        <f>PGL_Supplies!S9/1000*0.5</f>
        <v>0.16600000000000001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100.583</v>
      </c>
      <c r="E37" s="463">
        <f>PGL_Supplies!X8/1000</f>
        <v>100.583</v>
      </c>
      <c r="F37" s="463">
        <f>PGL_Supplies!X9/1000</f>
        <v>100.583</v>
      </c>
      <c r="G37" s="463">
        <f>PGL_Supplies!X10/1000</f>
        <v>100.583</v>
      </c>
      <c r="H37" s="463">
        <f>PGL_Supplies!X11/1000</f>
        <v>100.583</v>
      </c>
      <c r="I37" s="464">
        <f>PGL_Supplies!X12/1000</f>
        <v>100.583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178.846</v>
      </c>
      <c r="E40" s="463">
        <f>PGL_Supplies!AA8/1000</f>
        <v>178.846</v>
      </c>
      <c r="F40" s="463">
        <f>PGL_Supplies!AA9/1000</f>
        <v>178.846</v>
      </c>
      <c r="G40" s="463">
        <f>PGL_Supplies!AA10/1000</f>
        <v>178.846</v>
      </c>
      <c r="H40" s="463">
        <f>PGL_Supplies!AA11/1000</f>
        <v>178.846</v>
      </c>
      <c r="I40" s="464">
        <f>PGL_Supplies!AA12/1000</f>
        <v>178.846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27.414999999999999</v>
      </c>
      <c r="E41" s="463">
        <f>PGL_Supplies!AB8/1000</f>
        <v>27.414999999999999</v>
      </c>
      <c r="F41" s="463">
        <f>PGL_Supplies!AB9/1000</f>
        <v>27.414999999999999</v>
      </c>
      <c r="G41" s="463">
        <f>PGL_Supplies!AB10/1000</f>
        <v>27.414999999999999</v>
      </c>
      <c r="H41" s="463">
        <f>PGL_Supplies!AB11/1000</f>
        <v>27.414999999999999</v>
      </c>
      <c r="I41" s="464">
        <f>PGL_Supplies!AB12/1000</f>
        <v>27.414999999999999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11.476000000000001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5.08</v>
      </c>
      <c r="E45" s="463">
        <f>PGL_Supplies!B8/1000</f>
        <v>9.85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328.02</v>
      </c>
      <c r="E50" s="473">
        <f t="shared" si="2"/>
        <v>336.06000000000006</v>
      </c>
      <c r="F50" s="473">
        <f t="shared" si="2"/>
        <v>326.21000000000004</v>
      </c>
      <c r="G50" s="473">
        <f t="shared" si="2"/>
        <v>326.04400000000004</v>
      </c>
      <c r="H50" s="473">
        <f t="shared" si="2"/>
        <v>326.04400000000004</v>
      </c>
      <c r="I50" s="1101">
        <f t="shared" si="2"/>
        <v>326.04400000000004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3.8940000000000055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4.9999999999386091E-3</v>
      </c>
      <c r="F52" s="475">
        <f t="shared" si="4"/>
        <v>32.089999999999975</v>
      </c>
      <c r="G52" s="475">
        <f t="shared" si="4"/>
        <v>16.825999999999965</v>
      </c>
      <c r="H52" s="475">
        <f t="shared" si="4"/>
        <v>16.825999999999965</v>
      </c>
      <c r="I52" s="1103">
        <f t="shared" si="4"/>
        <v>16.825999999999965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128.80199999999999</v>
      </c>
      <c r="E53" s="1092">
        <f>PGL_Supplies!U8/1000</f>
        <v>128.80199999999999</v>
      </c>
      <c r="F53" s="1092">
        <f>PGL_Supplies!U9/1000</f>
        <v>128.80199999999999</v>
      </c>
      <c r="G53" s="1092">
        <f>PGL_Supplies!U10/1000</f>
        <v>128.80199999999999</v>
      </c>
      <c r="H53" s="1092">
        <f>PGL_Supplies!U11/1000</f>
        <v>128.80199999999999</v>
      </c>
      <c r="I53" s="1093">
        <f>PGL_Supplies!U12/1000</f>
        <v>128.80199999999999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2001-07-08T17:34:03Z</cp:lastPrinted>
  <dcterms:created xsi:type="dcterms:W3CDTF">1997-07-16T16:14:22Z</dcterms:created>
  <dcterms:modified xsi:type="dcterms:W3CDTF">2023-09-10T11:13:24Z</dcterms:modified>
</cp:coreProperties>
</file>