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<sst xmlns="http://schemas.openxmlformats.org/spreadsheetml/2006/main" count="2069" uniqueCount="813">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</sst>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8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8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8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9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9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9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SAT</v>
      </c>
      <c r="I1" s="865">
        <f>D4</f>
        <v>37072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37072</v>
      </c>
      <c r="E4" s="833">
        <f>Weather_Input!A6</f>
        <v>37073</v>
      </c>
      <c r="F4" s="833">
        <f>Weather_Input!A7</f>
        <v>37074</v>
      </c>
      <c r="G4" s="833">
        <f>Weather_Input!A8</f>
        <v>37075</v>
      </c>
      <c r="H4" s="833">
        <f>Weather_Input!A9</f>
        <v>37076</v>
      </c>
      <c r="I4" s="834">
        <f>Weather_Input!A10</f>
        <v>37077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88/65/77</v>
      </c>
      <c r="E5" s="866" t="str">
        <f>TEXT(Weather_Input!B6,"0")&amp;"/"&amp;TEXT(Weather_Input!C6,"0") &amp; "/" &amp; TEXT((Weather_Input!B6+Weather_Input!C6)/2,"0")</f>
        <v>72/49/61</v>
      </c>
      <c r="F5" s="866" t="str">
        <f>TEXT(Weather_Input!B7,"0")&amp;"/"&amp;TEXT(Weather_Input!C7,"0") &amp; "/" &amp; TEXT((Weather_Input!B7+Weather_Input!C7)/2,"0")</f>
        <v>72/57/65</v>
      </c>
      <c r="G5" s="866" t="str">
        <f>TEXT(Weather_Input!B8,"0")&amp;"/"&amp;TEXT(Weather_Input!C8,"0") &amp; "/" &amp; TEXT((Weather_Input!B8+Weather_Input!C8)/2,"0")</f>
        <v>78/59/69</v>
      </c>
      <c r="H5" s="866" t="str">
        <f>TEXT(Weather_Input!B9,"0")&amp;"/"&amp;TEXT(Weather_Input!C9,"0") &amp; "/" &amp; TEXT((Weather_Input!B9+Weather_Input!C9)/2,"0")</f>
        <v>74/53/64</v>
      </c>
      <c r="I5" s="867" t="str">
        <f>TEXT(Weather_Input!B10,"0")&amp;"/"&amp;TEXT(Weather_Input!C10,"0") &amp; "/" &amp; TEXT((Weather_Input!B10+Weather_Input!C10)/2,"0")</f>
        <v>74/53/64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30.5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35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11.914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1.66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44.073999999999998</v>
      </c>
      <c r="E11" s="845">
        <f t="shared" ca="1" si="1"/>
        <v>34</v>
      </c>
      <c r="F11" s="845">
        <f t="shared" ca="1" si="1"/>
        <v>36</v>
      </c>
      <c r="G11" s="845">
        <f t="shared" ca="1" si="1"/>
        <v>35</v>
      </c>
      <c r="H11" s="845">
        <f t="shared" ca="1" si="1"/>
        <v>34</v>
      </c>
      <c r="I11" s="846">
        <f t="shared" ca="1" si="1"/>
        <v>35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32.158999999999999</v>
      </c>
      <c r="E19" s="836">
        <f>NSG_Supplies!Q8/1000</f>
        <v>27.577000000000002</v>
      </c>
      <c r="F19" s="836">
        <f>NSG_Supplies!Q9/1000</f>
        <v>27.577000000000002</v>
      </c>
      <c r="G19" s="836">
        <f>NSG_Supplies!Q10/1000</f>
        <v>27.577000000000002</v>
      </c>
      <c r="H19" s="836">
        <f>NSG_Supplies!Q11/1000</f>
        <v>27.577000000000002</v>
      </c>
      <c r="I19" s="837">
        <f>NSG_Supplies!Q12/1000</f>
        <v>27.577000000000002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44.073</v>
      </c>
      <c r="E21" s="1244">
        <f t="shared" si="2"/>
        <v>39.576999999999998</v>
      </c>
      <c r="F21" s="1244">
        <f t="shared" si="2"/>
        <v>39.576999999999998</v>
      </c>
      <c r="G21" s="1244">
        <f t="shared" si="2"/>
        <v>39.576999999999998</v>
      </c>
      <c r="H21" s="1244">
        <f t="shared" si="2"/>
        <v>39.576999999999998</v>
      </c>
      <c r="I21" s="1245">
        <f t="shared" si="2"/>
        <v>39.576999999999998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5.5769999999999982</v>
      </c>
      <c r="F22" s="877">
        <f t="shared" ca="1" si="3"/>
        <v>3.5769999999999982</v>
      </c>
      <c r="G22" s="877">
        <f t="shared" ca="1" si="3"/>
        <v>4.5769999999999982</v>
      </c>
      <c r="H22" s="877">
        <f t="shared" ca="1" si="3"/>
        <v>5.5769999999999982</v>
      </c>
      <c r="I22" s="878">
        <f t="shared" ca="1" si="3"/>
        <v>4.5769999999999982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9.9999999999766942E-4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20.285</v>
      </c>
      <c r="E24" s="1097">
        <f>NSG_Supplies!R8/1000</f>
        <v>16.244</v>
      </c>
      <c r="F24" s="1097">
        <f>NSG_Supplies!R9/1000</f>
        <v>16.244</v>
      </c>
      <c r="G24" s="1097">
        <f>NSG_Supplies!R10/1000</f>
        <v>16.244</v>
      </c>
      <c r="H24" s="1097">
        <f>NSG_Supplies!R11/1000</f>
        <v>16.244</v>
      </c>
      <c r="I24" s="1098">
        <f>NSG_Supplies!R12/1000</f>
        <v>16.244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10</v>
      </c>
      <c r="E26" s="884">
        <f>Weather_Input!D6</f>
        <v>15</v>
      </c>
      <c r="F26" s="884">
        <f>Weather_Input!D7</f>
        <v>12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37072</v>
      </c>
      <c r="N1" s="1218" t="str">
        <f>CHOOSE(WEEKDAY(M1),"SUN","MON","TUE","WED","THU","FRI","SAT")</f>
        <v>SAT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88</v>
      </c>
      <c r="K3" s="945">
        <f>Weather_Input!C5</f>
        <v>65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>
        <v>77.7</v>
      </c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93.063000000000002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93.063000000000002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1.2529999999999999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93.063000000000002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1.2529999999999999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-104.69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105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171.34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0.69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-2.2999999999999998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1.575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-104.69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-20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152.41300000000001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17.586999999999989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20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1.575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19.161999999999988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3.76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-22.922999999999998</v>
      </c>
      <c r="L30" s="1161"/>
      <c r="M30" s="1061">
        <f>-PGL_Supplies!AB7/1000</f>
        <v>-22.922999999999998</v>
      </c>
      <c r="N30" s="1162"/>
      <c r="O30" s="1222">
        <f>-PGL_Supplies!AB7/1000</f>
        <v>-22.922999999999998</v>
      </c>
    </row>
    <row r="31" spans="1:15" ht="16.2" thickBot="1">
      <c r="A31" s="365" t="s">
        <v>459</v>
      </c>
      <c r="B31" s="966">
        <f>PGL_Supplies!D7/1000</f>
        <v>6.8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157.04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171.34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151.34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20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171.34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SAT</v>
      </c>
      <c r="G1" s="1224">
        <f>Weather_Input!A5</f>
        <v>37072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77.7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88</v>
      </c>
      <c r="C4" s="750">
        <f>Weather_Input!C5</f>
        <v>65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30.5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30.5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30.5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1.66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-32.158999999999999</v>
      </c>
      <c r="D25" s="710"/>
      <c r="E25" s="703">
        <f>-NSG_Supplies!Q7/1000</f>
        <v>-32.158999999999999</v>
      </c>
      <c r="F25" s="710"/>
      <c r="G25" s="703">
        <f>-NSG_Supplies!Q7/1000</f>
        <v>-32.158999999999999</v>
      </c>
      <c r="H25" s="709"/>
      <c r="I25" s="766">
        <f>-NSG_Supplies!Q7/1000</f>
        <v>-32.158999999999999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11.914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88</v>
      </c>
      <c r="C5" s="261">
        <f>Weather_Input!C5</f>
        <v>65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170</v>
      </c>
      <c r="C8" s="269">
        <f>NSG_Deliveries!C5/1000</f>
        <v>30.5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124.01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-11.936999999999998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2.2999999999999998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30.5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1.575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30.5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0.69</v>
      </c>
      <c r="C27" s="305">
        <f>NSG_Requirements!P7/1000</f>
        <v>0</v>
      </c>
      <c r="D27" s="305">
        <f>PGL_Requirements!Q7/1000</f>
        <v>0.69</v>
      </c>
      <c r="E27" s="305">
        <f>NSG_Requirements!P7/1000</f>
        <v>0</v>
      </c>
      <c r="F27" s="305">
        <f>PGL_Requirements!Q7/1000</f>
        <v>0.69</v>
      </c>
      <c r="G27" s="305">
        <f>NSG_Requirements!P7/1000</f>
        <v>0</v>
      </c>
      <c r="H27" s="306">
        <f>+B27</f>
        <v>0.69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-22.922999999999998</v>
      </c>
      <c r="C32" s="310">
        <f>-NSG_Supplies!Q7/1000</f>
        <v>-32.158999999999999</v>
      </c>
      <c r="D32" s="310">
        <f>B32</f>
        <v>-22.922999999999998</v>
      </c>
      <c r="E32" s="310">
        <f>C32</f>
        <v>-32.158999999999999</v>
      </c>
      <c r="F32" s="310">
        <f>B32</f>
        <v>-22.922999999999998</v>
      </c>
      <c r="G32" s="310">
        <f>C32</f>
        <v>-32.158999999999999</v>
      </c>
      <c r="H32" s="315">
        <f>B32</f>
        <v>-22.922999999999998</v>
      </c>
      <c r="I32" s="316">
        <f>C32</f>
        <v>-32.158999999999999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-20.285</v>
      </c>
      <c r="D33" s="310">
        <f>B33</f>
        <v>0</v>
      </c>
      <c r="E33" s="310">
        <f>C33</f>
        <v>-20.285</v>
      </c>
      <c r="F33" s="310">
        <f>B33</f>
        <v>0</v>
      </c>
      <c r="G33" s="310">
        <f>C33</f>
        <v>-20.285</v>
      </c>
      <c r="H33" s="315">
        <f>B33</f>
        <v>0</v>
      </c>
      <c r="I33" s="316">
        <f>C33</f>
        <v>-20.285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3.76</v>
      </c>
      <c r="C35" s="305">
        <f>NSG_Requirements!H7/1000</f>
        <v>1.66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1.575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1.575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124.01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124.01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1.2529999999999999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93.063000000000002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-11.936999999999998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SAT</v>
      </c>
      <c r="H73" s="401">
        <f>Weather_Input!A5</f>
        <v>37072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124.01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93.063000000000002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2.2999999999999998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-1.2529999999999999</v>
      </c>
      <c r="C116" s="414">
        <f>-NSG_Supplies!V7/1000</f>
        <v>0</v>
      </c>
      <c r="D116" s="310">
        <f>-PGL_Supplies!Y7/1000</f>
        <v>-1.2529999999999999</v>
      </c>
      <c r="E116" s="310">
        <f>-NSG_Supplies!V7/1000</f>
        <v>0</v>
      </c>
      <c r="F116" s="310">
        <f>-PGL_Supplies!Y7/1000</f>
        <v>-1.2529999999999999</v>
      </c>
      <c r="G116" s="310">
        <f>-NSG_Supplies!V7/1000</f>
        <v>0</v>
      </c>
      <c r="H116" s="315">
        <f>-PGL_Supplies!Y7/1000</f>
        <v>-1.2529999999999999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-20.285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1.2529999999999999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3.76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1.2529999999999999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124.01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124.01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1.575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93.063000000000002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93.063000000000002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37073.168823611108</v>
      </c>
      <c r="F22" s="161" t="s">
        <v>257</v>
      </c>
      <c r="G22" s="188">
        <f ca="1">NOW()</f>
        <v>37073.168823611108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37072</v>
      </c>
      <c r="C5" s="15"/>
      <c r="D5" s="22" t="s">
        <v>275</v>
      </c>
      <c r="E5" s="23">
        <f>Weather_Input!B5</f>
        <v>88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65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>CHANCE OF A T-STORM. HIGH IN THE MIDDLE 80S.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37073</v>
      </c>
      <c r="C10" s="15"/>
      <c r="D10" s="150" t="s">
        <v>275</v>
      </c>
      <c r="E10" s="23">
        <f>Weather_Input!B6</f>
        <v>72</v>
      </c>
      <c r="F10" s="24" t="s">
        <v>276</v>
      </c>
      <c r="G10" s="25">
        <f>IF(E12&lt;65,65-(Weather_Input!B6+Weather_Input!C6)/2,0)</f>
        <v>4.5</v>
      </c>
      <c r="H10" s="26" t="s">
        <v>277</v>
      </c>
      <c r="I10" s="27">
        <f ca="1">G10-(VLOOKUP(B10,DD_Normal_Data,CELL("Col",B11),FALSE))</f>
        <v>4.5</v>
      </c>
    </row>
    <row r="11" spans="1:109" ht="15">
      <c r="A11" s="18"/>
      <c r="B11" s="21"/>
      <c r="C11" s="15"/>
      <c r="D11" s="22" t="s">
        <v>162</v>
      </c>
      <c r="E11" s="23">
        <f>Weather_Input!C6</f>
        <v>49</v>
      </c>
      <c r="F11" s="24" t="s">
        <v>278</v>
      </c>
      <c r="G11" s="25">
        <f>IF(DAY(B10)=1,G10,G6+G10)</f>
        <v>4.5</v>
      </c>
      <c r="H11" s="30" t="s">
        <v>279</v>
      </c>
      <c r="I11" s="27">
        <f ca="1">G11-(VLOOKUP(B10,DD_Normal_Data,CELL("Col",C12),FALSE))</f>
        <v>4.5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60.5</v>
      </c>
      <c r="F12" s="24" t="s">
        <v>281</v>
      </c>
      <c r="G12" s="25">
        <f>IF(AND(DAY(B10)=1,MONTH(B10)=8),G10,G7+G10)</f>
        <v>6704.5</v>
      </c>
      <c r="H12" s="26" t="s">
        <v>281</v>
      </c>
      <c r="I12" s="27">
        <f ca="1">G12-(VLOOKUP(B10,DD_Normal_Data,CELL("Col",D9),FALSE))</f>
        <v>282.5</v>
      </c>
    </row>
    <row r="13" spans="1:109" ht="15">
      <c r="A13" s="18"/>
      <c r="B13" s="21"/>
      <c r="C13" s="15"/>
      <c r="D13" s="32" t="str">
        <f>IF(Weather_Input!I6=""," ",Weather_Input!I6)</f>
        <v>CHANCE OF SHOWERS AND T-STORMS. HIGH IN THE 80S.. LOW IN THE MIDDLE 60S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37074</v>
      </c>
      <c r="C15" s="15"/>
      <c r="D15" s="22" t="s">
        <v>275</v>
      </c>
      <c r="E15" s="23">
        <f>Weather_Input!B7</f>
        <v>72</v>
      </c>
      <c r="F15" s="24" t="s">
        <v>276</v>
      </c>
      <c r="G15" s="25">
        <f>IF(E17&lt;65,65-(Weather_Input!B7+Weather_Input!C7)/2,0)</f>
        <v>0.5</v>
      </c>
      <c r="H15" s="26" t="s">
        <v>277</v>
      </c>
      <c r="I15" s="27">
        <f ca="1">G15-(VLOOKUP(B15,DD_Normal_Data,CELL("Col",B16),FALSE))</f>
        <v>0.5</v>
      </c>
    </row>
    <row r="16" spans="1:109" ht="15">
      <c r="A16" s="18"/>
      <c r="B16" s="20"/>
      <c r="C16" s="15"/>
      <c r="D16" s="22" t="s">
        <v>162</v>
      </c>
      <c r="E16" s="23">
        <f>Weather_Input!C7</f>
        <v>57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64.5</v>
      </c>
      <c r="F17" s="24" t="s">
        <v>281</v>
      </c>
      <c r="G17" s="25">
        <f>IF(AND(DAY(B15)=1,MONTH(B15)=8),G15,G12+G15)</f>
        <v>6705</v>
      </c>
      <c r="H17" s="26" t="s">
        <v>281</v>
      </c>
      <c r="I17" s="27">
        <f ca="1">G17-(VLOOKUP(B15,DD_Normal_Data,CELL("Col",D14),FALSE))</f>
        <v>283</v>
      </c>
    </row>
    <row r="18" spans="1:109" ht="15">
      <c r="A18" s="18"/>
      <c r="B18" s="20"/>
      <c r="C18" s="15"/>
      <c r="D18" s="32" t="str">
        <f>IF(Weather_Input!I7=""," ",Weather_Input!I7)</f>
        <v>PARTLY CLOUDY. HIGH IN THE MIDDLE 80S.. LOW IN THE LOWER 60S.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37075</v>
      </c>
      <c r="C20" s="15"/>
      <c r="D20" s="22" t="s">
        <v>275</v>
      </c>
      <c r="E20" s="23">
        <f>Weather_Input!B8</f>
        <v>78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59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68.5</v>
      </c>
      <c r="F22" s="24" t="s">
        <v>281</v>
      </c>
      <c r="G22" s="25">
        <f>IF(AND(DAY(B20)=1,MONTH(B20)=8),G20,G17+G20)</f>
        <v>6705</v>
      </c>
      <c r="H22" s="26" t="s">
        <v>281</v>
      </c>
      <c r="I22" s="27">
        <f ca="1">G22-(VLOOKUP(B20,DD_Normal_Data,CELL("Col",D19),FALSE))</f>
        <v>283</v>
      </c>
    </row>
    <row r="23" spans="1:109" ht="15">
      <c r="A23" s="18"/>
      <c r="B23" s="21"/>
      <c r="C23" s="15"/>
      <c r="D23" s="32" t="str">
        <f>IF(Weather_Input!I8=""," ",Weather_Input!I8)</f>
        <v>PARTLY CLOUDY. HIGH IN THE MIDDLE 80S.. LOW IN THE LOWER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37076</v>
      </c>
      <c r="C25" s="15"/>
      <c r="D25" s="22" t="s">
        <v>275</v>
      </c>
      <c r="E25" s="23">
        <f>Weather_Input!B9</f>
        <v>74</v>
      </c>
      <c r="F25" s="24" t="s">
        <v>276</v>
      </c>
      <c r="G25" s="25">
        <f>IF(E27&lt;65,65-(Weather_Input!B9+Weather_Input!C9)/2,0)</f>
        <v>1.5</v>
      </c>
      <c r="H25" s="26" t="s">
        <v>277</v>
      </c>
      <c r="I25" s="27">
        <f ca="1">G25-(VLOOKUP(B25,DD_Normal_Data,CELL("Col",B26),FALSE))</f>
        <v>1.5</v>
      </c>
    </row>
    <row r="26" spans="1:109" ht="15">
      <c r="A26" s="18"/>
      <c r="B26" s="21"/>
      <c r="C26" s="15"/>
      <c r="D26" s="22" t="s">
        <v>162</v>
      </c>
      <c r="E26" s="23">
        <f>Weather_Input!C9</f>
        <v>53</v>
      </c>
      <c r="F26" s="24" t="s">
        <v>278</v>
      </c>
      <c r="G26" s="25">
        <f>IF(DAY(B25)=1,G25,G21+G25)</f>
        <v>6.5</v>
      </c>
      <c r="H26" s="30" t="s">
        <v>279</v>
      </c>
      <c r="I26" s="27">
        <f ca="1">G26-(VLOOKUP(B25,DD_Normal_Data,CELL("Col",C27),FALSE))</f>
        <v>6.5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63.5</v>
      </c>
      <c r="F27" s="24" t="s">
        <v>281</v>
      </c>
      <c r="G27" s="25">
        <f>IF(AND(DAY(B25)=1,MONTH(B25)=8),G25,G22+G25)</f>
        <v>6706.5</v>
      </c>
      <c r="H27" s="26" t="s">
        <v>281</v>
      </c>
      <c r="I27" s="27">
        <f ca="1">G27-(VLOOKUP(B25,DD_Normal_Data,CELL("Col",D24),FALSE))</f>
        <v>284.5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37077</v>
      </c>
      <c r="C30" s="15"/>
      <c r="D30" s="22" t="s">
        <v>275</v>
      </c>
      <c r="E30" s="23">
        <f>Weather_Input!B10</f>
        <v>74</v>
      </c>
      <c r="F30" s="24" t="s">
        <v>276</v>
      </c>
      <c r="G30" s="25">
        <f>IF(E32&lt;65,65-(Weather_Input!B10+Weather_Input!C10)/2,0)</f>
        <v>1.5</v>
      </c>
      <c r="H30" s="26" t="s">
        <v>277</v>
      </c>
      <c r="I30" s="27">
        <f ca="1">G30-(VLOOKUP(B30,DD_Normal_Data,CELL("Col",B31),FALSE))</f>
        <v>1.5</v>
      </c>
    </row>
    <row r="31" spans="1:109" ht="15">
      <c r="A31" s="15"/>
      <c r="B31" s="15"/>
      <c r="C31" s="15"/>
      <c r="D31" s="22" t="s">
        <v>162</v>
      </c>
      <c r="E31" s="23">
        <f>Weather_Input!C10</f>
        <v>53</v>
      </c>
      <c r="F31" s="24" t="s">
        <v>278</v>
      </c>
      <c r="G31" s="25">
        <f>IF(DAY(B30)=1,G30,G26+G30)</f>
        <v>8</v>
      </c>
      <c r="H31" s="30" t="s">
        <v>279</v>
      </c>
      <c r="I31" s="27">
        <f ca="1">G31-(VLOOKUP(B30,DD_Normal_Data,CELL("Col",C32),FALSE))</f>
        <v>8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63.5</v>
      </c>
      <c r="F32" s="24" t="s">
        <v>281</v>
      </c>
      <c r="G32" s="25">
        <f>IF(AND(DAY(B30)=1,MONTH(B30)=8),G30,G27+G30)</f>
        <v>6708</v>
      </c>
      <c r="H32" s="26" t="s">
        <v>281</v>
      </c>
      <c r="I32" s="27">
        <f ca="1">G32-(VLOOKUP(B30,DD_Normal_Data,CELL("Col",D29),FALSE))</f>
        <v>286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37072</v>
      </c>
      <c r="C36" s="89">
        <f>B10</f>
        <v>37073</v>
      </c>
      <c r="D36" s="89">
        <f>B15</f>
        <v>37074</v>
      </c>
      <c r="E36" s="89">
        <f xml:space="preserve">       B20</f>
        <v>37075</v>
      </c>
      <c r="F36" s="89">
        <f>B25</f>
        <v>37076</v>
      </c>
      <c r="G36" s="89">
        <f>B30</f>
        <v>37077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210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307.07799999999997</v>
      </c>
      <c r="C38" s="41">
        <f>PGL_6_Day_Report!E25</f>
        <v>340.14</v>
      </c>
      <c r="D38" s="41">
        <f>PGL_6_Day_Report!F25</f>
        <v>355.14</v>
      </c>
      <c r="E38" s="41">
        <f>PGL_6_Day_Report!G25</f>
        <v>340.14</v>
      </c>
      <c r="F38" s="41">
        <f>PGL_6_Day_Report!H25</f>
        <v>335.14</v>
      </c>
      <c r="G38" s="41">
        <f>PGL_6_Day_Report!I25</f>
        <v>345.14</v>
      </c>
      <c r="H38" s="14"/>
      <c r="I38" s="15"/>
    </row>
    <row r="39" spans="1:9" ht="15">
      <c r="A39" s="42" t="s">
        <v>104</v>
      </c>
      <c r="B39" s="41">
        <f>SUM(PGL_Supplies!Y7:AD7)/1000</f>
        <v>183.71600000000001</v>
      </c>
      <c r="C39" s="41">
        <f>SUM(PGL_Supplies!Y8:AD8)/1000</f>
        <v>204.31</v>
      </c>
      <c r="D39" s="41">
        <f>SUM(PGL_Supplies!Y9:AD9)/1000</f>
        <v>204.31</v>
      </c>
      <c r="E39" s="41">
        <f>SUM(PGL_Supplies!Y10:AD10)/1000</f>
        <v>204.31</v>
      </c>
      <c r="F39" s="41">
        <f>SUM(PGL_Supplies!Y11:AD11)/1000</f>
        <v>204.31</v>
      </c>
      <c r="G39" s="41">
        <f>SUM(PGL_Supplies!Y12:AD12)/1000</f>
        <v>204.31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1.9430000000000001</v>
      </c>
      <c r="C41" s="41">
        <f>SUM(PGL_Requirements!Q7:T7)/1000</f>
        <v>1.9430000000000001</v>
      </c>
      <c r="D41" s="41">
        <f>SUM(PGL_Requirements!Q7:T7)/1000</f>
        <v>1.9430000000000001</v>
      </c>
      <c r="E41" s="41">
        <f>SUM(PGL_Requirements!Q7:T7)/1000</f>
        <v>1.9430000000000001</v>
      </c>
      <c r="F41" s="41">
        <f>SUM(PGL_Requirements!Q7:T7)/1000</f>
        <v>1.9430000000000001</v>
      </c>
      <c r="G41" s="41">
        <f>SUM(PGL_Requirements!Q7:T7)/1000</f>
        <v>1.9430000000000001</v>
      </c>
      <c r="H41" s="14"/>
      <c r="I41" s="15"/>
    </row>
    <row r="42" spans="1:9" ht="15">
      <c r="A42" s="15" t="s">
        <v>127</v>
      </c>
      <c r="B42" s="41">
        <f>PGL_Supplies!U7/1000</f>
        <v>124.01</v>
      </c>
      <c r="C42" s="41">
        <f>PGL_Supplies!U8/1000</f>
        <v>140.703</v>
      </c>
      <c r="D42" s="41">
        <f>PGL_Supplies!U9/1000</f>
        <v>140.703</v>
      </c>
      <c r="E42" s="41">
        <f>PGL_Supplies!U10/1000</f>
        <v>140.703</v>
      </c>
      <c r="F42" s="41">
        <f>PGL_Supplies!U11/1000</f>
        <v>140.703</v>
      </c>
      <c r="G42" s="41">
        <f>PGL_Supplies!U12/1000</f>
        <v>140.703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37072</v>
      </c>
      <c r="C44" s="89">
        <f t="shared" si="0"/>
        <v>37073</v>
      </c>
      <c r="D44" s="89">
        <f t="shared" si="0"/>
        <v>37074</v>
      </c>
      <c r="E44" s="89">
        <f t="shared" si="0"/>
        <v>37075</v>
      </c>
      <c r="F44" s="89">
        <f t="shared" si="0"/>
        <v>37076</v>
      </c>
      <c r="G44" s="89">
        <f t="shared" si="0"/>
        <v>37077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34</v>
      </c>
      <c r="D45" s="41">
        <f ca="1">NSG_6_Day_Report!F6</f>
        <v>36</v>
      </c>
      <c r="E45" s="41">
        <f ca="1">NSG_6_Day_Report!G6</f>
        <v>35</v>
      </c>
      <c r="F45" s="41">
        <f ca="1">NSG_6_Day_Report!H6</f>
        <v>34</v>
      </c>
      <c r="G45" s="41">
        <f ca="1">NSG_6_Day_Report!I6</f>
        <v>35</v>
      </c>
      <c r="H45" s="14"/>
      <c r="I45" s="15"/>
    </row>
    <row r="46" spans="1:9" ht="15">
      <c r="A46" s="42" t="s">
        <v>286</v>
      </c>
      <c r="B46" s="41">
        <f ca="1">NSG_6_Day_Report!D11</f>
        <v>44.073999999999998</v>
      </c>
      <c r="C46" s="41">
        <f ca="1">NSG_6_Day_Report!E11</f>
        <v>34</v>
      </c>
      <c r="D46" s="41">
        <f ca="1">NSG_6_Day_Report!F11</f>
        <v>36</v>
      </c>
      <c r="E46" s="41">
        <f ca="1">NSG_6_Day_Report!G11</f>
        <v>35</v>
      </c>
      <c r="F46" s="41">
        <f ca="1">NSG_6_Day_Report!H11</f>
        <v>34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44.073</v>
      </c>
      <c r="C47" s="41">
        <f>SUM(NSG_Supplies!O8:Q8)/1000</f>
        <v>39.576999999999998</v>
      </c>
      <c r="D47" s="41">
        <f>SUM(NSG_Supplies!O9:Q9)/1000</f>
        <v>39.576999999999998</v>
      </c>
      <c r="E47" s="41">
        <f>SUM(NSG_Supplies!O10:Q10)/1000</f>
        <v>39.576999999999998</v>
      </c>
      <c r="F47" s="41">
        <f>SUM(NSG_Supplies!O11:Q11)/1000</f>
        <v>39.576999999999998</v>
      </c>
      <c r="G47" s="41">
        <f>SUM(NSG_Supplies!O12:Q12)/1000</f>
        <v>39.576999999999998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20.285</v>
      </c>
      <c r="C50" s="41">
        <f>NSG_Supplies!R8/1000</f>
        <v>16.244</v>
      </c>
      <c r="D50" s="41">
        <f>NSG_Supplies!R9/1000</f>
        <v>16.244</v>
      </c>
      <c r="E50" s="41">
        <f>NSG_Supplies!R10/1000</f>
        <v>16.244</v>
      </c>
      <c r="F50" s="41">
        <f>NSG_Supplies!R11/1000</f>
        <v>16.244</v>
      </c>
      <c r="G50" s="41">
        <f>NSG_Supplies!R12/1000</f>
        <v>16.244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37072</v>
      </c>
      <c r="C52" s="89">
        <f t="shared" si="1"/>
        <v>37073</v>
      </c>
      <c r="D52" s="89">
        <f t="shared" si="1"/>
        <v>37074</v>
      </c>
      <c r="E52" s="89">
        <f t="shared" si="1"/>
        <v>37075</v>
      </c>
      <c r="F52" s="89">
        <f t="shared" si="1"/>
        <v>37076</v>
      </c>
      <c r="G52" s="89">
        <f t="shared" si="1"/>
        <v>37077</v>
      </c>
      <c r="H52" s="14"/>
      <c r="I52" s="15"/>
    </row>
    <row r="53" spans="1:9" ht="15">
      <c r="A53" s="92" t="s">
        <v>290</v>
      </c>
      <c r="B53" s="41">
        <f>PGL_Requirements!O7/1000</f>
        <v>105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Sunday</v>
      </c>
      <c r="C4" s="1066" t="str">
        <f>Six_Day_Summary!A15</f>
        <v>Monday</v>
      </c>
      <c r="D4" s="1066" t="str">
        <f>Six_Day_Summary!A20</f>
        <v>Tuesday</v>
      </c>
      <c r="E4" s="1066" t="str">
        <f>Six_Day_Summary!A25</f>
        <v>Wednesday</v>
      </c>
      <c r="F4" s="1067" t="str">
        <f>Six_Day_Summary!A30</f>
        <v>Thursday</v>
      </c>
      <c r="G4" s="98"/>
    </row>
    <row r="5" spans="1:8">
      <c r="A5" s="101" t="s">
        <v>297</v>
      </c>
      <c r="B5" s="1068">
        <f>Weather_Input!A6</f>
        <v>37073</v>
      </c>
      <c r="C5" s="1069">
        <f>Weather_Input!A7</f>
        <v>37074</v>
      </c>
      <c r="D5" s="1069">
        <f>Weather_Input!A8</f>
        <v>37075</v>
      </c>
      <c r="E5" s="1069">
        <f>Weather_Input!A9</f>
        <v>37076</v>
      </c>
      <c r="F5" s="1070">
        <f>Weather_Input!A10</f>
        <v>37077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43.956000000000003</v>
      </c>
      <c r="C6" s="1071">
        <f>PGL_Supplies!AB9/1000+PGL_Supplies!K9/1000-PGL_Requirements!N9/1000+C15-PGL_Requirements!S9/1000</f>
        <v>43.956000000000003</v>
      </c>
      <c r="D6" s="1071">
        <f>PGL_Supplies!AB10/1000+PGL_Supplies!K10/1000-PGL_Requirements!N10/1000+D15-PGL_Requirements!S10/1000</f>
        <v>43.956000000000003</v>
      </c>
      <c r="E6" s="1071">
        <f>PGL_Supplies!AB11/1000+PGL_Supplies!K11/1000-PGL_Requirements!N11/1000+E15-PGL_Requirements!S11/1000</f>
        <v>43.956000000000003</v>
      </c>
      <c r="F6" s="1072">
        <f>PGL_Supplies!AB12/1000+PGL_Supplies!K12/1000-PGL_Requirements!N12/1000+F15-PGL_Requirements!S12/1000</f>
        <v>43.956000000000003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Sunday</v>
      </c>
      <c r="C21" s="1081" t="str">
        <f t="shared" si="0"/>
        <v>Monday</v>
      </c>
      <c r="D21" s="1081" t="str">
        <f t="shared" si="0"/>
        <v>Tuesday</v>
      </c>
      <c r="E21" s="1081" t="str">
        <f t="shared" si="0"/>
        <v>Wednesday</v>
      </c>
      <c r="F21" s="1082" t="str">
        <f t="shared" si="0"/>
        <v>Thursday</v>
      </c>
      <c r="G21" s="98"/>
    </row>
    <row r="22" spans="1:7">
      <c r="A22" s="105" t="s">
        <v>297</v>
      </c>
      <c r="B22" s="1083">
        <f t="shared" si="0"/>
        <v>37073</v>
      </c>
      <c r="C22" s="1083">
        <f t="shared" si="0"/>
        <v>37074</v>
      </c>
      <c r="D22" s="1083">
        <f t="shared" si="0"/>
        <v>37075</v>
      </c>
      <c r="E22" s="1083">
        <f t="shared" si="0"/>
        <v>37076</v>
      </c>
      <c r="F22" s="1084">
        <f t="shared" si="0"/>
        <v>37077</v>
      </c>
      <c r="G22" s="98"/>
    </row>
    <row r="23" spans="1:7">
      <c r="A23" s="98" t="s">
        <v>298</v>
      </c>
      <c r="B23" s="1077">
        <f>NSG_Supplies!Q8/1000+NSG_Supplies!F8/1000-NSG_Requirements!H8/1000</f>
        <v>27.577000000000002</v>
      </c>
      <c r="C23" s="1077">
        <f>NSG_Supplies!Q9/1000+NSG_Supplies!F9/1000-NSG_Requirements!H9/1000</f>
        <v>27.577000000000002</v>
      </c>
      <c r="D23" s="1077">
        <f>NSG_Supplies!Q10/1000+NSG_Supplies!F10/1000-NSG_Requirements!H10/1000</f>
        <v>27.577000000000002</v>
      </c>
      <c r="E23" s="1077">
        <f>NSG_Supplies!Q12/1000+NSG_Supplies!F11/1000-NSG_Requirements!H11/1000</f>
        <v>27.577000000000002</v>
      </c>
      <c r="F23" s="1072">
        <f>NSG_Supplies!Q12/1000+NSG_Supplies!F12/1000-NSG_Requirements!H12/1000</f>
        <v>27.577000000000002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37073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5.416666666666667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157.154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124.89100000000001</v>
      </c>
      <c r="D11" s="778"/>
      <c r="E11" s="1056"/>
      <c r="F11" s="430" t="s">
        <v>356</v>
      </c>
      <c r="G11" s="442">
        <f>G8+G10</f>
        <v>167.154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124.89100000000001</v>
      </c>
      <c r="D14" s="433"/>
      <c r="E14" s="435">
        <f>AVERAGE(C14/24)</f>
        <v>5.2037916666666666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147.154</v>
      </c>
      <c r="H15" s="433" t="s">
        <v>9</v>
      </c>
      <c r="I15" s="435">
        <f>AVERAGE(G15/24)</f>
        <v>6.1314166666666665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</v>
      </c>
      <c r="E16" s="158"/>
      <c r="F16" s="772" t="s">
        <v>537</v>
      </c>
      <c r="G16" s="443">
        <f>PGL_Requirements!G8/1000</f>
        <v>20</v>
      </c>
      <c r="H16" s="443" t="s">
        <v>9</v>
      </c>
      <c r="I16" s="435">
        <f>AVERAGE(G16/24)</f>
        <v>0.83333333333333337</v>
      </c>
    </row>
    <row r="17" spans="1:9" ht="15.75" customHeight="1" thickTop="1" thickBot="1">
      <c r="B17" s="430" t="s">
        <v>356</v>
      </c>
      <c r="C17" s="442">
        <f>SUM(C15:C16)-SUM(D15:D16)</f>
        <v>0.2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0.2</v>
      </c>
      <c r="D20" s="436" t="s">
        <v>9</v>
      </c>
      <c r="E20" s="435">
        <f>AVERAGE(C20/24)</f>
        <v>8.3333333333333332E-3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0.5</v>
      </c>
      <c r="H25" s="425"/>
      <c r="I25" s="889">
        <f>AVERAGE(G25/24)</f>
        <v>2.0833333333333332E-2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37073</v>
      </c>
      <c r="I1" s="914"/>
      <c r="J1" s="916"/>
      <c r="K1" s="916"/>
    </row>
    <row r="2" spans="1:22" ht="16.5" customHeight="1">
      <c r="A2" s="934" t="s">
        <v>641</v>
      </c>
      <c r="C2" s="982">
        <v>267</v>
      </c>
      <c r="F2" s="983">
        <v>273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27.577000000000002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0.2</v>
      </c>
      <c r="B11" s="987"/>
      <c r="H11" s="936">
        <f>NSG_Supplies!T8/1000</f>
        <v>0</v>
      </c>
      <c r="K11" s="917" t="s">
        <v>646</v>
      </c>
      <c r="L11" s="942">
        <f>SUM(K4+K17+K19+H11+H9-L9)</f>
        <v>5.5769999999999982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124.89100000000001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275</v>
      </c>
      <c r="F15" s="988">
        <v>275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595</v>
      </c>
      <c r="D18" s="990"/>
      <c r="E18" s="990"/>
      <c r="F18" s="983">
        <v>795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147.154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0.5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138.745</v>
      </c>
      <c r="L28" s="917" t="s">
        <v>689</v>
      </c>
      <c r="M28" s="942">
        <f>SUM(J2+K17+K19+H11+H9-M26)</f>
        <v>5.5769999999999982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37072</v>
      </c>
      <c r="G29" s="936">
        <f>PGL_Requirements!G7/1000</f>
        <v>40</v>
      </c>
      <c r="H29" s="915"/>
      <c r="J29" s="917" t="s">
        <v>649</v>
      </c>
      <c r="K29" s="936">
        <f>PGL_Supplies!AB8/1000+PGL_Supplies!K8/1000-PGL_Requirements!N8/1000</f>
        <v>43.956000000000003</v>
      </c>
    </row>
    <row r="30" spans="1:17" ht="10.5" customHeight="1">
      <c r="A30" s="919"/>
      <c r="B30" s="936"/>
      <c r="C30" s="917"/>
      <c r="D30" s="936"/>
      <c r="F30" s="1041">
        <f>PGL_Requirements!A8</f>
        <v>37073</v>
      </c>
      <c r="G30" s="936">
        <f>PGL_Requirements!G8/1000</f>
        <v>20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-12.298999999999978</v>
      </c>
    </row>
    <row r="32" spans="1:17">
      <c r="A32" s="936">
        <f>PGL_Supplies!G8/1000</f>
        <v>1</v>
      </c>
      <c r="G32" s="936">
        <f>PGL_Requirements!O8/1000</f>
        <v>130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599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288.745</v>
      </c>
      <c r="B40" s="930"/>
      <c r="C40" s="929"/>
      <c r="D40" s="930"/>
      <c r="E40" s="930"/>
      <c r="F40" s="998"/>
      <c r="G40" s="998">
        <f>SUM(G30:G35)</f>
        <v>150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138.745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274</v>
      </c>
      <c r="E45" s="1003"/>
      <c r="F45" s="1004">
        <v>6.7000000000000004E-2</v>
      </c>
      <c r="G45" s="1005">
        <f>(C45-D45)*F45</f>
        <v>11.792000000000002</v>
      </c>
      <c r="H45" s="1005">
        <f>(D45-B45)*F45</f>
        <v>-6.7000000000000004E-2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271</v>
      </c>
      <c r="E47" s="1003"/>
      <c r="F47" s="1004">
        <v>0.14099999999999999</v>
      </c>
      <c r="G47" s="1005">
        <f>(C47-D47)*F47</f>
        <v>25.238999999999997</v>
      </c>
      <c r="H47" s="1005">
        <f>(D47-B47)*F47</f>
        <v>-0.56399999999999995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597</v>
      </c>
      <c r="E48" s="1003"/>
      <c r="F48" s="1004">
        <v>0.161</v>
      </c>
      <c r="G48" s="1005">
        <f>(C48-D48)*F48</f>
        <v>24.632999999999999</v>
      </c>
      <c r="H48" s="1005">
        <f>(D48-B48)*F48</f>
        <v>50.231999999999999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61.664000000000001</v>
      </c>
      <c r="H49" s="1005">
        <f>SUM(H45:H48)</f>
        <v>49.600999999999999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37072</v>
      </c>
      <c r="B5" s="11">
        <v>88</v>
      </c>
      <c r="C5" s="49">
        <v>65</v>
      </c>
      <c r="D5" s="49">
        <v>10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9</v>
      </c>
      <c r="K5" s="11">
        <v>1</v>
      </c>
      <c r="L5" s="11">
        <v>1</v>
      </c>
      <c r="N5" s="15" t="str">
        <f>I5&amp;" "&amp;I5</f>
        <v>CHANCE OF A T-STORM. HIGH IN THE MIDDLE 80S. CHANCE OF A T-STORM. HIGH IN THE MIDDLE 80S.</v>
      </c>
      <c r="AE5" s="15">
        <v>1</v>
      </c>
      <c r="AH5" s="15" t="s">
        <v>32</v>
      </c>
    </row>
    <row r="6" spans="1:34" ht="16.5" customHeight="1">
      <c r="A6" s="86">
        <f>A5+1</f>
        <v>37073</v>
      </c>
      <c r="B6" s="11">
        <v>72</v>
      </c>
      <c r="C6" s="49">
        <v>49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CHANCE OF SHOWERS AND T-STORMS. HIGH IN THE 80S.. LOW IN THE MIDDLE 60S  </v>
      </c>
      <c r="AE6" s="15">
        <v>1</v>
      </c>
      <c r="AH6" s="15" t="s">
        <v>33</v>
      </c>
    </row>
    <row r="7" spans="1:34" ht="16.5" customHeight="1">
      <c r="A7" s="86">
        <f>A6+1</f>
        <v>37074</v>
      </c>
      <c r="B7" s="11">
        <v>72</v>
      </c>
      <c r="C7" s="49">
        <v>57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PARTLY CLOUDY. HIGH IN THE MIDDLE 80S.. LOW IN THE LOWER 60S.  </v>
      </c>
    </row>
    <row r="8" spans="1:34" ht="16.5" customHeight="1">
      <c r="A8" s="86">
        <f>A7+1</f>
        <v>37075</v>
      </c>
      <c r="B8" s="11">
        <v>78</v>
      </c>
      <c r="C8" s="49">
        <v>59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812</v>
      </c>
      <c r="J8" s="894" t="s">
        <v>9</v>
      </c>
      <c r="K8" s="11">
        <v>6</v>
      </c>
      <c r="L8" s="11"/>
      <c r="N8" s="15" t="str">
        <f>I8&amp;" "&amp;J8</f>
        <v xml:space="preserve">PARTLY CLOUDY. HIGH IN THE MIDDLE 80S.. LOW IN THE LOWER 60S.  </v>
      </c>
    </row>
    <row r="9" spans="1:34" ht="16.5" customHeight="1">
      <c r="A9" s="86">
        <f>A8+1</f>
        <v>37076</v>
      </c>
      <c r="B9" s="11">
        <v>74</v>
      </c>
      <c r="C9" s="49">
        <v>53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94" t="s">
        <v>812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37077</v>
      </c>
      <c r="B10" s="11">
        <v>74</v>
      </c>
      <c r="C10" s="49">
        <v>53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94" t="s">
        <v>812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4.2789999999999999</v>
      </c>
      <c r="C2" s="60"/>
      <c r="D2" s="118" t="s">
        <v>310</v>
      </c>
      <c r="E2" s="421">
        <f>Weather_Input!A5</f>
        <v>37072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95.991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4.2789999999999999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23.584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128.70699999999999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-94.918000000000006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24.398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177.76199999999997</v>
      </c>
      <c r="C18" s="166"/>
      <c r="D18" s="176" t="s">
        <v>554</v>
      </c>
      <c r="E18" s="175">
        <f>SUM(E5:E17)</f>
        <v>4.2789999999999999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93.063000000000002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1.4384999999999999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5.7174999999999994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93.063000000000002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1.2529999999999999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1.2529999999999999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3.76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3.7709999999999999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22.922999999999998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105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1.6719999999999999</v>
      </c>
      <c r="C39" s="63"/>
      <c r="D39" s="209" t="s">
        <v>210</v>
      </c>
      <c r="E39" s="208">
        <f>SUM(E22:E33)-SUM(F23:F38)-E29</f>
        <v>22.933999999999997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157.04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1.4384999999999999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0.69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88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65</v>
      </c>
      <c r="C46" s="159"/>
      <c r="D46" s="72" t="s">
        <v>792</v>
      </c>
      <c r="E46" s="60"/>
      <c r="F46" s="173">
        <f>PGL_Deliveries!BE5/1000</f>
        <v>29.31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10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23.584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37072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11.82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32.158999999999999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0.26400000000000001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31.895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37072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98616</v>
      </c>
      <c r="O6" s="201">
        <v>0</v>
      </c>
      <c r="P6" s="201">
        <v>53004260</v>
      </c>
      <c r="Q6" s="201">
        <v>15045098</v>
      </c>
      <c r="R6" s="201">
        <v>37959162</v>
      </c>
      <c r="S6" s="201">
        <v>0</v>
      </c>
    </row>
    <row r="7" spans="1:19">
      <c r="A7" s="4">
        <f>B1</f>
        <v>37072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95563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53099823</v>
      </c>
      <c r="Q7">
        <f>IF(O7&gt;0,Q6+O7,Q6)</f>
        <v>15045098</v>
      </c>
      <c r="R7">
        <f>IF(P7&gt;Q7,P7-Q7,0)</f>
        <v>38054725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37072</v>
      </c>
      <c r="B5" s="1">
        <f>(Weather_Input!B5+Weather_Input!C5)/2</f>
        <v>76.5</v>
      </c>
      <c r="C5" s="895">
        <v>170000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4279</v>
      </c>
      <c r="T5" s="1085">
        <v>0</v>
      </c>
      <c r="U5" s="895">
        <f>SUM(D5:S5)-T5</f>
        <v>4279</v>
      </c>
      <c r="V5" s="895">
        <v>95991</v>
      </c>
      <c r="W5" s="11">
        <v>0</v>
      </c>
      <c r="X5" s="11">
        <v>0</v>
      </c>
      <c r="Y5" s="11">
        <v>0</v>
      </c>
      <c r="Z5" s="11">
        <v>134827</v>
      </c>
      <c r="AA5" s="11">
        <v>23190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23584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24398</v>
      </c>
      <c r="AQ5" s="1">
        <v>0</v>
      </c>
      <c r="AR5" s="1">
        <v>3771</v>
      </c>
      <c r="AS5" s="1">
        <v>0</v>
      </c>
      <c r="AT5" s="1">
        <v>1672</v>
      </c>
      <c r="AU5" s="1">
        <v>95900</v>
      </c>
      <c r="AV5" s="1">
        <v>690</v>
      </c>
      <c r="AW5" s="622">
        <f>AU5*0.015</f>
        <v>1438.5</v>
      </c>
      <c r="AX5" s="1">
        <v>0</v>
      </c>
      <c r="AY5" s="1"/>
      <c r="AZ5" s="1">
        <v>4959</v>
      </c>
      <c r="BA5" s="1">
        <v>10089</v>
      </c>
      <c r="BB5" s="1">
        <v>0</v>
      </c>
      <c r="BC5" s="1">
        <v>0</v>
      </c>
      <c r="BD5" s="1"/>
      <c r="BE5" s="1">
        <v>29310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37073</v>
      </c>
      <c r="B6" s="913">
        <f>(Weather_Input!B6+Weather_Input!C6)/2</f>
        <v>60.5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37074</v>
      </c>
      <c r="B7" s="913">
        <f>(Weather_Input!B7+Weather_Input!C7)/2</f>
        <v>64.5</v>
      </c>
      <c r="C7" s="895">
        <v>210000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37075</v>
      </c>
      <c r="B8" s="913">
        <f>(Weather_Input!B8+Weather_Input!C8)/2</f>
        <v>68.5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37076</v>
      </c>
      <c r="B9" s="913">
        <f>(Weather_Input!B9+Weather_Input!C9)/2</f>
        <v>63.5</v>
      </c>
      <c r="C9" s="895">
        <v>200000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37077</v>
      </c>
      <c r="B10" s="913">
        <f>(Weather_Input!B10+Weather_Input!C10)/2</f>
        <v>63.5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37072</v>
      </c>
      <c r="B5" s="1">
        <f>(Weather_Input!B5+Weather_Input!C5)/2</f>
        <v>76.5</v>
      </c>
      <c r="C5" s="895">
        <v>30500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1003</v>
      </c>
      <c r="J5" s="1" t="s">
        <v>9</v>
      </c>
      <c r="K5" s="1">
        <v>264</v>
      </c>
      <c r="L5" s="1">
        <v>0</v>
      </c>
      <c r="M5" s="1">
        <v>11820</v>
      </c>
      <c r="N5" s="1">
        <v>0</v>
      </c>
    </row>
    <row r="6" spans="1:14">
      <c r="A6" s="12">
        <f>A5+1</f>
        <v>37073</v>
      </c>
      <c r="B6" s="913">
        <f>(Weather_Input!B6+Weather_Input!C6)/2</f>
        <v>60.5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37074</v>
      </c>
      <c r="B7" s="913">
        <f>(Weather_Input!B7+Weather_Input!C7)/2</f>
        <v>64.5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37075</v>
      </c>
      <c r="B8" s="913">
        <f>(Weather_Input!B8+Weather_Input!C8)/2</f>
        <v>68.5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37076</v>
      </c>
      <c r="B9" s="913">
        <f>(Weather_Input!B9+Weather_Input!C9)/2</f>
        <v>63.5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37077</v>
      </c>
      <c r="B10" s="913">
        <f>(Weather_Input!B10+Weather_Input!C10)/2</f>
        <v>63.5</v>
      </c>
      <c r="C10" s="895">
        <v>35000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37072</v>
      </c>
      <c r="B7" s="904">
        <v>0</v>
      </c>
      <c r="C7" s="620">
        <v>0</v>
      </c>
      <c r="D7" s="620">
        <v>0</v>
      </c>
      <c r="E7" s="904">
        <v>2500</v>
      </c>
      <c r="F7" s="904">
        <v>2300</v>
      </c>
      <c r="G7" s="906">
        <v>40000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3760</v>
      </c>
      <c r="O7" s="620">
        <v>105000</v>
      </c>
      <c r="P7" s="622">
        <f t="shared" ref="P7:P12" si="0">O7*0.015</f>
        <v>1575</v>
      </c>
      <c r="Q7" s="620">
        <v>690</v>
      </c>
      <c r="R7" s="620">
        <v>0</v>
      </c>
      <c r="S7" s="620">
        <v>0</v>
      </c>
      <c r="T7" s="619">
        <v>1253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37073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20000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130000</v>
      </c>
      <c r="P8" s="622">
        <f t="shared" si="0"/>
        <v>1950</v>
      </c>
      <c r="Q8" s="620">
        <v>690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37074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130000</v>
      </c>
      <c r="P9" s="622">
        <f t="shared" si="0"/>
        <v>1950</v>
      </c>
      <c r="Q9" s="620">
        <v>690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37075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130000</v>
      </c>
      <c r="P10" s="622">
        <f t="shared" si="0"/>
        <v>1950</v>
      </c>
      <c r="Q10" s="620">
        <v>690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37076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130000</v>
      </c>
      <c r="P11" s="622">
        <f t="shared" si="0"/>
        <v>1950</v>
      </c>
      <c r="Q11" s="620">
        <v>690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37077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130000</v>
      </c>
      <c r="P12" s="622">
        <f t="shared" si="0"/>
        <v>1950</v>
      </c>
      <c r="Q12" s="620">
        <v>690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37072</v>
      </c>
      <c r="B7" s="622">
        <v>0</v>
      </c>
      <c r="C7" s="622">
        <v>0</v>
      </c>
      <c r="D7" s="622">
        <v>6800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124010</v>
      </c>
      <c r="V7" s="621">
        <v>0</v>
      </c>
      <c r="W7" s="619">
        <v>0</v>
      </c>
      <c r="X7" s="907">
        <v>93063</v>
      </c>
      <c r="Y7" s="621">
        <v>1253</v>
      </c>
      <c r="Z7" s="1">
        <v>0</v>
      </c>
      <c r="AA7" s="619">
        <v>157040</v>
      </c>
      <c r="AB7" s="619">
        <v>22923</v>
      </c>
      <c r="AC7" s="619">
        <v>2500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37073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10000</v>
      </c>
      <c r="T8" s="620">
        <v>0</v>
      </c>
      <c r="U8" s="621">
        <v>140703</v>
      </c>
      <c r="V8" s="621">
        <v>0</v>
      </c>
      <c r="W8" s="619">
        <v>0</v>
      </c>
      <c r="X8" s="907">
        <v>124891</v>
      </c>
      <c r="Y8" s="621">
        <v>200</v>
      </c>
      <c r="Z8" s="1">
        <v>0</v>
      </c>
      <c r="AA8" s="619">
        <v>157154</v>
      </c>
      <c r="AB8" s="619">
        <v>43956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10000</v>
      </c>
      <c r="T9" s="620">
        <v>0</v>
      </c>
      <c r="U9" s="621">
        <v>140703</v>
      </c>
      <c r="V9" s="621">
        <v>0</v>
      </c>
      <c r="W9" s="619">
        <v>0</v>
      </c>
      <c r="X9" s="907">
        <v>124891</v>
      </c>
      <c r="Y9" s="621">
        <v>200</v>
      </c>
      <c r="Z9" s="1">
        <v>0</v>
      </c>
      <c r="AA9" s="619">
        <v>157154</v>
      </c>
      <c r="AB9" s="619">
        <v>43956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37075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140703</v>
      </c>
      <c r="V10" s="621">
        <v>0</v>
      </c>
      <c r="W10" s="619">
        <v>0</v>
      </c>
      <c r="X10" s="907">
        <v>118891</v>
      </c>
      <c r="Y10" s="621">
        <v>200</v>
      </c>
      <c r="Z10" s="1">
        <v>0</v>
      </c>
      <c r="AA10" s="619">
        <v>157154</v>
      </c>
      <c r="AB10" s="619">
        <v>43956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140703</v>
      </c>
      <c r="V11" s="621">
        <v>0</v>
      </c>
      <c r="W11" s="619">
        <v>0</v>
      </c>
      <c r="X11" s="907">
        <v>118891</v>
      </c>
      <c r="Y11" s="621">
        <v>200</v>
      </c>
      <c r="Z11" s="1">
        <v>0</v>
      </c>
      <c r="AA11" s="619">
        <v>157154</v>
      </c>
      <c r="AB11" s="619">
        <v>43956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37077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140703</v>
      </c>
      <c r="V12" s="621">
        <v>0</v>
      </c>
      <c r="W12" s="619">
        <v>0</v>
      </c>
      <c r="X12" s="907">
        <v>118891</v>
      </c>
      <c r="Y12" s="621">
        <v>200</v>
      </c>
      <c r="Z12" s="1">
        <v>0</v>
      </c>
      <c r="AA12" s="619">
        <v>157154</v>
      </c>
      <c r="AB12" s="619">
        <v>43956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37072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1660</v>
      </c>
      <c r="I7" s="905">
        <v>7197</v>
      </c>
      <c r="J7" s="905">
        <v>11914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37072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37073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37073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37074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37074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37075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37075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37076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37076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37077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37077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37072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32159</v>
      </c>
      <c r="R7" s="622">
        <v>20285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27577</v>
      </c>
      <c r="R8" s="622">
        <v>16244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27577</v>
      </c>
      <c r="R9" s="622">
        <v>16244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27577</v>
      </c>
      <c r="R10" s="622">
        <v>16244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27577</v>
      </c>
      <c r="R11" s="622">
        <v>16244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27577</v>
      </c>
      <c r="R12" s="622">
        <v>16244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SAT</v>
      </c>
      <c r="I1" s="824">
        <f>D4</f>
        <v>37072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</row>
    <row r="4" spans="1:256" ht="18.899999999999999" customHeight="1" thickBot="1">
      <c r="A4" s="831"/>
      <c r="B4" s="832"/>
      <c r="C4" s="832"/>
      <c r="D4" s="461">
        <f>Weather_Input!A5</f>
        <v>37072</v>
      </c>
      <c r="E4" s="461">
        <f>Weather_Input!A6</f>
        <v>37073</v>
      </c>
      <c r="F4" s="461">
        <f>Weather_Input!A7</f>
        <v>37074</v>
      </c>
      <c r="G4" s="461">
        <f>Weather_Input!A8</f>
        <v>37075</v>
      </c>
      <c r="H4" s="461">
        <f>Weather_Input!A9</f>
        <v>37076</v>
      </c>
      <c r="I4" s="462">
        <f>Weather_Input!A10</f>
        <v>37077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88/65/77</v>
      </c>
      <c r="E5" s="463" t="str">
        <f>TEXT(Weather_Input!B6,"0")&amp;"/"&amp;TEXT(Weather_Input!C6,"0") &amp; "/" &amp; TEXT((Weather_Input!B6+Weather_Input!C6)/2,"0")</f>
        <v>72/49/61</v>
      </c>
      <c r="F5" s="463" t="str">
        <f>TEXT(Weather_Input!B7,"0")&amp;"/"&amp;TEXT(Weather_Input!C7,"0") &amp; "/" &amp; TEXT((Weather_Input!B7+Weather_Input!C7)/2,"0")</f>
        <v>72/57/65</v>
      </c>
      <c r="G5" s="463" t="str">
        <f>TEXT(Weather_Input!B8,"0")&amp;"/"&amp;TEXT(Weather_Input!C8,"0") &amp; "/" &amp; TEXT((Weather_Input!B8+Weather_Input!C8)/2,"0")</f>
        <v>78/59/69</v>
      </c>
      <c r="H5" s="463" t="str">
        <f>TEXT(Weather_Input!B9,"0")&amp;"/"&amp;TEXT(Weather_Input!C9,"0") &amp; "/" &amp; TEXT((Weather_Input!B9+Weather_Input!C9)/2,"0")</f>
        <v>74/53/64</v>
      </c>
      <c r="I5" s="464" t="str">
        <f>TEXT(Weather_Input!B10,"0")&amp;"/"&amp;TEXT(Weather_Input!C10,"0") &amp; "/" &amp; TEXT((Weather_Input!B10+Weather_Input!C10)/2,"0")</f>
        <v>74/53/64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170</v>
      </c>
      <c r="E6" s="463">
        <f>PGL_Deliveries!C6/1000</f>
        <v>195</v>
      </c>
      <c r="F6" s="463">
        <f>PGL_Deliveries!C7/1000</f>
        <v>210</v>
      </c>
      <c r="G6" s="463">
        <f>PGL_Deliveries!C8/1000</f>
        <v>205</v>
      </c>
      <c r="H6" s="463">
        <f>PGL_Deliveries!C9/1000</f>
        <v>200</v>
      </c>
      <c r="I6" s="464">
        <f>PGL_Deliveries!C10/1000</f>
        <v>210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20</v>
      </c>
      <c r="E7" s="463">
        <f>PGL_Requirements!G8/1000*0.5</f>
        <v>10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775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105</v>
      </c>
      <c r="E11" s="463">
        <f>PGL_Requirements!O8/1000</f>
        <v>130</v>
      </c>
      <c r="F11" s="463">
        <f>PGL_Requirements!O9/1000</f>
        <v>130</v>
      </c>
      <c r="G11" s="463">
        <f>PGL_Requirements!O10/1000</f>
        <v>130</v>
      </c>
      <c r="H11" s="463">
        <f>PGL_Requirements!O11/1000</f>
        <v>130</v>
      </c>
      <c r="I11" s="464">
        <f>PGL_Requirements!O12/1000</f>
        <v>130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1.575</v>
      </c>
      <c r="E12" s="463">
        <f>PGL_Requirements!P8/1000</f>
        <v>1.95</v>
      </c>
      <c r="F12" s="463">
        <f>PGL_Requirements!P9/1000</f>
        <v>1.95</v>
      </c>
      <c r="G12" s="463">
        <f>PGL_Requirements!P10/1000</f>
        <v>1.95</v>
      </c>
      <c r="H12" s="463">
        <f>PGL_Requirements!P11/1000</f>
        <v>1.95</v>
      </c>
      <c r="I12" s="464">
        <f>PGL_Requirements!P12/1000</f>
        <v>1.95</v>
      </c>
    </row>
    <row r="13" spans="1:256" ht="18.899999999999999" customHeight="1">
      <c r="A13" s="835"/>
      <c r="C13" s="826" t="s">
        <v>690</v>
      </c>
      <c r="D13" s="463">
        <f>PGL_Requirements!Q7/1000</f>
        <v>0.69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778</v>
      </c>
      <c r="D15" s="463">
        <f>PGL_Requirements!T7/1000</f>
        <v>1.2529999999999999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899999999999999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3.76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2.2999999999999998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307.07799999999997</v>
      </c>
      <c r="E25" s="467">
        <f t="shared" si="1"/>
        <v>340.14</v>
      </c>
      <c r="F25" s="467">
        <f t="shared" si="1"/>
        <v>355.14</v>
      </c>
      <c r="G25" s="467">
        <f t="shared" si="1"/>
        <v>340.14</v>
      </c>
      <c r="H25" s="467">
        <f t="shared" si="1"/>
        <v>335.14</v>
      </c>
      <c r="I25" s="1099">
        <f t="shared" si="1"/>
        <v>345.14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5</v>
      </c>
      <c r="F36" s="463">
        <f>PGL_Supplies!S9/1000*0.5</f>
        <v>5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93.063000000000002</v>
      </c>
      <c r="E37" s="463">
        <f>PGL_Supplies!X8/1000</f>
        <v>124.89100000000001</v>
      </c>
      <c r="F37" s="463">
        <f>PGL_Supplies!X9/1000</f>
        <v>124.89100000000001</v>
      </c>
      <c r="G37" s="463">
        <f>PGL_Supplies!X10/1000</f>
        <v>118.89100000000001</v>
      </c>
      <c r="H37" s="463">
        <f>PGL_Supplies!X11/1000</f>
        <v>118.89100000000001</v>
      </c>
      <c r="I37" s="464">
        <f>PGL_Supplies!X12/1000</f>
        <v>118.89100000000001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1.2529999999999999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157.04</v>
      </c>
      <c r="E40" s="463">
        <f>PGL_Supplies!AA8/1000</f>
        <v>157.154</v>
      </c>
      <c r="F40" s="463">
        <f>PGL_Supplies!AA9/1000</f>
        <v>157.154</v>
      </c>
      <c r="G40" s="463">
        <f>PGL_Supplies!AA10/1000</f>
        <v>157.154</v>
      </c>
      <c r="H40" s="463">
        <f>PGL_Supplies!AA11/1000</f>
        <v>157.154</v>
      </c>
      <c r="I40" s="464">
        <f>PGL_Supplies!AA12/1000</f>
        <v>157.154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22.922999999999998</v>
      </c>
      <c r="E41" s="463">
        <f>PGL_Supplies!AB8/1000</f>
        <v>43.956000000000003</v>
      </c>
      <c r="F41" s="463">
        <f>PGL_Supplies!AB9/1000</f>
        <v>43.956000000000003</v>
      </c>
      <c r="G41" s="463">
        <f>PGL_Supplies!AB10/1000</f>
        <v>43.956000000000003</v>
      </c>
      <c r="H41" s="463">
        <f>PGL_Supplies!AB11/1000</f>
        <v>43.956000000000003</v>
      </c>
      <c r="I41" s="464">
        <f>PGL_Supplies!AB12/1000</f>
        <v>43.956000000000003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6.8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307.07900000000001</v>
      </c>
      <c r="E50" s="473">
        <f t="shared" si="2"/>
        <v>350.20100000000002</v>
      </c>
      <c r="F50" s="473">
        <f t="shared" si="2"/>
        <v>350.20100000000002</v>
      </c>
      <c r="G50" s="473">
        <f t="shared" si="2"/>
        <v>339.20100000000002</v>
      </c>
      <c r="H50" s="473">
        <f t="shared" si="2"/>
        <v>339.20100000000002</v>
      </c>
      <c r="I50" s="1101">
        <f t="shared" si="2"/>
        <v>339.20100000000002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1.0000000000331966E-3</v>
      </c>
      <c r="E51" s="474">
        <f t="shared" si="3"/>
        <v>10.061000000000035</v>
      </c>
      <c r="F51" s="474">
        <f t="shared" si="3"/>
        <v>0</v>
      </c>
      <c r="G51" s="474">
        <f t="shared" si="3"/>
        <v>0</v>
      </c>
      <c r="H51" s="474">
        <f t="shared" si="3"/>
        <v>4.0610000000000355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4.9389999999999645</v>
      </c>
      <c r="G52" s="475">
        <f t="shared" si="4"/>
        <v>0.93899999999996453</v>
      </c>
      <c r="H52" s="475">
        <f t="shared" si="4"/>
        <v>0</v>
      </c>
      <c r="I52" s="1103">
        <f t="shared" si="4"/>
        <v>5.9389999999999645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124.01</v>
      </c>
      <c r="E53" s="1092">
        <f>PGL_Supplies!U8/1000</f>
        <v>140.703</v>
      </c>
      <c r="F53" s="1092">
        <f>PGL_Supplies!U9/1000</f>
        <v>140.703</v>
      </c>
      <c r="G53" s="1092">
        <f>PGL_Supplies!U10/1000</f>
        <v>140.703</v>
      </c>
      <c r="H53" s="1092">
        <f>PGL_Supplies!U11/1000</f>
        <v>140.703</v>
      </c>
      <c r="I53" s="1093">
        <f>PGL_Supplies!U12/1000</f>
        <v>140.703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2001-06-30T20:49:43Z</cp:lastPrinted>
  <dcterms:created xsi:type="dcterms:W3CDTF">1997-07-16T16:14:22Z</dcterms:created>
  <dcterms:modified xsi:type="dcterms:W3CDTF">2023-09-10T11:13:25Z</dcterms:modified>
</cp:coreProperties>
</file>