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<sst xmlns="http://schemas.openxmlformats.org/spreadsheetml/2006/main" count="2069" uniqueCount="817">
  <si>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</si>
  <si>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</si>
  <si>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</si>
  <si>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</si>
  <si>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</si>
  <si>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</si>
  <si>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</si>
  <si>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</si>
  <si>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</si>
  <si>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</si>
  <si>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</si>
  <si>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</si>
  <si>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</si>
  <si>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</si>
  <si>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</si>
  <si>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</si>
  <si>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</si>
  <si>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</si>
  <si>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</si>
  <si>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</si>
  <si>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</si>
  <si>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</si>
  <si>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</si>
  <si>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</si>
  <si>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</si>
  <si>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</si>
  <si>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</si>
  <si>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</si>
  <si>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</si>
  <si>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</si>
  <si>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</si>
  <si>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</si>
  <si>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</si>
  <si>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</si>
  <si>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</si>
  <si>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</si>
  <si>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</si>
  <si>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</si>
  <si>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</si>
  <si>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</si>
  <si>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</si>
  <si>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</si>
  <si>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</si>
  <si>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</si>
  <si>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</si>
  <si>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</si>
  <si>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</si>
  <si>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</si>
  <si>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</si>
  <si>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</si>
  <si>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</si>
  <si>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</si>
  <si>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</si>
  <si>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</si>
  <si>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</si>
  <si>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</si>
  <si>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</si>
  <si>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</si>
  <si>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</si>
  <si>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</si>
  <si>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</si>
  <si>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</si>
  <si>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</si>
  <si>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</si>
  <si>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</si>
  <si>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</si>
  <si>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</si>
  <si>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</si>
  <si>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</si>
  <si>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</si>
  <si>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</si>
  <si>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</si>
  <si>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</si>
  <si>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</si>
  <si>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</si>
  <si>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</si>
  <si>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</si>
  <si>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</si>
  <si>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</si>
  <si>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</si>
  <si>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</si>
  <si>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</si>
  <si>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</si>
  <si>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</si>
  <si>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</si>
  <si>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</si>
  <si>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</si>
  <si>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</si>
  <si>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</si>
  <si>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</si>
  <si>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</si>
  <si>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</si>
  <si>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</si>
  <si>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</si>
  <si>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</si>
  <si>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</si>
  <si>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</si>
  <si>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</si>
  <si>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</si>
  <si>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</si>
  <si>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</si>
  <si>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</si>
  <si>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</si>
  <si>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</si>
  <si>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</si>
  <si>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</si>
  <si>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</si>
  <si>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</si>
  <si>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</si>
  <si>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</si>
  <si>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</si>
  <si>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</si>
  <si>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</si>
  <si>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</si>
  <si>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</si>
  <si>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</si>
  <si>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</si>
  <si>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</si>
  <si>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</si>
  <si>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</si>
  <si>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</si>
  <si>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</si>
  <si>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</si>
  <si>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</si>
  <si>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</si>
  <si>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</si>
  <si>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</si>
  <si>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</si>
  <si>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</si>
  <si>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</si>
  <si>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</si>
  <si>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</si>
  <si>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</si>
  <si>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</si>
  <si>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</si>
  <si>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</si>
  <si>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</si>
  <si>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</si>
  <si>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</si>
  <si>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</si>
  <si>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</si>
  <si>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</si>
  <si>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</si>
  <si>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</si>
  <si>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</si>
  <si>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</si>
  <si>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</si>
  <si>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</si>
  <si>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</si>
  <si>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</si>
  <si>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</si>
  <si>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</si>
  <si>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</si>
  <si>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</si>
  <si>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</si>
  <si>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</si>
  <si>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</si>
  <si>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</si>
  <si>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</si>
  <si>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</si>
  <si>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</si>
  <si>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</si>
  <si>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</si>
  <si>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</si>
  <si>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</si>
  <si>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</si>
  <si>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</si>
  <si>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</si>
  <si>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</si>
  <si>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</si>
  <si>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</si>
  <si>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</si>
  <si>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</si>
  <si>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</si>
  <si>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</si>
  <si>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</si>
  <si>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</si>
  <si>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</si>
  <si>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</si>
  <si>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</si>
  <si>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</si>
  <si>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</si>
  <si>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</si>
  <si>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</si>
  <si>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</si>
  <si>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</si>
  <si>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</si>
  <si>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</si>
  <si>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</si>
  <si>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</si>
  <si>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</si>
  <si>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</si>
  <si>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</si>
  <si>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</si>
  <si>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</si>
  <si>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</si>
  <si>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</si>
  <si>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</si>
  <si>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</si>
  <si>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</si>
  <si>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</si>
  <si>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</si>
  <si>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</si>
  <si>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</si>
  <si>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</si>
  <si>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</si>
  <si>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</si>
  <si>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</si>
  <si>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</si>
  <si>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</si>
  <si>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</si>
  <si>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</si>
  <si>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</si>
  <si>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</si>
  <si>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</si>
  <si>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</si>
  <si>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</si>
  <si>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</si>
  <si>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</si>
  <si>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</si>
  <si>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</si>
  <si>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</si>
  <si>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</si>
  <si>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</si>
  <si>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</si>
  <si>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</si>
  <si>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</si>
  <si>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</si>
  <si>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</si>
  <si>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</si>
  <si>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</si>
  <si>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</si>
  <si>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</si>
  <si>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</si>
  <si>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</si>
  <si>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</si>
  <si>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</si>
  <si>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</si>
  <si>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</si>
  <si>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</si>
  <si>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</si>
  <si>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</si>
  <si>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</si>
  <si>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</si>
  <si>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</si>
  <si>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</si>
  <si>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</si>
  <si>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</si>
  <si>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</si>
  <si>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</si>
  <si>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</si>
  <si>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</si>
  <si>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</si>
  <si>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</si>
  <si>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</si>
  <si>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</si>
  <si>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</si>
  <si>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</si>
  <si>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</si>
  <si>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</si>
  <si>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</si>
  <si>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</si>
  <si>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</si>
  <si>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</si>
  <si>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</si>
  <si>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</si>
  <si>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</si>
  <si>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</si>
  <si>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</si>
  <si>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</si>
  <si>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</si>
  <si>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</si>
  <si>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</si>
  <si>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</si>
  <si>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</si>
  <si>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</si>
  <si>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</si>
  <si>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</si>
  <si>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</si>
  <si>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</si>
  <si>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</si>
  <si>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</si>
  <si>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</si>
  <si>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</si>
  <si>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</si>
  <si>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</si>
  <si>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</si>
  <si>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</si>
  <si>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</si>
  <si>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</si>
  <si>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</si>
  <si>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</si>
  <si>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</si>
  <si>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</si>
  <si>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</si>
  <si>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</si>
  <si>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</si>
  <si>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</si>
  <si>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</si>
  <si>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</si>
  <si>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</si>
  <si>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</si>
  <si>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</si>
  <si>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</si>
  <si>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</si>
  <si>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</si>
  <si>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</si>
  <si>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</si>
  <si>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</si>
  <si>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</si>
  <si>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</si>
  <si>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</si>
  <si>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</si>
  <si>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</si>
  <si>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</si>
  <si>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</si>
  <si>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</si>
  <si>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</si>
  <si>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</si>
  <si>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</si>
  <si>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</si>
  <si>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</si>
  <si>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</si>
  <si>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</si>
  <si>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</si>
  <si>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</si>
  <si>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</si>
  <si>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</si>
  <si>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</si>
  <si>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</si>
  <si>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</si>
  <si>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</si>
  <si>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</si>
  <si>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</si>
  <si>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</si>
  <si>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</si>
  <si>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</si>
  <si>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</si>
  <si>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</si>
  <si>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</si>
  <si>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</si>
  <si>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</si>
  <si>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</si>
  <si>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</si>
  <si>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</si>
  <si>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</si>
  <si>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</si>
  <si>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</si>
  <si>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</si>
  <si>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</si>
  <si>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</si>
  <si>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</si>
  <si>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</si>
  <si>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</si>
  <si>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</si>
  <si>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</si>
  <si>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</si>
  <si>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</si>
  <si>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</si>
  <si>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</si>
  <si>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</si>
  <si>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</si>
  <si>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</si>
  <si>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</si>
  <si>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</si>
  <si>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</si>
  <si>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</si>
  <si>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</si>
  <si>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</si>
  <si>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</si>
  <si>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</si>
  <si>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</si>
  <si>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</si>
  <si>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</si>
  <si>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</si>
  <si>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</si>
  <si>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</si>
  <si>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</si>
  <si>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</si>
  <si>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</si>
  <si>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</si>
  <si>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</si>
  <si>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</si>
  <si>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</si>
  <si>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</si>
  <si>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</si>
  <si>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</si>
  <si>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</si>
  <si>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</si>
  <si>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</si>
  <si>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</si>
  <si>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</si>
  <si>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</si>
  <si>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</si>
  <si>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</si>
  <si>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</si>
  <si>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</si>
  <si>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</si>
  <si>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</si>
  <si>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</si>
  <si>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</si>
  <si>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</si>
  <si>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</si>
  <si>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</si>
  <si>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</si>
  <si>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</si>
  <si>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</si>
  <si>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</si>
  <si>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</si>
  <si>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</si>
  <si>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</si>
  <si>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</si>
  <si>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</si>
  <si>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</si>
  <si>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</si>
  <si>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</si>
  <si>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</si>
  <si>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</si>
  <si>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</si>
  <si>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</si>
  <si>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</si>
  <si>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</si>
  <si>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</si>
  <si>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</si>
  <si>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</si>
  <si>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</si>
  <si>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</si>
  <si>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</si>
  <si>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</si>
  <si>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</si>
  <si>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</si>
  <si>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</si>
  <si>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</si>
  <si>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</si>
  <si>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</si>
  <si>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</si>
  <si>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</si>
  <si>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</si>
  <si>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</si>
  <si>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</si>
  <si>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</si>
  <si>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</si>
  <si>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</si>
  <si>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</si>
  <si>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</si>
  <si>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</si>
  <si>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</si>
  <si>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</si>
  <si>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</si>
  <si>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</si>
  <si>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</si>
  <si>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</si>
  <si>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</si>
  <si>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</si>
  <si>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</si>
  <si>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</si>
  <si>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</si>
  <si>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</si>
  <si>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</si>
  <si>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</si>
  <si>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</si>
  <si>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</si>
  <si>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</si>
  <si>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</si>
  <si>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</si>
  <si>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</si>
  <si>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</si>
  <si>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</si>
  <si>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</si>
  <si>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</si>
  <si>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</si>
  <si>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</si>
  <si>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</si>
  <si>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</si>
  <si>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</si>
  <si>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</si>
  <si>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</si>
  <si>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</si>
  <si>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</si>
  <si>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</si>
  <si>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</si>
  <si>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</si>
  <si>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</si>
  <si>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</si>
  <si>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</si>
  <si>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</si>
  <si>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</si>
  <si>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</si>
  <si>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</si>
  <si>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</si>
  <si>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</si>
  <si>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</si>
  <si>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</si>
  <si>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</si>
  <si>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</si>
  <si>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</si>
  <si>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</si>
  <si>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</si>
  <si>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</si>
  <si>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</si>
  <si>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</si>
  <si>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</si>
  <si>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</si>
  <si>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</si>
  <si>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</si>
  <si>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</si>
  <si>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</si>
  <si>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</si>
  <si>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</si>
  <si>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</si>
  <si>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</si>
  <si>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</si>
  <si>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</si>
  <si>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</si>
  <si>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</si>
  <si>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</si>
  <si>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</si>
  <si>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</si>
  <si>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</si>
  <si>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</si>
  <si>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</si>
  <si>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</si>
  <si>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</si>
  <si>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</si>
  <si>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</si>
  <si>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</si>
  <si>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</si>
  <si>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</si>
  <si>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</si>
  <si>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</si>
  <si>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</si>
  <si>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</si>
  <si>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</si>
  <si>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</si>
  <si>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</si>
  <si>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</si>
  <si>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</si>
  <si>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</si>
  <si>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</si>
  <si>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</si>
  <si>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</si>
  <si>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</si>
  <si>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</si>
  <si>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</si>
  <si>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</si>
  <si>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</si>
  <si>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</si>
  <si>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</si>
  <si>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</si>
  <si>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</si>
  <si>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</si>
  <si>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</si>
  <si>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</si>
  <si>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</si>
  <si>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</si>
  <si>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</si>
  <si>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</si>
  <si>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</si>
  <si>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</si>
  <si>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</si>
  <si>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</si>
  <si>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</si>
  <si>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</si>
  <si>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</si>
  <si>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</si>
  <si>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</si>
  <si>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</si>
  <si>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</si>
  <si>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</si>
  <si>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</si>
  <si>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</si>
  <si>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</si>
  <si>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</si>
  <si>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</si>
  <si>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</si>
  <si>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</si>
  <si>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</si>
  <si>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</si>
  <si>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</si>
  <si>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</si>
  <si>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</si>
  <si>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</si>
  <si>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</si>
  <si>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</si>
  <si>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</si>
  <si>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</si>
  <si>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</si>
  <si>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</si>
  <si>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</si>
  <si>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</si>
  <si>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</si>
  <si>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</si>
  <si>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</si>
  <si>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</si>
  <si>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</si>
  <si>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</si>
  <si>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</si>
  <si>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</si>
  <si>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</si>
  <si>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</si>
  <si>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</si>
  <si>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</si>
  <si>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</si>
  <si>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</si>
  <si>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</si>
  <si>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</si>
  <si>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</si>
  <si>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</si>
  <si>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</si>
  <si>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</si>
  <si>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</si>
  <si>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</si>
  <si>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</si>
  <si>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</si>
  <si>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</si>
  <si>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</si>
  <si>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</si>
  <si>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</si>
  <si>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</si>
  <si>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</si>
  <si>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</si>
  <si>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</si>
  <si>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</si>
  <si>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</si>
  <si>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</si>
  <si>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</si>
  <si>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</si>
  <si>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</si>
  <si>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</si>
  <si>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</si>
  <si>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</si>
  <si>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</si>
  <si>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</si>
  <si>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</si>
  <si>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</si>
  <si>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</si>
  <si>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</si>
  <si>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</si>
  <si>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</si>
  <si>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</si>
  <si>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</si>
  <si>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</si>
  <si>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</si>
  <si>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</si>
  <si>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</si>
  <si>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</si>
  <si>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</si>
  <si>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</si>
  <si>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</si>
  <si>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</si>
  <si>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</si>
  <si>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</si>
  <si>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</si>
  <si>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</si>
  <si>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</si>
  <si>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</si>
  <si>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</si>
  <si>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</si>
  <si>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</si>
  <si>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</si>
  <si>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</si>
  <si>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</si>
  <si>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</si>
  <si>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</si>
  <si>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</si>
  <si>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</si>
  <si>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</si>
  <si>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</si>
  <si>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</si>
  <si>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</si>
  <si>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</si>
  <si>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</si>
  <si>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</si>
  <si>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</si>
  <si>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</si>
  <si>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</si>
  <si>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</si>
  <si>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</si>
  <si>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</si>
  <si>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</si>
  <si>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</si>
  <si>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</si>
  <si>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</si>
  <si>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</si>
  <si>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</si>
  <si>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</si>
  <si>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</si>
  <si>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</si>
  <si>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</si>
  <si>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</si>
  <si>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</si>
  <si>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</si>
  <si>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</si>
  <si>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</si>
  <si>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</si>
  <si>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</si>
  <si>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</si>
  <si>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</si>
  <si>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</si>
  <si>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</si>
  <si>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</si>
  <si>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</si>
  <si>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</si>
  <si>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</si>
  <si>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</si>
  <si>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</si>
  <si>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</si>
  <si>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</si>
  <si>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</si>
  <si>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</si>
  <si>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</si>
  <si>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</si>
  <si>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</si>
  <si>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</si>
  <si>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</si>
  <si>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</si>
  <si>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</si>
  <si>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</si>
  <si>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</si>
  <si>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</si>
  <si>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</si>
  <si>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</si>
  <si>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</si>
  <si>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</si>
  <si>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</si>
  <si>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</si>
  <si>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</si>
  <si>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</si>
  <si>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</si>
  <si>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</si>
  <si>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</si>
  <si>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</si>
  <si>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</si>
  <si>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</si>
  <si>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</si>
  <si>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</si>
  <si>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</si>
  <si>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</si>
  <si>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</si>
  <si>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</si>
  <si>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</si>
  <si>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</si>
  <si>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</si>
  <si>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</si>
  <si>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</si>
  <si>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</si>
  <si>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</si>
  <si>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</si>
  <si>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</si>
  <si>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</si>
  <si>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</si>
  <si>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</si>
  <si>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</si>
  <si>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</si>
  <si>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</si>
  <si>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</si>
  <si>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</si>
  <si>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</si>
  <si>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</si>
  <si>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</si>
  <si>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</si>
  <si>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</si>
  <si>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</si>
  <si>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</si>
  <si>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</si>
  <si>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</si>
  <si>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</si>
  <si>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</si>
  <si>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</si>
  <si>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</si>
  <si>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</si>
  <si>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</si>
  <si>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</si>
  <si>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</si>
  <si>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</si>
  <si>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</si>
  <si>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</si>
  <si>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</si>
  <si>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</si>
  <si>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</si>
  <si>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</si>
  <si>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</si>
  <si>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</si>
  <si>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</si>
  <si>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</si>
  <si>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</si>
  <si>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</si>
  <si>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</si>
  <si>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</si>
  <si>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</si>
  <si>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</si>
  <si>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</si>
  <si>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</si>
  <si>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</si>
  <si>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</si>
  <si>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</si>
  <si>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</si>
  <si>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</si>
  <si>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</si>
  <si>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</si>
  <si>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</si>
  <si>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</si>
  <si>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</si>
  <si>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</si>
  <si>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</si>
  <si>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</si>
  <si>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</si>
  <si>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</si>
  <si>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</si>
  <si>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</si>
  <si>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SUNNY AND HOT … HIGH IN THE MIDDLE 80S. SE WINDS 5 TO 10. TONIGHT, LOW IN THE</t>
  </si>
  <si>
    <t>MIDDLE 60S .WINDS LIGHT AND FROM THE SOUTH.</t>
  </si>
  <si>
    <t xml:space="preserve">SUNNY AND HOT … HIGH IN THE MIDDLE 80S. SE WINDS 5 TO 10. TONIGHT, PARTLY </t>
  </si>
  <si>
    <t>CLOUDY, LOW IN THE MIDDLE 60S.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</si>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</sst>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6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7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7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7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7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7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THU</v>
      </c>
      <c r="I1" s="865">
        <f>D4</f>
        <v>37070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THU</v>
      </c>
      <c r="E3" s="829" t="str">
        <f t="shared" si="0"/>
        <v>FRI</v>
      </c>
      <c r="F3" s="829" t="str">
        <f t="shared" si="0"/>
        <v>SAT</v>
      </c>
      <c r="G3" s="829" t="str">
        <f t="shared" si="0"/>
        <v>SUN</v>
      </c>
      <c r="H3" s="829" t="str">
        <f t="shared" si="0"/>
        <v>MON</v>
      </c>
      <c r="I3" s="830" t="str">
        <f t="shared" si="0"/>
        <v>TUE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37070</v>
      </c>
      <c r="E4" s="833">
        <f>Weather_Input!A6</f>
        <v>37071</v>
      </c>
      <c r="F4" s="833">
        <f>Weather_Input!A7</f>
        <v>37072</v>
      </c>
      <c r="G4" s="833">
        <f>Weather_Input!A8</f>
        <v>37073</v>
      </c>
      <c r="H4" s="833">
        <f>Weather_Input!A9</f>
        <v>37074</v>
      </c>
      <c r="I4" s="834">
        <f>Weather_Input!A10</f>
        <v>37075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86/65/76</v>
      </c>
      <c r="E5" s="866" t="str">
        <f>TEXT(Weather_Input!B6,"0")&amp;"/"&amp;TEXT(Weather_Input!C6,"0") &amp; "/" &amp; TEXT((Weather_Input!B6+Weather_Input!C6)/2,"0")</f>
        <v>88/68/78</v>
      </c>
      <c r="F5" s="866" t="str">
        <f>TEXT(Weather_Input!B7,"0")&amp;"/"&amp;TEXT(Weather_Input!C7,"0") &amp; "/" &amp; TEXT((Weather_Input!B7+Weather_Input!C7)/2,"0")</f>
        <v>85/67/76</v>
      </c>
      <c r="G5" s="866" t="str">
        <f>TEXT(Weather_Input!B8,"0")&amp;"/"&amp;TEXT(Weather_Input!C8,"0") &amp; "/" &amp; TEXT((Weather_Input!B8+Weather_Input!C8)/2,"0")</f>
        <v>82/61/72</v>
      </c>
      <c r="H5" s="866" t="str">
        <f>TEXT(Weather_Input!B9,"0")&amp;"/"&amp;TEXT(Weather_Input!C9,"0") &amp; "/" &amp; TEXT((Weather_Input!B9+Weather_Input!C9)/2,"0")</f>
        <v>79/61/70</v>
      </c>
      <c r="I5" s="867" t="str">
        <f>TEXT(Weather_Input!B10,"0")&amp;"/"&amp;TEXT(Weather_Input!C10,"0") &amp; "/" &amp; TEXT((Weather_Input!B10+Weather_Input!C10)/2,"0")</f>
        <v>79/61/70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34.5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31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9.67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44.17</v>
      </c>
      <c r="E11" s="845">
        <f t="shared" ca="1" si="1"/>
        <v>33</v>
      </c>
      <c r="F11" s="845">
        <f t="shared" ca="1" si="1"/>
        <v>31</v>
      </c>
      <c r="G11" s="845">
        <f t="shared" ca="1" si="1"/>
        <v>34</v>
      </c>
      <c r="H11" s="845">
        <f t="shared" ca="1" si="1"/>
        <v>36</v>
      </c>
      <c r="I11" s="846">
        <f t="shared" ca="1" si="1"/>
        <v>36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32.259</v>
      </c>
      <c r="E19" s="836">
        <f>NSG_Supplies!Q8/1000</f>
        <v>32.158999999999999</v>
      </c>
      <c r="F19" s="836">
        <f>NSG_Supplies!Q9/1000</f>
        <v>32.158999999999999</v>
      </c>
      <c r="G19" s="836">
        <f>NSG_Supplies!Q10/1000</f>
        <v>32.259</v>
      </c>
      <c r="H19" s="836">
        <f>NSG_Supplies!Q11/1000</f>
        <v>32.259</v>
      </c>
      <c r="I19" s="837">
        <f>NSG_Supplies!Q12/1000</f>
        <v>32.259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11.914</v>
      </c>
      <c r="G20" s="836">
        <f>NSG_Supplies!P10/1000</f>
        <v>11.914</v>
      </c>
      <c r="H20" s="836">
        <f>NSG_Supplies!P11/1000</f>
        <v>11.914</v>
      </c>
      <c r="I20" s="837">
        <f>NSG_Supplies!P12/1000</f>
        <v>11.914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44.173000000000002</v>
      </c>
      <c r="E21" s="1244">
        <f t="shared" si="2"/>
        <v>44.073</v>
      </c>
      <c r="F21" s="1244">
        <f t="shared" si="2"/>
        <v>44.073</v>
      </c>
      <c r="G21" s="1244">
        <f t="shared" si="2"/>
        <v>44.173000000000002</v>
      </c>
      <c r="H21" s="1244">
        <f t="shared" si="2"/>
        <v>44.173000000000002</v>
      </c>
      <c r="I21" s="1245">
        <f t="shared" si="2"/>
        <v>44.173000000000002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11.073</v>
      </c>
      <c r="F22" s="877">
        <f t="shared" ca="1" si="3"/>
        <v>13.073</v>
      </c>
      <c r="G22" s="877">
        <f t="shared" ca="1" si="3"/>
        <v>10.173000000000002</v>
      </c>
      <c r="H22" s="877">
        <f t="shared" ca="1" si="3"/>
        <v>8.1730000000000018</v>
      </c>
      <c r="I22" s="878">
        <f t="shared" ca="1" si="3"/>
        <v>8.1730000000000018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20.385000000000002</v>
      </c>
      <c r="E24" s="1097">
        <f>NSG_Supplies!R8/1000</f>
        <v>20.385000000000002</v>
      </c>
      <c r="F24" s="1097">
        <f>NSG_Supplies!R9/1000</f>
        <v>20.385000000000002</v>
      </c>
      <c r="G24" s="1097">
        <f>NSG_Supplies!R10/1000</f>
        <v>20.385000000000002</v>
      </c>
      <c r="H24" s="1097">
        <f>NSG_Supplies!R11/1000</f>
        <v>20.385000000000002</v>
      </c>
      <c r="I24" s="1098">
        <f>NSG_Supplies!R12/1000</f>
        <v>20.385000000000002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8</v>
      </c>
      <c r="F26" s="884">
        <f>Weather_Input!D7</f>
        <v>7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6" zoomScale="75" workbookViewId="0">
      <selection activeCell="F24" sqref="F24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37070</v>
      </c>
      <c r="N1" s="1218" t="str">
        <f>CHOOSE(WEEKDAY(M1),"SUN","MON","TUE","WED","THU","FRI","SAT")</f>
        <v>THU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1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86</v>
      </c>
      <c r="K3" s="945">
        <f>Weather_Input!C5</f>
        <v>65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105.45399999999999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207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104.45399999999999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0.54800000000000004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104.45399999999999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0.54800000000000004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-129.22999999999999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272.73900000000003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6.75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1.95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-5.5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-129.22999999999999</v>
      </c>
      <c r="C19" s="515"/>
      <c r="D19" s="527"/>
      <c r="E19" s="1146" t="s">
        <v>743</v>
      </c>
      <c r="F19" s="1211">
        <v>5.5</v>
      </c>
      <c r="G19" s="1033" t="s">
        <v>9</v>
      </c>
      <c r="H19" s="1147" t="s">
        <v>9</v>
      </c>
      <c r="I19" t="s">
        <v>536</v>
      </c>
      <c r="J19" s="1214"/>
      <c r="K19" s="1268">
        <f>-F24</f>
        <v>-77.3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186.91300000000001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20.086999999999989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77.3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1.95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22.036999999999988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9.6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-31.637</v>
      </c>
      <c r="L30" s="1161"/>
      <c r="M30" s="1061">
        <f>-PGL_Supplies!AB7/1000</f>
        <v>-31.637</v>
      </c>
      <c r="N30" s="1162"/>
      <c r="O30" s="1222">
        <f>-PGL_Supplies!AB7/1000</f>
        <v>-31.637</v>
      </c>
    </row>
    <row r="31" spans="1:15" ht="16.2" thickBot="1">
      <c r="A31" s="365" t="s">
        <v>459</v>
      </c>
      <c r="B31" s="966">
        <f>PGL_Supplies!D7/1000</f>
        <v>47.5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200.239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50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272.73900000000003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195.43900000000002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77.3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5.5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278.23900000000003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THU</v>
      </c>
      <c r="G1" s="1224">
        <f>Weather_Input!A5</f>
        <v>37070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86</v>
      </c>
      <c r="C4" s="750">
        <f>Weather_Input!C5</f>
        <v>65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34.5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32.256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2.2439999999999998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32.256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-32.259</v>
      </c>
      <c r="D25" s="710"/>
      <c r="E25" s="703">
        <f>-NSG_Supplies!Q7/1000</f>
        <v>-32.259</v>
      </c>
      <c r="F25" s="710"/>
      <c r="G25" s="703">
        <f>-NSG_Supplies!Q7/1000</f>
        <v>-32.259</v>
      </c>
      <c r="H25" s="709"/>
      <c r="I25" s="766">
        <f>-NSG_Supplies!Q7/1000</f>
        <v>-32.259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9.67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2.2439999999999998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37070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86</v>
      </c>
      <c r="C5" s="261">
        <f>Weather_Input!C5</f>
        <v>65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207</v>
      </c>
      <c r="C8" s="269">
        <f>NSG_Deliveries!C5/1000</f>
        <v>34.5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147.255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-24.546000000000006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6.75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-31.637</v>
      </c>
      <c r="C32" s="310">
        <f>-NSG_Supplies!Q7/1000</f>
        <v>-32.259</v>
      </c>
      <c r="D32" s="310">
        <f>B32</f>
        <v>-31.637</v>
      </c>
      <c r="E32" s="310">
        <f>C32</f>
        <v>-32.259</v>
      </c>
      <c r="F32" s="310">
        <f>B32</f>
        <v>-31.637</v>
      </c>
      <c r="G32" s="310">
        <f>C32</f>
        <v>-32.259</v>
      </c>
      <c r="H32" s="315">
        <f>B32</f>
        <v>-31.637</v>
      </c>
      <c r="I32" s="316">
        <f>C32</f>
        <v>-32.259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-20.385000000000002</v>
      </c>
      <c r="D33" s="310">
        <f>B33</f>
        <v>0</v>
      </c>
      <c r="E33" s="310">
        <f>C33</f>
        <v>-20.385000000000002</v>
      </c>
      <c r="F33" s="310">
        <f>B33</f>
        <v>0</v>
      </c>
      <c r="G33" s="310">
        <f>C33</f>
        <v>-20.385000000000002</v>
      </c>
      <c r="H33" s="315">
        <f>B33</f>
        <v>0</v>
      </c>
      <c r="I33" s="316">
        <f>C33</f>
        <v>-20.385000000000002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9.6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148.255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147.255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0.54800000000000004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105.45399999999999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-24.546000000000006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THU</v>
      </c>
      <c r="H73" s="401">
        <f>Weather_Input!A5</f>
        <v>37070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-851.745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105.45399999999999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6.75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-0.54800000000000004</v>
      </c>
      <c r="C116" s="414">
        <f>-NSG_Supplies!V7/1000</f>
        <v>0</v>
      </c>
      <c r="D116" s="310">
        <f>-PGL_Supplies!Y7/1000</f>
        <v>-0.54800000000000004</v>
      </c>
      <c r="E116" s="310">
        <f>-NSG_Supplies!V7/1000</f>
        <v>0</v>
      </c>
      <c r="F116" s="310">
        <f>-PGL_Supplies!Y7/1000</f>
        <v>-0.54800000000000004</v>
      </c>
      <c r="G116" s="310">
        <f>-NSG_Supplies!V7/1000</f>
        <v>0</v>
      </c>
      <c r="H116" s="315">
        <f>-PGL_Supplies!Y7/1000</f>
        <v>-0.54800000000000004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-20.385000000000002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0.54800000000000004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9.6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0.54800000000000004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1000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148.255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-851.745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1.95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105.45399999999999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105.45399999999999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37071.172852199074</v>
      </c>
      <c r="F22" s="161" t="s">
        <v>257</v>
      </c>
      <c r="G22" s="188">
        <f ca="1">NOW()</f>
        <v>37071.172852199074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37070</v>
      </c>
      <c r="C5" s="15"/>
      <c r="D5" s="22" t="s">
        <v>275</v>
      </c>
      <c r="E5" s="23">
        <f>Weather_Input!B5</f>
        <v>86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65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75.5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>SUNNY AND HOT … HIGH IN THE MIDDLE 80S. SE WINDS 5 TO 10. TONIGHT, LOW IN THE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MIDDLE 60S .WINDS LIGHT AND FROM THE SOUTH.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37071</v>
      </c>
      <c r="C10" s="15"/>
      <c r="D10" s="150" t="s">
        <v>275</v>
      </c>
      <c r="E10" s="23">
        <f>Weather_Input!B6</f>
        <v>88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 xml:space="preserve">SUNNY AND HOT … HIGH IN THE MIDDLE 80S. SE WINDS 5 TO 10. TONIGHT, PARTLY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CLOUDY, LOW IN THE MIDDLE 60S.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37072</v>
      </c>
      <c r="C15" s="15"/>
      <c r="D15" s="22" t="s">
        <v>275</v>
      </c>
      <c r="E15" s="23">
        <f>Weather_Input!B7</f>
        <v>85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67</v>
      </c>
      <c r="F16" s="24" t="s">
        <v>278</v>
      </c>
      <c r="G16" s="25">
        <f>IF(DAY(B15)=1,G15,G11+G15)</f>
        <v>88</v>
      </c>
      <c r="H16" s="30" t="s">
        <v>279</v>
      </c>
      <c r="I16" s="27">
        <f ca="1">G16-(VLOOKUP(B15,DD_Normal_Data,CELL("Col",C17),FALSE))</f>
        <v>42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>CHANCE OF A T-STORM. HIGH IN THE MIDDLE 80S.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37073</v>
      </c>
      <c r="C20" s="15"/>
      <c r="D20" s="22" t="s">
        <v>275</v>
      </c>
      <c r="E20" s="23">
        <f>Weather_Input!B8</f>
        <v>82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61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71.5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>CHANCE OF SHOWERS AND T-STORMS. HIGH IN THE 80S.. LOW IN THE MIDDLE 60S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37074</v>
      </c>
      <c r="C25" s="15"/>
      <c r="D25" s="22" t="s">
        <v>275</v>
      </c>
      <c r="E25" s="23">
        <f>Weather_Input!B9</f>
        <v>79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61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37075</v>
      </c>
      <c r="C30" s="15"/>
      <c r="D30" s="22" t="s">
        <v>275</v>
      </c>
      <c r="E30" s="23">
        <f>Weather_Input!B10</f>
        <v>79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61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70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37070</v>
      </c>
      <c r="C36" s="89">
        <f>B10</f>
        <v>37071</v>
      </c>
      <c r="D36" s="89">
        <f>B15</f>
        <v>37072</v>
      </c>
      <c r="E36" s="89">
        <f xml:space="preserve">       B20</f>
        <v>37073</v>
      </c>
      <c r="F36" s="89">
        <f>B25</f>
        <v>37074</v>
      </c>
      <c r="G36" s="89">
        <f>B30</f>
        <v>37075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207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205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435.62800000000004</v>
      </c>
      <c r="C38" s="41">
        <f>PGL_6_Day_Report!E25</f>
        <v>346.91250000000002</v>
      </c>
      <c r="D38" s="41">
        <f>PGL_6_Day_Report!F25</f>
        <v>320.303</v>
      </c>
      <c r="E38" s="41">
        <f>PGL_6_Day_Report!G25</f>
        <v>330.303</v>
      </c>
      <c r="F38" s="41">
        <f>PGL_6_Day_Report!H25</f>
        <v>345.303</v>
      </c>
      <c r="G38" s="41">
        <f>PGL_6_Day_Report!I25</f>
        <v>350.303</v>
      </c>
      <c r="H38" s="14"/>
      <c r="I38" s="15"/>
    </row>
    <row r="39" spans="1:9" ht="15">
      <c r="A39" s="42" t="s">
        <v>104</v>
      </c>
      <c r="B39" s="41">
        <f>SUM(PGL_Supplies!Y7:AD7)/1000</f>
        <v>234.92400000000001</v>
      </c>
      <c r="C39" s="41">
        <f>SUM(PGL_Supplies!Y8:AD8)/1000</f>
        <v>179.863</v>
      </c>
      <c r="D39" s="41">
        <f>SUM(PGL_Supplies!Y9:AD9)/1000</f>
        <v>179.863</v>
      </c>
      <c r="E39" s="41">
        <f>SUM(PGL_Supplies!Y10:AD10)/1000</f>
        <v>179.863</v>
      </c>
      <c r="F39" s="41">
        <f>SUM(PGL_Supplies!Y11:AD11)/1000</f>
        <v>179.863</v>
      </c>
      <c r="G39" s="41">
        <f>SUM(PGL_Supplies!Y12:AD12)/1000</f>
        <v>179.863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0.77800000000000002</v>
      </c>
      <c r="C41" s="41">
        <f>SUM(PGL_Requirements!Q7:T7)/1000</f>
        <v>0.77800000000000002</v>
      </c>
      <c r="D41" s="41">
        <f>SUM(PGL_Requirements!Q7:T7)/1000</f>
        <v>0.77800000000000002</v>
      </c>
      <c r="E41" s="41">
        <f>SUM(PGL_Requirements!Q7:T7)/1000</f>
        <v>0.77800000000000002</v>
      </c>
      <c r="F41" s="41">
        <f>SUM(PGL_Requirements!Q7:T7)/1000</f>
        <v>0.77800000000000002</v>
      </c>
      <c r="G41" s="41">
        <f>SUM(PGL_Requirements!Q7:T7)/1000</f>
        <v>0.77800000000000002</v>
      </c>
      <c r="H41" s="14"/>
      <c r="I41" s="15"/>
    </row>
    <row r="42" spans="1:9" ht="15">
      <c r="A42" s="15" t="s">
        <v>127</v>
      </c>
      <c r="B42" s="41">
        <f>PGL_Supplies!U7/1000</f>
        <v>148.255</v>
      </c>
      <c r="C42" s="41">
        <f>PGL_Supplies!U8/1000</f>
        <v>148.255</v>
      </c>
      <c r="D42" s="41">
        <f>PGL_Supplies!U9/1000</f>
        <v>148.255</v>
      </c>
      <c r="E42" s="41">
        <f>PGL_Supplies!U10/1000</f>
        <v>148.255</v>
      </c>
      <c r="F42" s="41">
        <f>PGL_Supplies!U11/1000</f>
        <v>148.255</v>
      </c>
      <c r="G42" s="41">
        <f>PGL_Supplies!U12/1000</f>
        <v>148.255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37070</v>
      </c>
      <c r="C44" s="89">
        <f t="shared" si="0"/>
        <v>37071</v>
      </c>
      <c r="D44" s="89">
        <f t="shared" si="0"/>
        <v>37072</v>
      </c>
      <c r="E44" s="89">
        <f t="shared" si="0"/>
        <v>37073</v>
      </c>
      <c r="F44" s="89">
        <f t="shared" si="0"/>
        <v>37074</v>
      </c>
      <c r="G44" s="89">
        <f t="shared" si="0"/>
        <v>37075</v>
      </c>
      <c r="H44" s="14"/>
      <c r="I44" s="15"/>
    </row>
    <row r="45" spans="1:9" ht="15">
      <c r="A45" s="15" t="s">
        <v>54</v>
      </c>
      <c r="B45" s="41">
        <f ca="1">NSG_6_Day_Report!D6</f>
        <v>34.5</v>
      </c>
      <c r="C45" s="41">
        <f ca="1">NSG_6_Day_Report!E6</f>
        <v>33</v>
      </c>
      <c r="D45" s="41">
        <f ca="1">NSG_6_Day_Report!F6</f>
        <v>31</v>
      </c>
      <c r="E45" s="41">
        <f ca="1">NSG_6_Day_Report!G6</f>
        <v>34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44.17</v>
      </c>
      <c r="C46" s="41">
        <f ca="1">NSG_6_Day_Report!E11</f>
        <v>33</v>
      </c>
      <c r="D46" s="41">
        <f ca="1">NSG_6_Day_Report!F11</f>
        <v>31</v>
      </c>
      <c r="E46" s="41">
        <f ca="1">NSG_6_Day_Report!G11</f>
        <v>34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44.173000000000002</v>
      </c>
      <c r="C47" s="41">
        <f>SUM(NSG_Supplies!O8:Q8)/1000</f>
        <v>44.073</v>
      </c>
      <c r="D47" s="41">
        <f>SUM(NSG_Supplies!O9:Q9)/1000</f>
        <v>44.073</v>
      </c>
      <c r="E47" s="41">
        <f>SUM(NSG_Supplies!O10:Q10)/1000</f>
        <v>44.173000000000002</v>
      </c>
      <c r="F47" s="41">
        <f>SUM(NSG_Supplies!O11:Q11)/1000</f>
        <v>44.173000000000002</v>
      </c>
      <c r="G47" s="41">
        <f>SUM(NSG_Supplies!O12:Q12)/1000</f>
        <v>44.173000000000002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20.385000000000002</v>
      </c>
      <c r="C50" s="41">
        <f>NSG_Supplies!R8/1000</f>
        <v>20.385000000000002</v>
      </c>
      <c r="D50" s="41">
        <f>NSG_Supplies!R9/1000</f>
        <v>20.385000000000002</v>
      </c>
      <c r="E50" s="41">
        <f>NSG_Supplies!R10/1000</f>
        <v>20.385000000000002</v>
      </c>
      <c r="F50" s="41">
        <f>NSG_Supplies!R11/1000</f>
        <v>20.385000000000002</v>
      </c>
      <c r="G50" s="41">
        <f>NSG_Supplies!R12/1000</f>
        <v>20.385000000000002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37070</v>
      </c>
      <c r="C52" s="89">
        <f t="shared" si="1"/>
        <v>37071</v>
      </c>
      <c r="D52" s="89">
        <f t="shared" si="1"/>
        <v>37072</v>
      </c>
      <c r="E52" s="89">
        <f t="shared" si="1"/>
        <v>37073</v>
      </c>
      <c r="F52" s="89">
        <f t="shared" si="1"/>
        <v>37074</v>
      </c>
      <c r="G52" s="89">
        <f t="shared" si="1"/>
        <v>37075</v>
      </c>
      <c r="H52" s="14"/>
      <c r="I52" s="15"/>
    </row>
    <row r="53" spans="1:9" ht="15">
      <c r="A53" s="92" t="s">
        <v>290</v>
      </c>
      <c r="B53" s="41">
        <f>PGL_Requirements!O7/1000</f>
        <v>130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Friday</v>
      </c>
      <c r="C4" s="1066" t="str">
        <f>Six_Day_Summary!A15</f>
        <v>Saturday</v>
      </c>
      <c r="D4" s="1066" t="str">
        <f>Six_Day_Summary!A20</f>
        <v>Sunday</v>
      </c>
      <c r="E4" s="1066" t="str">
        <f>Six_Day_Summary!A25</f>
        <v>Monday</v>
      </c>
      <c r="F4" s="1067" t="str">
        <f>Six_Day_Summary!A30</f>
        <v>Tuesday</v>
      </c>
      <c r="G4" s="98"/>
    </row>
    <row r="5" spans="1:8">
      <c r="A5" s="101" t="s">
        <v>297</v>
      </c>
      <c r="B5" s="1068">
        <f>Weather_Input!A6</f>
        <v>37071</v>
      </c>
      <c r="C5" s="1069">
        <f>Weather_Input!A7</f>
        <v>37072</v>
      </c>
      <c r="D5" s="1069">
        <f>Weather_Input!A8</f>
        <v>37073</v>
      </c>
      <c r="E5" s="1069">
        <f>Weather_Input!A9</f>
        <v>37074</v>
      </c>
      <c r="F5" s="1070">
        <f>Weather_Input!A10</f>
        <v>37075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21.965</v>
      </c>
      <c r="C6" s="1071">
        <f>PGL_Supplies!AB9/1000+PGL_Supplies!K9/1000-PGL_Requirements!N9/1000+C15-PGL_Requirements!S9/1000</f>
        <v>21.965</v>
      </c>
      <c r="D6" s="1071">
        <f>PGL_Supplies!AB10/1000+PGL_Supplies!K10/1000-PGL_Requirements!N10/1000+D15-PGL_Requirements!S10/1000</f>
        <v>21.965</v>
      </c>
      <c r="E6" s="1071">
        <f>PGL_Supplies!AB11/1000+PGL_Supplies!K11/1000-PGL_Requirements!N11/1000+E15-PGL_Requirements!S11/1000</f>
        <v>21.965</v>
      </c>
      <c r="F6" s="1072">
        <f>PGL_Supplies!AB12/1000+PGL_Supplies!K12/1000-PGL_Requirements!N12/1000+F15-PGL_Requirements!S12/1000</f>
        <v>21.965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Friday</v>
      </c>
      <c r="C21" s="1081" t="str">
        <f t="shared" si="0"/>
        <v>Saturday</v>
      </c>
      <c r="D21" s="1081" t="str">
        <f t="shared" si="0"/>
        <v>Sunday</v>
      </c>
      <c r="E21" s="1081" t="str">
        <f t="shared" si="0"/>
        <v>Monday</v>
      </c>
      <c r="F21" s="1082" t="str">
        <f t="shared" si="0"/>
        <v>Tuesday</v>
      </c>
      <c r="G21" s="98"/>
    </row>
    <row r="22" spans="1:7">
      <c r="A22" s="105" t="s">
        <v>297</v>
      </c>
      <c r="B22" s="1083">
        <f t="shared" si="0"/>
        <v>37071</v>
      </c>
      <c r="C22" s="1083">
        <f t="shared" si="0"/>
        <v>37072</v>
      </c>
      <c r="D22" s="1083">
        <f t="shared" si="0"/>
        <v>37073</v>
      </c>
      <c r="E22" s="1083">
        <f t="shared" si="0"/>
        <v>37074</v>
      </c>
      <c r="F22" s="1084">
        <f t="shared" si="0"/>
        <v>37075</v>
      </c>
      <c r="G22" s="98"/>
    </row>
    <row r="23" spans="1:7">
      <c r="A23" s="98" t="s">
        <v>298</v>
      </c>
      <c r="B23" s="1077">
        <f>NSG_Supplies!Q8/1000+NSG_Supplies!F8/1000-NSG_Requirements!H8/1000</f>
        <v>32.158999999999999</v>
      </c>
      <c r="C23" s="1077">
        <f>NSG_Supplies!Q9/1000+NSG_Supplies!F9/1000-NSG_Requirements!H9/1000</f>
        <v>32.158999999999999</v>
      </c>
      <c r="D23" s="1077">
        <f>NSG_Supplies!Q10/1000+NSG_Supplies!F10/1000-NSG_Requirements!H10/1000</f>
        <v>32.259</v>
      </c>
      <c r="E23" s="1077">
        <f>NSG_Supplies!Q12/1000+NSG_Supplies!F11/1000-NSG_Requirements!H11/1000</f>
        <v>32.259</v>
      </c>
      <c r="F23" s="1072">
        <f>NSG_Supplies!Q12/1000+NSG_Supplies!F12/1000-NSG_Requirements!H12/1000</f>
        <v>32.259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37071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11.914</v>
      </c>
      <c r="D5" s="433"/>
      <c r="E5" s="435">
        <f>AVERAGE(C5/24)</f>
        <v>0.49641666666666667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5.625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155.19800000000001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96.116</v>
      </c>
      <c r="D11" s="778"/>
      <c r="E11" s="1056"/>
      <c r="F11" s="430" t="s">
        <v>356</v>
      </c>
      <c r="G11" s="442">
        <f>G8+G10</f>
        <v>170.19800000000001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96.116</v>
      </c>
      <c r="D14" s="433"/>
      <c r="E14" s="435">
        <f>AVERAGE(C14/24)</f>
        <v>4.004833333333333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136.97900000000001</v>
      </c>
      <c r="H15" s="433" t="s">
        <v>9</v>
      </c>
      <c r="I15" s="435">
        <f>AVERAGE(G15/24)</f>
        <v>5.7074583333333342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0.54800000000000004</v>
      </c>
      <c r="E16" s="158"/>
      <c r="F16" s="772" t="s">
        <v>537</v>
      </c>
      <c r="G16" s="443">
        <f>PGL_Requirements!G8/1000</f>
        <v>33.219000000000001</v>
      </c>
      <c r="H16" s="443" t="s">
        <v>9</v>
      </c>
      <c r="I16" s="435">
        <f>AVERAGE(G16/24)</f>
        <v>1.384125</v>
      </c>
    </row>
    <row r="17" spans="1:9" ht="15.75" customHeight="1" thickTop="1" thickBot="1">
      <c r="B17" s="430" t="s">
        <v>356</v>
      </c>
      <c r="C17" s="442">
        <f>SUM(C15:C16)-SUM(D15:D16)</f>
        <v>-0.34800000000000003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-0.34800000000000003</v>
      </c>
      <c r="D20" s="436" t="s">
        <v>9</v>
      </c>
      <c r="E20" s="435">
        <f>AVERAGE(C20/24)</f>
        <v>-1.4500000000000001E-2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37071</v>
      </c>
      <c r="I1" s="914"/>
      <c r="J1" s="916"/>
      <c r="K1" s="916"/>
    </row>
    <row r="2" spans="1:22" ht="16.5" customHeight="1">
      <c r="A2" s="934" t="s">
        <v>641</v>
      </c>
      <c r="C2" s="982">
        <v>325</v>
      </c>
      <c r="F2" s="983">
        <v>325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11.914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32.158999999999999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-0.34800000000000003</v>
      </c>
      <c r="B11" s="987"/>
      <c r="H11" s="936">
        <f>NSG_Supplies!T8/1000</f>
        <v>0</v>
      </c>
      <c r="K11" s="917" t="s">
        <v>646</v>
      </c>
      <c r="L11" s="942">
        <f>SUM(K4+K17+K19+H11+H9-L9)</f>
        <v>11.073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96.116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325</v>
      </c>
      <c r="F15" s="988">
        <v>325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520</v>
      </c>
      <c r="D18" s="990"/>
      <c r="E18" s="990"/>
      <c r="F18" s="983">
        <v>794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136.97900000000001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5.5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</v>
      </c>
      <c r="H26" s="917"/>
      <c r="I26" s="917"/>
      <c r="J26" s="917" t="s">
        <v>542</v>
      </c>
      <c r="K26" s="995">
        <f>PGL_Deliveries!C6/1000</f>
        <v>190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80.52800000000002</v>
      </c>
      <c r="L28" s="917" t="s">
        <v>689</v>
      </c>
      <c r="M28" s="942">
        <f>SUM(J2+K17+K19+H11+H9-M26)</f>
        <v>11.073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37070</v>
      </c>
      <c r="G29" s="936">
        <f>PGL_Requirements!G7/1000</f>
        <v>154.6</v>
      </c>
      <c r="H29" s="915"/>
      <c r="J29" s="917" t="s">
        <v>649</v>
      </c>
      <c r="K29" s="936">
        <f>PGL_Supplies!AB8/1000+PGL_Supplies!K8/1000-PGL_Requirements!N8/1000</f>
        <v>21.965</v>
      </c>
    </row>
    <row r="30" spans="1:17" ht="10.5" customHeight="1">
      <c r="A30" s="919"/>
      <c r="B30" s="936"/>
      <c r="C30" s="917"/>
      <c r="D30" s="936"/>
      <c r="F30" s="1041">
        <f>PGL_Requirements!A8</f>
        <v>37071</v>
      </c>
      <c r="G30" s="936">
        <f>PGL_Requirements!G8/1000</f>
        <v>33.219000000000001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-87.506999999999977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524</v>
      </c>
      <c r="F38" s="988">
        <v>751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248.74700000000001</v>
      </c>
      <c r="B40" s="930"/>
      <c r="C40" s="929"/>
      <c r="D40" s="930"/>
      <c r="E40" s="930"/>
      <c r="F40" s="998"/>
      <c r="G40" s="998">
        <f>SUM(G30:G35)</f>
        <v>168.21899999999999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80.52800000000002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250</v>
      </c>
      <c r="C45" s="1001">
        <v>410</v>
      </c>
      <c r="D45" s="1002">
        <f>SUM(F2+F15)/2</f>
        <v>325</v>
      </c>
      <c r="E45" s="1003"/>
      <c r="F45" s="1004">
        <v>6.7000000000000004E-2</v>
      </c>
      <c r="G45" s="1005">
        <f>(C45-D45)*F45</f>
        <v>5.6950000000000003</v>
      </c>
      <c r="H45" s="1005">
        <f>(D45-B45)*F45</f>
        <v>5.0250000000000004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250</v>
      </c>
      <c r="C47" s="1001">
        <v>410</v>
      </c>
      <c r="D47" s="1002">
        <f>SUM(C2+C15)/2</f>
        <v>325</v>
      </c>
      <c r="E47" s="1003"/>
      <c r="F47" s="1004">
        <v>0.14099999999999999</v>
      </c>
      <c r="G47" s="1005">
        <f>(C47-D47)*F47</f>
        <v>11.984999999999999</v>
      </c>
      <c r="H47" s="1005">
        <f>(D47-B47)*F47</f>
        <v>10.574999999999999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522</v>
      </c>
      <c r="E48" s="1003"/>
      <c r="F48" s="1004">
        <v>0.161</v>
      </c>
      <c r="G48" s="1005">
        <f>(C48-D48)*F48</f>
        <v>36.707999999999998</v>
      </c>
      <c r="H48" s="1005">
        <f>(D48-B48)*F48</f>
        <v>38.157000000000004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54.387999999999998</v>
      </c>
      <c r="H49" s="1005">
        <f>SUM(H45:H48)</f>
        <v>53.757000000000005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37070</v>
      </c>
      <c r="B5" s="11">
        <v>86</v>
      </c>
      <c r="C5" s="49">
        <v>65</v>
      </c>
      <c r="D5" s="49">
        <v>6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811</v>
      </c>
      <c r="K5" s="11">
        <v>1</v>
      </c>
      <c r="L5" s="11">
        <v>1</v>
      </c>
      <c r="N5" s="15" t="str">
        <f>I5&amp;" "&amp;I5</f>
        <v>SUNNY AND HOT … HIGH IN THE MIDDLE 80S. SE WINDS 5 TO 10. TONIGHT, LOW IN THE SUNNY AND HOT … HIGH IN THE MIDDLE 80S. SE WINDS 5 TO 10. TONIGHT, LOW IN THE</v>
      </c>
      <c r="AE5" s="15">
        <v>1</v>
      </c>
      <c r="AH5" s="15" t="s">
        <v>32</v>
      </c>
    </row>
    <row r="6" spans="1:34" ht="16.5" customHeight="1">
      <c r="A6" s="86">
        <f>A5+1</f>
        <v>37071</v>
      </c>
      <c r="B6" s="11">
        <v>88</v>
      </c>
      <c r="C6" s="49">
        <v>68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813</v>
      </c>
      <c r="K6" s="11">
        <v>1</v>
      </c>
      <c r="L6" s="11" t="s">
        <v>590</v>
      </c>
      <c r="N6" s="15" t="str">
        <f>I6&amp;" "&amp;J6</f>
        <v>SUNNY AND HOT … HIGH IN THE MIDDLE 80S. SE WINDS 5 TO 10. TONIGHT, PARTLY  CLOUDY, LOW IN THE MIDDLE 60S.</v>
      </c>
      <c r="AE6" s="15">
        <v>1</v>
      </c>
      <c r="AH6" s="15" t="s">
        <v>33</v>
      </c>
    </row>
    <row r="7" spans="1:34" ht="16.5" customHeight="1">
      <c r="A7" s="86">
        <f>A6+1</f>
        <v>37072</v>
      </c>
      <c r="B7" s="11">
        <v>85</v>
      </c>
      <c r="C7" s="49">
        <v>67</v>
      </c>
      <c r="D7" s="49">
        <v>7</v>
      </c>
      <c r="E7" s="11" t="s">
        <v>9</v>
      </c>
      <c r="F7" s="11" t="s">
        <v>9</v>
      </c>
      <c r="G7" s="11"/>
      <c r="H7" s="11" t="s">
        <v>9</v>
      </c>
      <c r="I7" s="894" t="s">
        <v>814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CHANCE OF A T-STORM. HIGH IN THE MIDDLE 80S.  </v>
      </c>
    </row>
    <row r="8" spans="1:34" ht="16.5" customHeight="1">
      <c r="A8" s="86">
        <f>A7+1</f>
        <v>37073</v>
      </c>
      <c r="B8" s="11">
        <v>82</v>
      </c>
      <c r="C8" s="49">
        <v>61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6</v>
      </c>
      <c r="L8" s="11"/>
      <c r="N8" s="15" t="str">
        <f>I8&amp;" "&amp;J8</f>
        <v xml:space="preserve">CHANCE OF SHOWERS AND T-STORMS. HIGH IN THE 80S.. LOW IN THE MIDDLE 60S  </v>
      </c>
    </row>
    <row r="9" spans="1:34" ht="16.5" customHeight="1">
      <c r="A9" s="86">
        <f>A8+1</f>
        <v>37074</v>
      </c>
      <c r="B9" s="11">
        <v>79</v>
      </c>
      <c r="C9" s="49">
        <v>61</v>
      </c>
      <c r="D9" s="49">
        <v>9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37075</v>
      </c>
      <c r="B10" s="11">
        <v>79</v>
      </c>
      <c r="C10" s="49">
        <v>61</v>
      </c>
      <c r="D10" s="49">
        <v>9</v>
      </c>
      <c r="E10" s="11" t="s">
        <v>9</v>
      </c>
      <c r="F10" s="11" t="s">
        <v>9</v>
      </c>
      <c r="G10" s="11"/>
      <c r="H10" s="11" t="s">
        <v>9</v>
      </c>
      <c r="I10" s="894" t="s">
        <v>816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37070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105.45399999999999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1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104.45399999999999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0.54800000000000004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0.54800000000000004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9.6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31.637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130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40.515999999999998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5.5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200.239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86</v>
      </c>
      <c r="C45" s="182"/>
      <c r="D45" s="60" t="s">
        <v>587</v>
      </c>
      <c r="E45" s="795">
        <f>PGL_Supplies!S7/1000</f>
        <v>50</v>
      </c>
      <c r="F45" s="168"/>
    </row>
    <row r="46" spans="1:13" ht="15">
      <c r="A46" s="169" t="s">
        <v>580</v>
      </c>
      <c r="B46" s="234">
        <f>Weather_Input!C5</f>
        <v>65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37070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32.259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33.890999999999998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37070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37069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102797</v>
      </c>
      <c r="O6" s="201">
        <v>0</v>
      </c>
      <c r="P6" s="201">
        <v>52797690</v>
      </c>
      <c r="Q6" s="201">
        <v>15045098</v>
      </c>
      <c r="R6" s="201">
        <v>37752592</v>
      </c>
      <c r="S6" s="201">
        <v>0</v>
      </c>
    </row>
    <row r="7" spans="1:19">
      <c r="A7" s="4">
        <f>B1</f>
        <v>37070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107954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52905644</v>
      </c>
      <c r="Q7">
        <f>IF(O7&gt;0,Q6+O7,Q6)</f>
        <v>15045098</v>
      </c>
      <c r="R7">
        <f>IF(P7&gt;Q7,P7-Q7,0)</f>
        <v>37860546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37070</v>
      </c>
      <c r="B5" s="1">
        <f>(Weather_Input!B5+Weather_Input!C5)/2</f>
        <v>75.5</v>
      </c>
      <c r="C5" s="895">
        <v>207000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37071</v>
      </c>
      <c r="B6" s="913">
        <f>(Weather_Input!B6+Weather_Input!C6)/2</f>
        <v>78</v>
      </c>
      <c r="C6" s="895">
        <v>190000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37072</v>
      </c>
      <c r="B7" s="913">
        <f>(Weather_Input!B7+Weather_Input!C7)/2</f>
        <v>76</v>
      </c>
      <c r="C7" s="895">
        <v>180000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37073</v>
      </c>
      <c r="B8" s="913">
        <f>(Weather_Input!B8+Weather_Input!C8)/2</f>
        <v>71.5</v>
      </c>
      <c r="C8" s="895">
        <v>190000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37074</v>
      </c>
      <c r="B9" s="913">
        <f>(Weather_Input!B9+Weather_Input!C9)/2</f>
        <v>70</v>
      </c>
      <c r="C9" s="895">
        <v>205000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37075</v>
      </c>
      <c r="B10" s="913">
        <f>(Weather_Input!B10+Weather_Input!C10)/2</f>
        <v>70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37070</v>
      </c>
      <c r="B5" s="1">
        <f>(Weather_Input!B5+Weather_Input!C5)/2</f>
        <v>75.5</v>
      </c>
      <c r="C5" s="895">
        <v>34500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37071</v>
      </c>
      <c r="B6" s="913">
        <f>(Weather_Input!B6+Weather_Input!C6)/2</f>
        <v>78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37072</v>
      </c>
      <c r="B7" s="913">
        <f>(Weather_Input!B7+Weather_Input!C7)/2</f>
        <v>76</v>
      </c>
      <c r="C7" s="895">
        <v>31000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37073</v>
      </c>
      <c r="B8" s="913">
        <f>(Weather_Input!B8+Weather_Input!C8)/2</f>
        <v>71.5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37074</v>
      </c>
      <c r="B9" s="913">
        <f>(Weather_Input!B9+Weather_Input!C9)/2</f>
        <v>70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37075</v>
      </c>
      <c r="B10" s="913">
        <f>(Weather_Input!B10+Weather_Input!C10)/2</f>
        <v>70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37070</v>
      </c>
      <c r="B7" s="904">
        <v>0</v>
      </c>
      <c r="C7" s="620">
        <v>0</v>
      </c>
      <c r="D7" s="620">
        <v>0</v>
      </c>
      <c r="E7" s="904">
        <v>2500</v>
      </c>
      <c r="F7" s="904">
        <v>0</v>
      </c>
      <c r="G7" s="906">
        <v>154600</v>
      </c>
      <c r="H7" s="619">
        <v>0</v>
      </c>
      <c r="I7" s="619">
        <v>1000</v>
      </c>
      <c r="J7" s="620">
        <v>5500</v>
      </c>
      <c r="K7" s="619">
        <v>0</v>
      </c>
      <c r="L7" s="620">
        <v>0</v>
      </c>
      <c r="M7" s="620">
        <v>0</v>
      </c>
      <c r="N7" s="621">
        <v>9600</v>
      </c>
      <c r="O7" s="620">
        <v>130000</v>
      </c>
      <c r="P7" s="622">
        <f t="shared" ref="P7:P12" si="0">O7*0.015</f>
        <v>1950</v>
      </c>
      <c r="Q7" s="620">
        <v>230</v>
      </c>
      <c r="R7" s="620">
        <v>0</v>
      </c>
      <c r="S7" s="620">
        <v>0</v>
      </c>
      <c r="T7" s="619">
        <v>548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37071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33219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230</v>
      </c>
      <c r="R8" s="620">
        <v>0</v>
      </c>
      <c r="S8" s="620">
        <v>0</v>
      </c>
      <c r="T8" s="619">
        <v>548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37072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230</v>
      </c>
      <c r="R9" s="620">
        <v>0</v>
      </c>
      <c r="S9" s="620">
        <v>0</v>
      </c>
      <c r="T9" s="619">
        <v>548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37073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230</v>
      </c>
      <c r="R10" s="620">
        <v>0</v>
      </c>
      <c r="S10" s="620">
        <v>0</v>
      </c>
      <c r="T10" s="619">
        <v>548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37074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230</v>
      </c>
      <c r="R11" s="620">
        <v>0</v>
      </c>
      <c r="S11" s="620">
        <v>0</v>
      </c>
      <c r="T11" s="619">
        <v>548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37075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230</v>
      </c>
      <c r="R12" s="620">
        <v>0</v>
      </c>
      <c r="S12" s="620">
        <v>0</v>
      </c>
      <c r="T12" s="619">
        <v>548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37070</v>
      </c>
      <c r="B7" s="622">
        <v>6750</v>
      </c>
      <c r="C7" s="622">
        <v>0</v>
      </c>
      <c r="D7" s="622">
        <v>47500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50000</v>
      </c>
      <c r="T7" s="620">
        <v>0</v>
      </c>
      <c r="U7" s="621">
        <v>148255</v>
      </c>
      <c r="V7" s="621">
        <v>0</v>
      </c>
      <c r="W7" s="619">
        <v>0</v>
      </c>
      <c r="X7" s="907">
        <v>105454</v>
      </c>
      <c r="Y7" s="621">
        <v>548</v>
      </c>
      <c r="Z7" s="1">
        <v>0</v>
      </c>
      <c r="AA7" s="619">
        <v>200239</v>
      </c>
      <c r="AB7" s="619">
        <v>31637</v>
      </c>
      <c r="AC7" s="619">
        <v>2500</v>
      </c>
      <c r="AD7" s="907">
        <v>0</v>
      </c>
      <c r="AE7" s="819">
        <f>Weather_Input!A5</f>
        <v>37070</v>
      </c>
      <c r="AH7" s="619"/>
      <c r="AI7" s="619"/>
      <c r="AJ7" s="619"/>
    </row>
    <row r="8" spans="1:36">
      <c r="A8" s="819">
        <f>A7+1</f>
        <v>37071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15000</v>
      </c>
      <c r="T8" s="620">
        <v>0</v>
      </c>
      <c r="U8" s="621">
        <v>148255</v>
      </c>
      <c r="V8" s="621">
        <v>0</v>
      </c>
      <c r="W8" s="619">
        <v>0</v>
      </c>
      <c r="X8" s="907">
        <v>96116</v>
      </c>
      <c r="Y8" s="621">
        <v>200</v>
      </c>
      <c r="Z8" s="1">
        <v>0</v>
      </c>
      <c r="AA8" s="619">
        <v>155198</v>
      </c>
      <c r="AB8" s="619">
        <v>21965</v>
      </c>
      <c r="AC8" s="619">
        <v>2500</v>
      </c>
      <c r="AD8" s="907">
        <v>0</v>
      </c>
      <c r="AE8" s="819">
        <f>AE7+1</f>
        <v>37071</v>
      </c>
      <c r="AH8" s="619"/>
      <c r="AI8" s="619"/>
      <c r="AJ8" s="619"/>
    </row>
    <row r="9" spans="1:36" s="619" customFormat="1">
      <c r="A9" s="819">
        <f>A8+1</f>
        <v>37072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148255</v>
      </c>
      <c r="V9" s="621">
        <v>0</v>
      </c>
      <c r="W9" s="619">
        <v>0</v>
      </c>
      <c r="X9" s="907">
        <v>96116</v>
      </c>
      <c r="Y9" s="621">
        <v>200</v>
      </c>
      <c r="Z9" s="1">
        <v>0</v>
      </c>
      <c r="AA9" s="619">
        <v>155198</v>
      </c>
      <c r="AB9" s="619">
        <v>21965</v>
      </c>
      <c r="AC9" s="619">
        <v>2500</v>
      </c>
      <c r="AD9" s="907">
        <v>0</v>
      </c>
      <c r="AE9" s="819">
        <f>AE8+1</f>
        <v>37072</v>
      </c>
    </row>
    <row r="10" spans="1:36">
      <c r="A10" s="819">
        <f>A9+1</f>
        <v>37073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148255</v>
      </c>
      <c r="V10" s="621">
        <v>0</v>
      </c>
      <c r="W10" s="619">
        <v>0</v>
      </c>
      <c r="X10" s="907">
        <v>96116</v>
      </c>
      <c r="Y10" s="621">
        <v>200</v>
      </c>
      <c r="Z10" s="1">
        <v>0</v>
      </c>
      <c r="AA10" s="619">
        <v>155198</v>
      </c>
      <c r="AB10" s="619">
        <v>21965</v>
      </c>
      <c r="AC10" s="619">
        <v>2500</v>
      </c>
      <c r="AD10" s="907">
        <v>0</v>
      </c>
      <c r="AE10" s="819">
        <f>AE9+1</f>
        <v>37073</v>
      </c>
      <c r="AH10" s="619"/>
      <c r="AI10" s="619"/>
      <c r="AJ10" s="619"/>
    </row>
    <row r="11" spans="1:36">
      <c r="A11" s="819">
        <f>A10+1</f>
        <v>37074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148255</v>
      </c>
      <c r="V11" s="621">
        <v>0</v>
      </c>
      <c r="W11" s="619">
        <v>0</v>
      </c>
      <c r="X11" s="907">
        <v>96116</v>
      </c>
      <c r="Y11" s="621">
        <v>200</v>
      </c>
      <c r="Z11" s="1">
        <v>0</v>
      </c>
      <c r="AA11" s="619">
        <v>155198</v>
      </c>
      <c r="AB11" s="619">
        <v>21965</v>
      </c>
      <c r="AC11" s="619">
        <v>2500</v>
      </c>
      <c r="AD11" s="907">
        <v>0</v>
      </c>
      <c r="AE11" s="819">
        <f>AE10+1</f>
        <v>37074</v>
      </c>
    </row>
    <row r="12" spans="1:36">
      <c r="A12" s="819">
        <f>A11+1</f>
        <v>37075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148255</v>
      </c>
      <c r="V12" s="621">
        <v>0</v>
      </c>
      <c r="W12" s="619">
        <v>0</v>
      </c>
      <c r="X12" s="907">
        <v>96116</v>
      </c>
      <c r="Y12" s="621">
        <v>200</v>
      </c>
      <c r="Z12" s="1">
        <v>0</v>
      </c>
      <c r="AA12" s="619">
        <v>155198</v>
      </c>
      <c r="AB12" s="619">
        <v>21965</v>
      </c>
      <c r="AC12" s="619">
        <v>2500</v>
      </c>
      <c r="AD12" s="907">
        <v>0</v>
      </c>
      <c r="AE12" s="819">
        <f>AE11+1</f>
        <v>37075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37070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9670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37070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37071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37071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37072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37072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37073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37073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37074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37074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37075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37075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37070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32259</v>
      </c>
      <c r="R7" s="622">
        <v>20385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37071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32159</v>
      </c>
      <c r="R8" s="622">
        <v>20385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37072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11914</v>
      </c>
      <c r="Q9" s="622">
        <v>32159</v>
      </c>
      <c r="R9" s="622">
        <v>20385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37073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11914</v>
      </c>
      <c r="Q10" s="622">
        <v>32259</v>
      </c>
      <c r="R10" s="622">
        <v>20385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37074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11914</v>
      </c>
      <c r="Q11" s="622">
        <v>32259</v>
      </c>
      <c r="R11" s="622">
        <v>20385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37075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11914</v>
      </c>
      <c r="Q12" s="622">
        <v>32259</v>
      </c>
      <c r="R12" s="622">
        <v>20385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THU</v>
      </c>
      <c r="I1" s="824">
        <f>D4</f>
        <v>37070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THU</v>
      </c>
      <c r="E3" s="829" t="str">
        <f t="shared" si="0"/>
        <v>FRI</v>
      </c>
      <c r="F3" s="829" t="str">
        <f t="shared" si="0"/>
        <v>SAT</v>
      </c>
      <c r="G3" s="829" t="str">
        <f t="shared" si="0"/>
        <v>SUN</v>
      </c>
      <c r="H3" s="829" t="str">
        <f t="shared" si="0"/>
        <v>MON</v>
      </c>
      <c r="I3" s="830" t="str">
        <f t="shared" si="0"/>
        <v>TUE</v>
      </c>
    </row>
    <row r="4" spans="1:256" ht="18.899999999999999" customHeight="1" thickBot="1">
      <c r="A4" s="831"/>
      <c r="B4" s="832"/>
      <c r="C4" s="832"/>
      <c r="D4" s="461">
        <f>Weather_Input!A5</f>
        <v>37070</v>
      </c>
      <c r="E4" s="461">
        <f>Weather_Input!A6</f>
        <v>37071</v>
      </c>
      <c r="F4" s="461">
        <f>Weather_Input!A7</f>
        <v>37072</v>
      </c>
      <c r="G4" s="461">
        <f>Weather_Input!A8</f>
        <v>37073</v>
      </c>
      <c r="H4" s="461">
        <f>Weather_Input!A9</f>
        <v>37074</v>
      </c>
      <c r="I4" s="462">
        <f>Weather_Input!A10</f>
        <v>37075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86/65/76</v>
      </c>
      <c r="E5" s="463" t="str">
        <f>TEXT(Weather_Input!B6,"0")&amp;"/"&amp;TEXT(Weather_Input!C6,"0") &amp; "/" &amp; TEXT((Weather_Input!B6+Weather_Input!C6)/2,"0")</f>
        <v>88/68/78</v>
      </c>
      <c r="F5" s="463" t="str">
        <f>TEXT(Weather_Input!B7,"0")&amp;"/"&amp;TEXT(Weather_Input!C7,"0") &amp; "/" &amp; TEXT((Weather_Input!B7+Weather_Input!C7)/2,"0")</f>
        <v>85/67/76</v>
      </c>
      <c r="G5" s="463" t="str">
        <f>TEXT(Weather_Input!B8,"0")&amp;"/"&amp;TEXT(Weather_Input!C8,"0") &amp; "/" &amp; TEXT((Weather_Input!B8+Weather_Input!C8)/2,"0")</f>
        <v>82/61/72</v>
      </c>
      <c r="H5" s="463" t="str">
        <f>TEXT(Weather_Input!B9,"0")&amp;"/"&amp;TEXT(Weather_Input!C9,"0") &amp; "/" &amp; TEXT((Weather_Input!B9+Weather_Input!C9)/2,"0")</f>
        <v>79/61/70</v>
      </c>
      <c r="I5" s="464" t="str">
        <f>TEXT(Weather_Input!B10,"0")&amp;"/"&amp;TEXT(Weather_Input!C10,"0") &amp; "/" &amp; TEXT((Weather_Input!B10+Weather_Input!C10)/2,"0")</f>
        <v>79/61/70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207</v>
      </c>
      <c r="E6" s="463">
        <f>PGL_Deliveries!C6/1000</f>
        <v>190</v>
      </c>
      <c r="F6" s="463">
        <f>PGL_Deliveries!C7/1000</f>
        <v>180</v>
      </c>
      <c r="G6" s="463">
        <f>PGL_Deliveries!C8/1000</f>
        <v>190</v>
      </c>
      <c r="H6" s="463">
        <f>PGL_Deliveries!C9/1000</f>
        <v>205</v>
      </c>
      <c r="I6" s="464">
        <f>PGL_Deliveries!C10/1000</f>
        <v>210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77.3</v>
      </c>
      <c r="E7" s="463">
        <f>PGL_Requirements!G8/1000*0.5</f>
        <v>16.609500000000001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775</v>
      </c>
      <c r="B8" s="826"/>
      <c r="C8" s="826"/>
      <c r="D8" s="463">
        <f>PGL_Requirements!J7/1000</f>
        <v>5.5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130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1.95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899999999999999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778</v>
      </c>
      <c r="D15" s="463">
        <f>PGL_Requirements!T7/1000</f>
        <v>0.54800000000000004</v>
      </c>
      <c r="E15" s="463">
        <f>PGL_Requirements!T8/1000</f>
        <v>0.54800000000000004</v>
      </c>
      <c r="F15" s="463">
        <f>PGL_Requirements!T9/1000</f>
        <v>0.54800000000000004</v>
      </c>
      <c r="G15" s="463">
        <f>PGL_Requirements!T10/1000</f>
        <v>0.54800000000000004</v>
      </c>
      <c r="H15" s="463">
        <f>PGL_Requirements!T11/1000</f>
        <v>0.54800000000000004</v>
      </c>
      <c r="I15" s="464">
        <f>PGL_Requirements!T12/1000</f>
        <v>0.54800000000000004</v>
      </c>
    </row>
    <row r="16" spans="1:256" ht="18.899999999999999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9.6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1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435.62800000000004</v>
      </c>
      <c r="E25" s="467">
        <f t="shared" si="1"/>
        <v>346.91250000000002</v>
      </c>
      <c r="F25" s="467">
        <f t="shared" si="1"/>
        <v>320.303</v>
      </c>
      <c r="G25" s="467">
        <f t="shared" si="1"/>
        <v>330.303</v>
      </c>
      <c r="H25" s="467">
        <f t="shared" si="1"/>
        <v>345.303</v>
      </c>
      <c r="I25" s="1099">
        <f t="shared" si="1"/>
        <v>350.303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777</v>
      </c>
      <c r="B36" s="826" t="s">
        <v>394</v>
      </c>
      <c r="C36" s="826"/>
      <c r="D36" s="463">
        <f>PGL_Supplies!S7/1000*0.5</f>
        <v>25</v>
      </c>
      <c r="E36" s="463">
        <f>PGL_Supplies!S8/1000*0.5</f>
        <v>7.5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105.45399999999999</v>
      </c>
      <c r="E37" s="463">
        <f>PGL_Supplies!X8/1000</f>
        <v>96.116</v>
      </c>
      <c r="F37" s="463">
        <f>PGL_Supplies!X9/1000</f>
        <v>96.116</v>
      </c>
      <c r="G37" s="463">
        <f>PGL_Supplies!X10/1000</f>
        <v>96.116</v>
      </c>
      <c r="H37" s="463">
        <f>PGL_Supplies!X11/1000</f>
        <v>96.116</v>
      </c>
      <c r="I37" s="464">
        <f>PGL_Supplies!X12/1000</f>
        <v>96.116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0.54800000000000004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200.239</v>
      </c>
      <c r="E40" s="463">
        <f>PGL_Supplies!AA8/1000</f>
        <v>155.19800000000001</v>
      </c>
      <c r="F40" s="463">
        <f>PGL_Supplies!AA9/1000</f>
        <v>155.19800000000001</v>
      </c>
      <c r="G40" s="463">
        <f>PGL_Supplies!AA10/1000</f>
        <v>155.19800000000001</v>
      </c>
      <c r="H40" s="463">
        <f>PGL_Supplies!AA11/1000</f>
        <v>155.19800000000001</v>
      </c>
      <c r="I40" s="464">
        <f>PGL_Supplies!AA12/1000</f>
        <v>155.19800000000001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31.637</v>
      </c>
      <c r="E41" s="463">
        <f>PGL_Supplies!AB8/1000</f>
        <v>21.965</v>
      </c>
      <c r="F41" s="463">
        <f>PGL_Supplies!AB9/1000</f>
        <v>21.965</v>
      </c>
      <c r="G41" s="463">
        <f>PGL_Supplies!AB10/1000</f>
        <v>21.965</v>
      </c>
      <c r="H41" s="463">
        <f>PGL_Supplies!AB11/1000</f>
        <v>21.965</v>
      </c>
      <c r="I41" s="464">
        <f>PGL_Supplies!AB12/1000</f>
        <v>21.965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2.5</v>
      </c>
      <c r="F42" s="463">
        <f>PGL_Supplies!AC9/1000</f>
        <v>2.5</v>
      </c>
      <c r="G42" s="463">
        <f>PGL_Supplies!AC10/1000</f>
        <v>2.5</v>
      </c>
      <c r="H42" s="463">
        <f>PGL_Supplies!AC11/1000</f>
        <v>2.5</v>
      </c>
      <c r="I42" s="464">
        <f>PGL_Supplies!AC12/1000</f>
        <v>2.5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6.75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47.5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435.62799999999999</v>
      </c>
      <c r="E50" s="473">
        <f t="shared" si="2"/>
        <v>299.47899999999998</v>
      </c>
      <c r="F50" s="473">
        <f t="shared" si="2"/>
        <v>291.97899999999998</v>
      </c>
      <c r="G50" s="473">
        <f t="shared" si="2"/>
        <v>291.97899999999998</v>
      </c>
      <c r="H50" s="473">
        <f t="shared" si="2"/>
        <v>291.97899999999998</v>
      </c>
      <c r="I50" s="1101">
        <f t="shared" si="2"/>
        <v>291.97899999999998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5.6843418860808015E-14</v>
      </c>
      <c r="E52" s="475">
        <f t="shared" si="4"/>
        <v>47.433500000000038</v>
      </c>
      <c r="F52" s="475">
        <f t="shared" si="4"/>
        <v>28.324000000000012</v>
      </c>
      <c r="G52" s="475">
        <f t="shared" si="4"/>
        <v>38.324000000000012</v>
      </c>
      <c r="H52" s="475">
        <f t="shared" si="4"/>
        <v>53.324000000000012</v>
      </c>
      <c r="I52" s="1103">
        <f t="shared" si="4"/>
        <v>58.324000000000012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148.255</v>
      </c>
      <c r="E53" s="1092">
        <f>PGL_Supplies!U8/1000</f>
        <v>148.255</v>
      </c>
      <c r="F53" s="1092">
        <f>PGL_Supplies!U9/1000</f>
        <v>148.255</v>
      </c>
      <c r="G53" s="1092">
        <f>PGL_Supplies!U10/1000</f>
        <v>148.255</v>
      </c>
      <c r="H53" s="1092">
        <f>PGL_Supplies!U11/1000</f>
        <v>148.255</v>
      </c>
      <c r="I53" s="1093">
        <f>PGL_Supplies!U12/1000</f>
        <v>148.255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2001-06-28T21:51:03Z</cp:lastPrinted>
  <dcterms:created xsi:type="dcterms:W3CDTF">1997-07-16T16:14:22Z</dcterms:created>
  <dcterms:modified xsi:type="dcterms:W3CDTF">2023-09-10T11:13:26Z</dcterms:modified>
</cp:coreProperties>
</file>