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<sst xmlns="http://schemas.openxmlformats.org/spreadsheetml/2006/main" count="2099" uniqueCount="817">
  <si>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</si>
  <si>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</si>
  <si>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</si>
  <si>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</si>
  <si>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</si>
  <si>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</si>
  <si>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</si>
  <si>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</si>
  <si>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</si>
  <si>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</si>
  <si>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</si>
  <si>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</si>
  <si>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</si>
  <si>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</si>
  <si>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</si>
  <si>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</si>
  <si>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</si>
  <si>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</si>
  <si>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</si>
  <si>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</si>
  <si>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</si>
  <si>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</si>
  <si>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</si>
  <si>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</si>
  <si>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</si>
  <si>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</si>
  <si>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</si>
  <si>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</si>
  <si>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</si>
  <si>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</si>
  <si>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</si>
  <si>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</si>
  <si>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</si>
  <si>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</si>
  <si>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</si>
  <si>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</si>
  <si>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</si>
  <si>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</si>
  <si>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</si>
  <si>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</si>
  <si>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</si>
  <si>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</si>
  <si>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</si>
  <si>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</si>
  <si>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</si>
  <si>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</si>
  <si>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</si>
  <si>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</si>
  <si>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</si>
  <si>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</si>
  <si>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</si>
  <si>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</si>
  <si>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</si>
  <si>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</si>
  <si>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</si>
  <si>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</si>
  <si>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</si>
  <si>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</si>
  <si>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</si>
  <si>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</si>
  <si>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</si>
  <si>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</si>
  <si>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</si>
  <si>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</si>
  <si>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</si>
  <si>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</si>
  <si>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</si>
  <si>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</si>
  <si>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</si>
  <si>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</si>
  <si>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</si>
  <si>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</si>
  <si>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</si>
  <si>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</si>
  <si>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</si>
  <si>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</si>
  <si>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</si>
  <si>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</si>
  <si>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</si>
  <si>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</si>
  <si>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</si>
  <si>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</si>
  <si>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</si>
  <si>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</si>
  <si>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</si>
  <si>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</si>
  <si>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</si>
  <si>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</si>
  <si>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</si>
  <si>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</si>
  <si>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</si>
  <si>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</si>
  <si>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</si>
  <si>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</si>
  <si>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</si>
  <si>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</si>
  <si>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</si>
  <si>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</si>
  <si>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</si>
  <si>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</si>
  <si>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</si>
  <si>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</si>
  <si>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</si>
  <si>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</si>
  <si>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</si>
  <si>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</si>
  <si>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</si>
  <si>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</si>
  <si>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</si>
  <si>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</si>
  <si>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</si>
  <si>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</si>
  <si>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</si>
  <si>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</si>
  <si>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</si>
  <si>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</si>
  <si>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</si>
  <si>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</si>
  <si>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</si>
  <si>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</si>
  <si>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</si>
  <si>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</si>
  <si>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</si>
  <si>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</si>
  <si>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</si>
  <si>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</si>
  <si>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</si>
  <si>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</si>
  <si>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</si>
  <si>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</si>
  <si>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</si>
  <si>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</si>
  <si>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</si>
  <si>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</si>
  <si>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</si>
  <si>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</si>
  <si>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</si>
  <si>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</si>
  <si>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</si>
  <si>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</si>
  <si>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</si>
  <si>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</si>
  <si>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</si>
  <si>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</si>
  <si>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</si>
  <si>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</si>
  <si>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</si>
  <si>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</si>
  <si>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</si>
  <si>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</si>
  <si>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</si>
  <si>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</si>
  <si>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</si>
  <si>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</si>
  <si>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</si>
  <si>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</si>
  <si>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</si>
  <si>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</si>
  <si>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</si>
  <si>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</si>
  <si>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</si>
  <si>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</si>
  <si>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</si>
  <si>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</si>
  <si>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</si>
  <si>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</si>
  <si>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</si>
  <si>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</si>
  <si>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</si>
  <si>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</si>
  <si>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</si>
  <si>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</si>
  <si>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</si>
  <si>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</si>
  <si>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</si>
  <si>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</si>
  <si>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</si>
  <si>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</si>
  <si>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</si>
  <si>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</si>
  <si>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</si>
  <si>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</si>
  <si>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</si>
  <si>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</si>
  <si>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</si>
  <si>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</si>
  <si>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</si>
  <si>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</si>
  <si>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</si>
  <si>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</si>
  <si>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</si>
  <si>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</si>
  <si>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</si>
  <si>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</si>
  <si>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</si>
  <si>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</si>
  <si>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</si>
  <si>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</si>
  <si>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</si>
  <si>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</si>
  <si>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</si>
  <si>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</si>
  <si>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</si>
  <si>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</si>
  <si>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</si>
  <si>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</si>
  <si>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</si>
  <si>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</si>
  <si>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</si>
  <si>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</si>
  <si>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</si>
  <si>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</si>
  <si>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</si>
  <si>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</si>
  <si>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</si>
  <si>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</si>
  <si>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</si>
  <si>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</si>
  <si>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</si>
  <si>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</si>
  <si>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</si>
  <si>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</si>
  <si>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</si>
  <si>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</si>
  <si>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</si>
  <si>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</si>
  <si>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</si>
  <si>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</si>
  <si>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</si>
  <si>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</si>
  <si>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</si>
  <si>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</si>
  <si>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</si>
  <si>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</si>
  <si>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</si>
  <si>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</si>
  <si>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</si>
  <si>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</si>
  <si>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</si>
  <si>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</si>
  <si>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</si>
  <si>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</si>
  <si>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</si>
  <si>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</si>
  <si>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</si>
  <si>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</si>
  <si>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</si>
  <si>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</si>
  <si>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</si>
  <si>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</si>
  <si>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</si>
  <si>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</si>
  <si>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</si>
  <si>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</si>
  <si>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</si>
  <si>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</si>
  <si>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</si>
  <si>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</si>
  <si>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</si>
  <si>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</si>
  <si>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</si>
  <si>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</si>
  <si>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</si>
  <si>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</si>
  <si>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</si>
  <si>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</si>
  <si>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</si>
  <si>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</si>
  <si>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</si>
  <si>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</si>
  <si>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</si>
  <si>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</si>
  <si>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</si>
  <si>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</si>
  <si>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</si>
  <si>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</si>
  <si>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</si>
  <si>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</si>
  <si>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</si>
  <si>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</si>
  <si>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</si>
  <si>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</si>
  <si>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</si>
  <si>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</si>
  <si>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</si>
  <si>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</si>
  <si>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</si>
  <si>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</si>
  <si>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</si>
  <si>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</si>
  <si>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</si>
  <si>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</si>
  <si>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</si>
  <si>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</si>
  <si>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</si>
  <si>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</si>
  <si>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</si>
  <si>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</si>
  <si>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</si>
  <si>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</si>
  <si>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</si>
  <si>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</si>
  <si>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</si>
  <si>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</si>
  <si>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</si>
  <si>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</si>
  <si>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</si>
  <si>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</si>
  <si>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</si>
  <si>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</si>
  <si>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</si>
  <si>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</si>
  <si>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</si>
  <si>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</si>
  <si>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</si>
  <si>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</si>
  <si>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</si>
  <si>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</si>
  <si>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</si>
  <si>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</si>
  <si>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</si>
  <si>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</si>
  <si>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</si>
  <si>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</si>
  <si>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</si>
  <si>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</si>
  <si>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</si>
  <si>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</si>
  <si>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</si>
  <si>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</si>
  <si>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</si>
  <si>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</si>
  <si>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</si>
  <si>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</si>
  <si>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</si>
  <si>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</si>
  <si>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</si>
  <si>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</si>
  <si>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</si>
  <si>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</si>
  <si>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</si>
  <si>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</si>
  <si>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</si>
  <si>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</si>
  <si>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</si>
  <si>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</si>
  <si>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</si>
  <si>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</si>
  <si>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</si>
  <si>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</si>
  <si>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</si>
  <si>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</si>
  <si>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</si>
  <si>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</si>
  <si>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</si>
  <si>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</si>
  <si>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</si>
  <si>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</si>
  <si>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</si>
  <si>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</si>
  <si>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</si>
  <si>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</si>
  <si>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</si>
  <si>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</si>
  <si>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</si>
  <si>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</si>
  <si>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</si>
  <si>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</si>
  <si>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</si>
  <si>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</si>
  <si>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</si>
  <si>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</si>
  <si>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</si>
  <si>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</si>
  <si>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</si>
  <si>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</si>
  <si>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</si>
  <si>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</si>
  <si>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</si>
  <si>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</si>
  <si>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</si>
  <si>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</si>
  <si>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</si>
  <si>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</si>
  <si>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</si>
  <si>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</si>
  <si>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</si>
  <si>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</si>
  <si>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</si>
  <si>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</si>
  <si>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</si>
  <si>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</si>
  <si>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</si>
  <si>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</si>
  <si>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</si>
  <si>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</si>
  <si>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</si>
  <si>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</si>
  <si>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</si>
  <si>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</si>
  <si>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</si>
  <si>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</si>
  <si>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</si>
  <si>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</si>
  <si>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</si>
  <si>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</si>
  <si>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</si>
  <si>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</si>
  <si>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</si>
  <si>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</si>
  <si>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</si>
  <si>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</si>
  <si>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</si>
  <si>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</si>
  <si>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</si>
  <si>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</si>
  <si>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</si>
  <si>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</si>
  <si>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</si>
  <si>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</si>
  <si>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</si>
  <si>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</si>
  <si>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</si>
  <si>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</si>
  <si>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</si>
  <si>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</si>
  <si>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</si>
  <si>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</si>
  <si>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</si>
  <si>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</si>
  <si>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</si>
  <si>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</si>
  <si>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</si>
  <si>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</si>
  <si>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</si>
  <si>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</si>
  <si>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</si>
  <si>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</si>
  <si>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</si>
  <si>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</si>
  <si>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</si>
  <si>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</si>
  <si>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</si>
  <si>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</si>
  <si>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</si>
  <si>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</si>
  <si>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</si>
  <si>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</si>
  <si>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</si>
  <si>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</si>
  <si>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</si>
  <si>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</si>
  <si>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</si>
  <si>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</si>
  <si>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</si>
  <si>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</si>
  <si>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</si>
  <si>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</si>
  <si>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</si>
  <si>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</si>
  <si>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</si>
  <si>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</si>
  <si>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</si>
  <si>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</si>
  <si>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</si>
  <si>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</si>
  <si>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</si>
  <si>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</si>
  <si>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</si>
  <si>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</si>
  <si>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</si>
  <si>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</si>
  <si>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</si>
  <si>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</si>
  <si>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</si>
  <si>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</si>
  <si>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</si>
  <si>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</si>
  <si>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</si>
  <si>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</si>
  <si>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</si>
  <si>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</si>
  <si>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</si>
  <si>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</si>
  <si>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</si>
  <si>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</si>
  <si>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</si>
  <si>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</si>
  <si>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</si>
  <si>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</si>
  <si>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</si>
  <si>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</si>
  <si>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</si>
  <si>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</si>
  <si>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</si>
  <si>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</si>
  <si>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</si>
  <si>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</si>
  <si>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</si>
  <si>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</si>
  <si>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</si>
  <si>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</si>
  <si>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</si>
  <si>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</si>
  <si>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</si>
  <si>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</si>
  <si>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</si>
  <si>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</si>
  <si>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</si>
  <si>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</si>
  <si>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</si>
  <si>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</si>
  <si>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</si>
  <si>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</si>
  <si>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</si>
  <si>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</si>
  <si>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</si>
  <si>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</si>
  <si>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</si>
  <si>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</si>
  <si>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</si>
  <si>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</si>
  <si>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</si>
  <si>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</si>
  <si>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</si>
  <si>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</si>
  <si>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</si>
  <si>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</si>
  <si>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</si>
  <si>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</si>
  <si>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</si>
  <si>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</si>
  <si>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</si>
  <si>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</si>
  <si>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</si>
  <si>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</si>
  <si>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</si>
  <si>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</si>
  <si>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</si>
  <si>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</si>
  <si>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</si>
  <si>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</si>
  <si>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</si>
  <si>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</si>
  <si>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</si>
  <si>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</si>
  <si>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</si>
  <si>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</si>
  <si>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</si>
  <si>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</si>
  <si>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</si>
  <si>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</si>
  <si>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</si>
  <si>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</si>
  <si>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</si>
  <si>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</si>
  <si>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</si>
  <si>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</si>
  <si>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</si>
  <si>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</si>
  <si>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</si>
  <si>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</si>
  <si>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</si>
  <si>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</si>
  <si>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</si>
  <si>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</si>
  <si>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</si>
  <si>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</si>
  <si>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</si>
  <si>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</si>
  <si>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</si>
  <si>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</si>
  <si>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</si>
  <si>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</si>
  <si>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</si>
  <si>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</si>
  <si>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</si>
  <si>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</si>
  <si>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</si>
  <si>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</si>
  <si>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</si>
  <si>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</si>
  <si>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</si>
  <si>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</si>
  <si>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</si>
  <si>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</si>
  <si>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</si>
  <si>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</si>
  <si>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</si>
  <si>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</si>
  <si>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</si>
  <si>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</si>
  <si>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</si>
  <si>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</si>
  <si>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</si>
  <si>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</si>
  <si>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</si>
  <si>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</si>
  <si>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</si>
  <si>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</si>
  <si>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</si>
  <si>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</si>
  <si>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</si>
  <si>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</si>
  <si>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</si>
  <si>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</si>
  <si>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</si>
  <si>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</si>
  <si>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</si>
  <si>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</si>
  <si>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</si>
  <si>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</si>
  <si>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</si>
  <si>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</si>
  <si>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</si>
  <si>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</si>
  <si>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</si>
  <si>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</si>
  <si>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</si>
  <si>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</si>
  <si>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</si>
  <si>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</si>
  <si>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</si>
  <si>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</si>
  <si>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</si>
  <si>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</si>
  <si>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</si>
  <si>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</si>
  <si>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</si>
  <si>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</si>
  <si>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</si>
  <si>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</si>
  <si>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</si>
  <si>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</si>
  <si>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</si>
  <si>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</si>
  <si>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</si>
  <si>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</si>
  <si>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</si>
  <si>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</si>
  <si>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</si>
  <si>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</si>
  <si>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</si>
  <si>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</si>
  <si>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</si>
  <si>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</si>
  <si>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</si>
  <si>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</si>
  <si>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</si>
  <si>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</si>
  <si>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</si>
  <si>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</si>
  <si>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</si>
  <si>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</si>
  <si>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</si>
  <si>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</si>
  <si>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</si>
  <si>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</si>
  <si>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</si>
  <si>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</si>
  <si>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</si>
  <si>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</si>
  <si>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</si>
  <si>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</si>
  <si>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</si>
  <si>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</si>
  <si>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</si>
  <si>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</si>
  <si>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</si>
  <si>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</si>
  <si>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</si>
  <si>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</si>
  <si>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</si>
  <si>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</si>
  <si>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</si>
  <si>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</si>
  <si>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</si>
  <si>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</si>
  <si>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</si>
  <si>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</si>
  <si>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</si>
  <si>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</si>
  <si>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</si>
  <si>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</si>
  <si>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</si>
  <si>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</si>
  <si>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</si>
  <si>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</si>
  <si>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</si>
  <si>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</si>
  <si>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</si>
  <si>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</si>
  <si>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</si>
  <si>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</si>
  <si>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</si>
  <si>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</si>
  <si>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</si>
  <si>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</si>
  <si>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</si>
  <si>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</si>
  <si>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</si>
  <si>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</si>
  <si>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</si>
  <si>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</si>
  <si>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</si>
  <si>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</si>
  <si>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</si>
  <si>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</si>
  <si>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</si>
  <si>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</si>
  <si>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</si>
  <si>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</si>
  <si>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</si>
  <si>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</si>
  <si>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</si>
  <si>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</si>
  <si>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</si>
  <si>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</si>
  <si>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</si>
  <si>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</si>
  <si>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</si>
  <si>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</si>
  <si>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</si>
  <si>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</si>
  <si>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</si>
  <si>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</si>
  <si>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</si>
  <si>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</si>
  <si>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</si>
  <si>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</si>
  <si>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</si>
  <si>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</si>
  <si>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</si>
  <si>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</si>
  <si>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</si>
  <si>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</si>
  <si>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</si>
  <si>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</si>
  <si>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</si>
  <si>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</si>
  <si>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</si>
  <si>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</si>
  <si>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</si>
  <si>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</si>
  <si>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</si>
  <si>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</si>
  <si>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</si>
  <si>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</si>
  <si>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</si>
  <si>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</si>
  <si>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</si>
  <si>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</si>
  <si>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</si>
  <si>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</si>
  <si>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</si>
  <si>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</si>
  <si>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</si>
  <si>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</si>
  <si>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</si>
  <si>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</si>
  <si>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</si>
  <si>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</si>
  <si>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</si>
  <si>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</si>
  <si>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</si>
  <si>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</si>
  <si>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</si>
  <si>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</si>
  <si>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</si>
  <si>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</si>
  <si>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</si>
  <si>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</si>
  <si>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</si>
  <si>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</si>
  <si>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</si>
  <si>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</si>
  <si>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</si>
  <si>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</si>
  <si>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</si>
  <si>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</si>
  <si>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</si>
  <si>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</si>
  <si>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</si>
  <si>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</si>
  <si>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</si>
  <si>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</si>
  <si>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</si>
  <si>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</si>
  <si>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</si>
  <si>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</si>
  <si>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</si>
  <si>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</si>
  <si>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</si>
  <si>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</si>
  <si>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</si>
  <si>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</si>
  <si>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</si>
  <si>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</si>
  <si>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</si>
  <si>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</si>
  <si>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</si>
  <si>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</si>
  <si>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</si>
  <si>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</si>
  <si>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</si>
  <si>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</si>
  <si>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</si>
  <si>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</si>
  <si>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PARTLY CLOUDY. HIGH IN THE UPPER 80S. COOLER NEAR THE LAKE.WINDS 5 TO 10</t>
  </si>
  <si>
    <t>MPH. TONIGHT… PARTLY CLOUDY. LOW IN THE UPPER 60S . SW WINDS 10 T0 15 MPH.</t>
  </si>
  <si>
    <t xml:space="preserve">PARTLY CLOUDY. HIGH AROUND 90. PARTLY CLOUDY AT NIGHT WITH LOWS IN THE </t>
  </si>
  <si>
    <t>LOWER 70S.</t>
  </si>
  <si>
    <t xml:space="preserve">PARTLY CLOUDY. HIGH IN THE UPPER 80S. </t>
  </si>
  <si>
    <t>A CHANCE OF T'STORMS. LOW IN THE UPPER 60S. HIGH IN THE LOWER 80S</t>
  </si>
  <si>
    <t xml:space="preserve">PARTLY CLOUDY. CHANCE OF MORNING SHOWERS AND T-STORMS. LOW IN THE </t>
  </si>
  <si>
    <t>LOWER 60S . HIGH NEAR 80.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</si>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</sst>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31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32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32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32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32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32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MON</v>
      </c>
      <c r="I1" s="872">
        <f>D4</f>
        <v>37053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MON</v>
      </c>
      <c r="E3" s="835" t="str">
        <f t="shared" si="0"/>
        <v>TUE</v>
      </c>
      <c r="F3" s="835" t="str">
        <f t="shared" si="0"/>
        <v>WED</v>
      </c>
      <c r="G3" s="835" t="str">
        <f t="shared" si="0"/>
        <v>THU</v>
      </c>
      <c r="H3" s="835" t="str">
        <f t="shared" si="0"/>
        <v>FRI</v>
      </c>
      <c r="I3" s="836" t="str">
        <f t="shared" si="0"/>
        <v>SAT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37053</v>
      </c>
      <c r="E4" s="839">
        <f>Weather_Input!A6</f>
        <v>37054</v>
      </c>
      <c r="F4" s="839">
        <f>Weather_Input!A7</f>
        <v>37055</v>
      </c>
      <c r="G4" s="839">
        <f>Weather_Input!A8</f>
        <v>37056</v>
      </c>
      <c r="H4" s="839">
        <f>Weather_Input!A9</f>
        <v>37057</v>
      </c>
      <c r="I4" s="840">
        <f>Weather_Input!A10</f>
        <v>37058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87/64/76</v>
      </c>
      <c r="E5" s="873" t="str">
        <f>TEXT(Weather_Input!B6,"0")&amp;"/"&amp;TEXT(Weather_Input!C6,"0") &amp; "/" &amp; TEXT((Weather_Input!B6+Weather_Input!C6)/2,"0")</f>
        <v>90/70/80</v>
      </c>
      <c r="F5" s="873" t="str">
        <f>TEXT(Weather_Input!B7,"0")&amp;"/"&amp;TEXT(Weather_Input!C7,"0") &amp; "/" &amp; TEXT((Weather_Input!B7+Weather_Input!C7)/2,"0")</f>
        <v>90/69/80</v>
      </c>
      <c r="G5" s="873" t="str">
        <f>TEXT(Weather_Input!B8,"0")&amp;"/"&amp;TEXT(Weather_Input!C8,"0") &amp; "/" &amp; TEXT((Weather_Input!B8+Weather_Input!C8)/2,"0")</f>
        <v>85/61/73</v>
      </c>
      <c r="H5" s="873" t="str">
        <f>TEXT(Weather_Input!B9,"0")&amp;"/"&amp;TEXT(Weather_Input!C9,"0") &amp; "/" &amp; TEXT((Weather_Input!B9+Weather_Input!C9)/2,"0")</f>
        <v>78/58/68</v>
      </c>
      <c r="I5" s="874" t="str">
        <f>TEXT(Weather_Input!B10,"0")&amp;"/"&amp;TEXT(Weather_Input!C10,"0") &amp; "/" &amp; TEXT((Weather_Input!B10+Weather_Input!C10)/2,"0")</f>
        <v>78/58/68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</v>
      </c>
      <c r="E6" s="842">
        <f ca="1">VLOOKUP(E4,NSG_Sendouts,CELL("Col",NSG_Deliveries!C6),FALSE)/1000</f>
        <v>38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36</v>
      </c>
      <c r="I6" s="847">
        <f ca="1">VLOOKUP(I4,NSG_Sendouts,CELL("Col",NSG_Deliveries!C10),FALSE)/1000</f>
        <v>33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6.04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40</v>
      </c>
      <c r="F19" s="851">
        <f t="shared" ca="1" si="1"/>
        <v>40</v>
      </c>
      <c r="G19" s="851">
        <f t="shared" ca="1" si="1"/>
        <v>40</v>
      </c>
      <c r="H19" s="851">
        <f t="shared" ca="1" si="1"/>
        <v>38</v>
      </c>
      <c r="I19" s="852">
        <f t="shared" ca="1" si="1"/>
        <v>35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28.827999999999999</v>
      </c>
      <c r="F32" s="842">
        <f>NSG_Supplies!R9/1000</f>
        <v>28.827999999999999</v>
      </c>
      <c r="G32" s="842">
        <f>NSG_Supplies!R10/1000</f>
        <v>28.827999999999999</v>
      </c>
      <c r="H32" s="842">
        <f>NSG_Supplies!R11/1000</f>
        <v>28.827999999999999</v>
      </c>
      <c r="I32" s="843">
        <f>NSG_Supplies!R12/1000</f>
        <v>28.827999999999999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44.042999999999999</v>
      </c>
      <c r="F37" s="882">
        <f t="shared" si="2"/>
        <v>44.042999999999999</v>
      </c>
      <c r="G37" s="882">
        <f t="shared" si="2"/>
        <v>44.042999999999999</v>
      </c>
      <c r="H37" s="882">
        <f t="shared" si="2"/>
        <v>44.042999999999999</v>
      </c>
      <c r="I37" s="883">
        <f t="shared" si="2"/>
        <v>44.042999999999999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4.0429999999999993</v>
      </c>
      <c r="F38" s="886">
        <f t="shared" ca="1" si="3"/>
        <v>4.0429999999999993</v>
      </c>
      <c r="G38" s="886">
        <f t="shared" ca="1" si="3"/>
        <v>4.0429999999999993</v>
      </c>
      <c r="H38" s="886">
        <f t="shared" ca="1" si="3"/>
        <v>6.0429999999999993</v>
      </c>
      <c r="I38" s="887">
        <f t="shared" ca="1" si="3"/>
        <v>9.0429999999999993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16.954000000000001</v>
      </c>
      <c r="E40" s="1114">
        <f>NSG_Supplies!S8/1000</f>
        <v>16.954000000000001</v>
      </c>
      <c r="F40" s="1114">
        <f>NSG_Supplies!S9/1000</f>
        <v>16.954000000000001</v>
      </c>
      <c r="G40" s="1114">
        <f>NSG_Supplies!S10/1000</f>
        <v>16.954000000000001</v>
      </c>
      <c r="H40" s="1114">
        <f>NSG_Supplies!S11/1000</f>
        <v>16.954000000000001</v>
      </c>
      <c r="I40" s="1115">
        <f>NSG_Supplies!S12/1000</f>
        <v>16.954000000000001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15</v>
      </c>
      <c r="F42" s="893">
        <f>Weather_Input!D7</f>
        <v>15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37053</v>
      </c>
      <c r="N1" s="1239" t="str">
        <f>CHOOSE(WEEKDAY(M1),"SUN","MON","TUE","WED","THU","FRI","SAT")</f>
        <v>MON</v>
      </c>
      <c r="O1" s="591"/>
    </row>
    <row r="2" spans="1:17" ht="16.2" thickTop="1" thickBot="1">
      <c r="A2" s="423" t="s">
        <v>728</v>
      </c>
      <c r="B2" s="322">
        <f>PGL_Supplies!X7/1000</f>
        <v>0.3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6">
      <c r="A3" s="423" t="s">
        <v>769</v>
      </c>
      <c r="B3" s="1197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87</v>
      </c>
      <c r="K3" s="955">
        <f>Weather_Input!C5</f>
        <v>64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78.7</v>
      </c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106.16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215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106.46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0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12</v>
      </c>
      <c r="G9" s="322"/>
      <c r="H9" s="1143"/>
      <c r="I9" s="121" t="s">
        <v>725</v>
      </c>
      <c r="J9" s="1059"/>
      <c r="K9" s="1073">
        <f>+B6</f>
        <v>106.46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16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-119.72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179.642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120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16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4.3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-10.4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v>10.4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-34</v>
      </c>
      <c r="L19" s="1233"/>
      <c r="M19" s="159"/>
      <c r="N19" s="1233"/>
      <c r="O19" s="1232"/>
    </row>
    <row r="20" spans="1:15" ht="16.2" thickBot="1">
      <c r="A20" s="423" t="s">
        <v>722</v>
      </c>
      <c r="B20" s="322">
        <f>PGL_Requirements!Q7/1000</f>
        <v>1.8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157.28200000000001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7">
        <f>-B15+B16+B18-B19-B17+B22+B23</f>
        <v>-119.72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57.717999999999989</v>
      </c>
      <c r="L23" s="264"/>
      <c r="M23" s="612" t="s">
        <v>10</v>
      </c>
      <c r="N23" s="264"/>
      <c r="O23" s="294"/>
    </row>
    <row r="24" spans="1:15" ht="16.2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34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1.8</v>
      </c>
      <c r="L25" s="965"/>
      <c r="M25" s="1247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59.517999999999986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-8.1300000000000008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-50.984999999999999</v>
      </c>
      <c r="L30" s="1178"/>
      <c r="M30" s="1077">
        <f>-PGL_Supplies!AC7/1000</f>
        <v>-50.984999999999999</v>
      </c>
      <c r="N30" s="1179"/>
      <c r="O30" s="1243">
        <f>-PGL_Supplies!AC7/1000</f>
        <v>-50.984999999999999</v>
      </c>
    </row>
    <row r="31" spans="1:15" ht="16.2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5.8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168.27500000000001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34.334000000000003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2" thickBot="1">
      <c r="A36" s="1191" t="s">
        <v>679</v>
      </c>
      <c r="B36" s="1217">
        <f>-B32+B33+B34+B35*0.5</f>
        <v>179.642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6" thickBot="1">
      <c r="A38" s="1130" t="s">
        <v>803</v>
      </c>
      <c r="B38" s="322">
        <f>B36-B37-B39</f>
        <v>145.642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2" thickBot="1">
      <c r="A39" s="1131" t="s">
        <v>804</v>
      </c>
      <c r="B39" s="1241">
        <f>F24</f>
        <v>34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2">
        <f>B37+B38+B39</f>
        <v>179.642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MON</v>
      </c>
      <c r="G1" s="1246">
        <f>Weather_Input!A5</f>
        <v>37053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>
        <v>78.7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87</v>
      </c>
      <c r="C4" s="754">
        <f>Weather_Input!C5</f>
        <v>64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36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9.1750000000000007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6.04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9.1750000000000007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37053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87</v>
      </c>
      <c r="C5" s="264">
        <f>Weather_Input!C5</f>
        <v>64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215</v>
      </c>
      <c r="C8" s="272">
        <f>NSG_Deliveries!C5/1000</f>
        <v>36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138.66300000000001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2.1599999999999966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4.3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-161.12300000000002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53.876999999999981</v>
      </c>
      <c r="C20" s="293">
        <f>C8+C18+C19</f>
        <v>36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1.8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55.676999999999978</v>
      </c>
      <c r="C23" s="299">
        <f>C20</f>
        <v>36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-50.984999999999999</v>
      </c>
      <c r="C32" s="313">
        <f>-NSG_Supplies!R7/1000</f>
        <v>-28.827999999999999</v>
      </c>
      <c r="D32" s="313">
        <f>B32</f>
        <v>-50.984999999999999</v>
      </c>
      <c r="E32" s="313">
        <f>C32</f>
        <v>-28.827999999999999</v>
      </c>
      <c r="F32" s="313">
        <f>B32</f>
        <v>-50.984999999999999</v>
      </c>
      <c r="G32" s="313">
        <f>C32</f>
        <v>-28.827999999999999</v>
      </c>
      <c r="H32" s="318">
        <f>B32</f>
        <v>-50.984999999999999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-0.3</v>
      </c>
      <c r="C33" s="313">
        <f>-NSG_Supplies!S7/1000</f>
        <v>-16.954000000000001</v>
      </c>
      <c r="D33" s="313">
        <f>B33</f>
        <v>-0.3</v>
      </c>
      <c r="E33" s="313">
        <f>C33</f>
        <v>-16.954000000000001</v>
      </c>
      <c r="F33" s="313">
        <f>B33</f>
        <v>-0.3</v>
      </c>
      <c r="G33" s="313">
        <f>C33</f>
        <v>-16.954000000000001</v>
      </c>
      <c r="H33" s="318">
        <f>B33</f>
        <v>-0.3</v>
      </c>
      <c r="I33" s="319">
        <f>C33</f>
        <v>-16.954000000000001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-8.1300000000000008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120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1.8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1.8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138.66300000000001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138.66300000000001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106.16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16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120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0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2.1599999999999966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MON</v>
      </c>
      <c r="H73" s="404">
        <f>Weather_Input!A5</f>
        <v>37053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138.66300000000001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122.16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4.3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-0.3</v>
      </c>
      <c r="C123" s="313">
        <f>-NSG_Supplies!S7/1000</f>
        <v>-16.954000000000001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138.66300000000001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138.66300000000001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120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1.8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0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12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106.16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122.16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37054.172403356482</v>
      </c>
      <c r="F22" s="163" t="s">
        <v>269</v>
      </c>
      <c r="G22" s="190">
        <f ca="1">NOW()</f>
        <v>37054.172403356482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37053</v>
      </c>
      <c r="C5" s="15"/>
      <c r="D5" s="22" t="s">
        <v>287</v>
      </c>
      <c r="E5" s="23">
        <f>Weather_Input!B5</f>
        <v>87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174</v>
      </c>
      <c r="E6" s="23">
        <f>Weather_Input!C5</f>
        <v>64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41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75.5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277</v>
      </c>
      <c r="J7" s="122"/>
    </row>
    <row r="8" spans="1:109" ht="15">
      <c r="A8" s="18"/>
      <c r="B8" s="20"/>
      <c r="C8" s="15"/>
      <c r="D8" s="32" t="str">
        <f>IF(Weather_Input!I5=""," ",Weather_Input!I5)</f>
        <v>PARTLY CLOUDY. HIGH IN THE UPPER 80S. COOLER NEAR THE LAKE.WINDS 5 TO 10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MPH. TONIGHT… PARTLY CLOUDY. LOW IN THE UPPER 60S . SW WINDS 10 T0 15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37054</v>
      </c>
      <c r="C10" s="15"/>
      <c r="D10" s="152" t="s">
        <v>287</v>
      </c>
      <c r="E10" s="23">
        <f>Weather_Input!B6</f>
        <v>90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174</v>
      </c>
      <c r="E11" s="23">
        <f>Weather_Input!C6</f>
        <v>70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39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80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275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HIGH AROUND 90. PARTLY CLOUDY AT NIGHT WITH LOWS IN THE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LOWER 70S.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37055</v>
      </c>
      <c r="C15" s="15"/>
      <c r="D15" s="22" t="s">
        <v>287</v>
      </c>
      <c r="E15" s="23">
        <f>Weather_Input!B7</f>
        <v>90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174</v>
      </c>
      <c r="E16" s="23">
        <f>Weather_Input!C7</f>
        <v>69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37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79.5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273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CLOUDY. HIGH IN THE UPPER 80S.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37056</v>
      </c>
      <c r="C20" s="15"/>
      <c r="D20" s="22" t="s">
        <v>287</v>
      </c>
      <c r="E20" s="23">
        <f>Weather_Input!B8</f>
        <v>85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61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36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73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272</v>
      </c>
    </row>
    <row r="23" spans="1:109" ht="15">
      <c r="A23" s="18"/>
      <c r="B23" s="21"/>
      <c r="C23" s="15"/>
      <c r="D23" s="32" t="str">
        <f>IF(Weather_Input!I8=""," ",Weather_Input!I8)</f>
        <v>A CHANCE OF T'STORMS. LOW IN THE UPPER 60S. HIGH IN THE LOWER 80S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37057</v>
      </c>
      <c r="C25" s="15"/>
      <c r="D25" s="22" t="s">
        <v>287</v>
      </c>
      <c r="E25" s="23">
        <f>Weather_Input!B9</f>
        <v>78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58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35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68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271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CHANCE OF MORNING SHOWERS AND T-STORMS. LOW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LOWER 60S . HIGH NEAR 80.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37058</v>
      </c>
      <c r="C30" s="15"/>
      <c r="D30" s="22" t="s">
        <v>287</v>
      </c>
      <c r="E30" s="23">
        <f>Weather_Input!B10</f>
        <v>78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58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34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68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270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CHANCE OF MORNING SHOWERS AND T-STORMS. LOW IN THE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>LOWER 60S . HIGH NEAR 80.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37053</v>
      </c>
      <c r="C36" s="91">
        <f>B10</f>
        <v>37054</v>
      </c>
      <c r="D36" s="91">
        <f>B15</f>
        <v>37055</v>
      </c>
      <c r="E36" s="91">
        <f xml:space="preserve">       B20</f>
        <v>37056</v>
      </c>
      <c r="F36" s="91">
        <f>B25</f>
        <v>37057</v>
      </c>
      <c r="G36" s="91">
        <f>B30</f>
        <v>37058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215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215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298</v>
      </c>
      <c r="B38" s="41">
        <f>PGL_6_Day_Report!D30</f>
        <v>387.52000000000004</v>
      </c>
      <c r="C38" s="41">
        <f>PGL_6_Day_Report!E30</f>
        <v>370.67350000000005</v>
      </c>
      <c r="D38" s="41">
        <f>PGL_6_Day_Report!F30</f>
        <v>357.745</v>
      </c>
      <c r="E38" s="41">
        <f>PGL_6_Day_Report!G30</f>
        <v>357.745</v>
      </c>
      <c r="F38" s="41">
        <f>PGL_6_Day_Report!H30</f>
        <v>352.745</v>
      </c>
      <c r="G38" s="41">
        <f>PGL_6_Day_Report!I30</f>
        <v>332.745</v>
      </c>
      <c r="H38" s="14"/>
      <c r="I38" s="15"/>
    </row>
    <row r="39" spans="1:9" ht="15">
      <c r="A39" s="42" t="s">
        <v>107</v>
      </c>
      <c r="B39" s="41">
        <f>SUM(PGL_Supplies!Z7:AE7)/1000</f>
        <v>223.46</v>
      </c>
      <c r="C39" s="41">
        <f>SUM(PGL_Supplies!Z8:AE8)/1000</f>
        <v>218.589</v>
      </c>
      <c r="D39" s="41">
        <f>SUM(PGL_Supplies!Z9:AE9)/1000</f>
        <v>222.589</v>
      </c>
      <c r="E39" s="41">
        <f>SUM(PGL_Supplies!Z10:AE10)/1000</f>
        <v>222.589</v>
      </c>
      <c r="F39" s="41">
        <f>SUM(PGL_Supplies!Z11:AE11)/1000</f>
        <v>222.589</v>
      </c>
      <c r="G39" s="41">
        <f>SUM(PGL_Supplies!Z12:AE12)/1000</f>
        <v>222.589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138.66300000000001</v>
      </c>
      <c r="C42" s="41">
        <f>PGL_Supplies!V8/1000</f>
        <v>120.247</v>
      </c>
      <c r="D42" s="41">
        <f>PGL_Supplies!V9/1000</f>
        <v>120.247</v>
      </c>
      <c r="E42" s="41">
        <f>PGL_Supplies!V10/1000</f>
        <v>120.247</v>
      </c>
      <c r="F42" s="41">
        <f>PGL_Supplies!V11/1000</f>
        <v>120.247</v>
      </c>
      <c r="G42" s="41">
        <f>PGL_Supplies!V12/1000</f>
        <v>120.247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37053</v>
      </c>
      <c r="C44" s="91">
        <f t="shared" si="0"/>
        <v>37054</v>
      </c>
      <c r="D44" s="91">
        <f t="shared" si="0"/>
        <v>37055</v>
      </c>
      <c r="E44" s="91">
        <f t="shared" si="0"/>
        <v>37056</v>
      </c>
      <c r="F44" s="91">
        <f t="shared" si="0"/>
        <v>37057</v>
      </c>
      <c r="G44" s="91">
        <f t="shared" si="0"/>
        <v>37058</v>
      </c>
      <c r="H44" s="14"/>
      <c r="I44" s="15"/>
    </row>
    <row r="45" spans="1:9" ht="15">
      <c r="A45" s="15" t="s">
        <v>55</v>
      </c>
      <c r="B45" s="41">
        <f ca="1">NSG_6_Day_Report!D6</f>
        <v>36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36</v>
      </c>
      <c r="G45" s="41">
        <f ca="1">NSG_6_Day_Report!I6</f>
        <v>33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40</v>
      </c>
      <c r="D46" s="41">
        <f ca="1">NSG_6_Day_Report!F19</f>
        <v>40</v>
      </c>
      <c r="E46" s="41">
        <f ca="1">NSG_6_Day_Report!G19</f>
        <v>40</v>
      </c>
      <c r="F46" s="41">
        <f ca="1">NSG_6_Day_Report!H19</f>
        <v>38</v>
      </c>
      <c r="G46" s="41">
        <f ca="1">NSG_6_Day_Report!I19</f>
        <v>35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44.042999999999999</v>
      </c>
      <c r="D47" s="41">
        <f>SUM(NSG_Supplies!P9:R9)/1000</f>
        <v>44.042999999999999</v>
      </c>
      <c r="E47" s="41">
        <f>SUM(NSG_Supplies!P10:R10)/1000</f>
        <v>44.042999999999999</v>
      </c>
      <c r="F47" s="41">
        <f>SUM(NSG_Supplies!P11:R11)/1000</f>
        <v>44.042999999999999</v>
      </c>
      <c r="G47" s="41">
        <f>SUM(NSG_Supplies!P12:R12)/1000</f>
        <v>44.042999999999999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16.954000000000001</v>
      </c>
      <c r="C50" s="41">
        <f>NSG_Supplies!S8/1000</f>
        <v>16.954000000000001</v>
      </c>
      <c r="D50" s="41">
        <f>NSG_Supplies!S9/1000</f>
        <v>16.954000000000001</v>
      </c>
      <c r="E50" s="41">
        <f>NSG_Supplies!S10/1000</f>
        <v>16.954000000000001</v>
      </c>
      <c r="F50" s="41">
        <f>NSG_Supplies!S11/1000</f>
        <v>16.954000000000001</v>
      </c>
      <c r="G50" s="41">
        <f>NSG_Supplies!S12/1000</f>
        <v>16.954000000000001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37053</v>
      </c>
      <c r="C52" s="91">
        <f t="shared" si="1"/>
        <v>37054</v>
      </c>
      <c r="D52" s="91">
        <f t="shared" si="1"/>
        <v>37055</v>
      </c>
      <c r="E52" s="91">
        <f t="shared" si="1"/>
        <v>37056</v>
      </c>
      <c r="F52" s="91">
        <f t="shared" si="1"/>
        <v>37057</v>
      </c>
      <c r="G52" s="91">
        <f t="shared" si="1"/>
        <v>37058</v>
      </c>
      <c r="H52" s="14"/>
      <c r="I52" s="15"/>
    </row>
    <row r="53" spans="1:9" ht="15">
      <c r="A53" s="94" t="s">
        <v>302</v>
      </c>
      <c r="B53" s="41">
        <f>PGL_Requirements!P7/1000</f>
        <v>120</v>
      </c>
      <c r="C53" s="41">
        <f>PGL_Requirements!P8/1000</f>
        <v>100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Tuesday</v>
      </c>
      <c r="C4" s="1083" t="str">
        <f>Six_Day_Summary!A15</f>
        <v>Wednesday</v>
      </c>
      <c r="D4" s="1083" t="str">
        <f>Six_Day_Summary!A20</f>
        <v>Thursday</v>
      </c>
      <c r="E4" s="1083" t="str">
        <f>Six_Day_Summary!A25</f>
        <v>Friday</v>
      </c>
      <c r="F4" s="1084" t="str">
        <f>Six_Day_Summary!A30</f>
        <v>Saturday</v>
      </c>
      <c r="G4" s="100"/>
    </row>
    <row r="5" spans="1:8">
      <c r="A5" s="103" t="s">
        <v>309</v>
      </c>
      <c r="B5" s="1085">
        <f>Weather_Input!A6</f>
        <v>37054</v>
      </c>
      <c r="C5" s="1086">
        <f>Weather_Input!A7</f>
        <v>37055</v>
      </c>
      <c r="D5" s="1086">
        <f>Weather_Input!A8</f>
        <v>37056</v>
      </c>
      <c r="E5" s="1086">
        <f>Weather_Input!A9</f>
        <v>37057</v>
      </c>
      <c r="F5" s="1087">
        <f>Weather_Input!A10</f>
        <v>37058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31.469000000000001</v>
      </c>
      <c r="C6" s="1088">
        <f>PGL_Supplies!AC9/1000+PGL_Supplies!L9/1000-PGL_Requirements!O9/1000+C15-PGL_Requirements!T9/1000</f>
        <v>35.469000000000001</v>
      </c>
      <c r="D6" s="1088">
        <f>PGL_Supplies!AC10/1000+PGL_Supplies!L10/1000-PGL_Requirements!O10/1000+D15-PGL_Requirements!T10/1000</f>
        <v>35.469000000000001</v>
      </c>
      <c r="E6" s="1088">
        <f>PGL_Supplies!AC11/1000+PGL_Supplies!L11/1000-PGL_Requirements!O11/1000+E15-PGL_Requirements!T11/1000</f>
        <v>35.469000000000001</v>
      </c>
      <c r="F6" s="1089">
        <f>PGL_Supplies!AC12/1000+PGL_Supplies!L12/1000-PGL_Requirements!O12/1000+F15-PGL_Requirements!T12/1000</f>
        <v>35.469000000000001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Tuesday</v>
      </c>
      <c r="C21" s="1098" t="str">
        <f t="shared" si="0"/>
        <v>Wednesday</v>
      </c>
      <c r="D21" s="1098" t="str">
        <f t="shared" si="0"/>
        <v>Thursday</v>
      </c>
      <c r="E21" s="1098" t="str">
        <f t="shared" si="0"/>
        <v>Friday</v>
      </c>
      <c r="F21" s="1099" t="str">
        <f t="shared" si="0"/>
        <v>Saturday</v>
      </c>
      <c r="G21" s="100"/>
    </row>
    <row r="22" spans="1:7">
      <c r="A22" s="107" t="s">
        <v>309</v>
      </c>
      <c r="B22" s="1100">
        <f t="shared" si="0"/>
        <v>37054</v>
      </c>
      <c r="C22" s="1100">
        <f t="shared" si="0"/>
        <v>37055</v>
      </c>
      <c r="D22" s="1100">
        <f t="shared" si="0"/>
        <v>37056</v>
      </c>
      <c r="E22" s="1100">
        <f t="shared" si="0"/>
        <v>37057</v>
      </c>
      <c r="F22" s="1101">
        <f t="shared" si="0"/>
        <v>37058</v>
      </c>
      <c r="G22" s="100"/>
    </row>
    <row r="23" spans="1:7">
      <c r="A23" s="100" t="s">
        <v>310</v>
      </c>
      <c r="B23" s="1094">
        <f>NSG_Supplies!R8/1000+NSG_Supplies!F8/1000-NSG_Requirements!H8/1000</f>
        <v>26.827999999999999</v>
      </c>
      <c r="C23" s="1094">
        <f>NSG_Supplies!R9/1000+NSG_Supplies!F9/1000-NSG_Requirements!H9/1000</f>
        <v>26.827999999999999</v>
      </c>
      <c r="D23" s="1094">
        <f>NSG_Supplies!R10/1000+NSG_Supplies!F10/1000-NSG_Requirements!H10/1000</f>
        <v>26.827999999999999</v>
      </c>
      <c r="E23" s="1094">
        <f>NSG_Supplies!R12/1000+NSG_Supplies!F11/1000-NSG_Requirements!H11/1000</f>
        <v>26.827999999999999</v>
      </c>
      <c r="F23" s="1089">
        <f>NSG_Supplies!R12/1000+NSG_Supplies!F12/1000-NSG_Requirements!H12/1000</f>
        <v>26.827999999999999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37054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100</v>
      </c>
      <c r="I4" s="175">
        <f>AVERAGE(H4/1.025)</f>
        <v>97.560975609756099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4.166666666666667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50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182.92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105.101</v>
      </c>
      <c r="D11" s="782"/>
      <c r="E11" s="1071"/>
      <c r="F11" s="433" t="s">
        <v>376</v>
      </c>
      <c r="G11" s="445">
        <f>G8+G10</f>
        <v>232.92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105.101</v>
      </c>
      <c r="D14" s="436"/>
      <c r="E14" s="438">
        <f>AVERAGE(C14/24)</f>
        <v>4.3792083333333336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136.01299999999998</v>
      </c>
      <c r="H15" s="436" t="s">
        <v>10</v>
      </c>
      <c r="I15" s="438">
        <f>AVERAGE(G15/24)</f>
        <v>5.6672083333333321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96.906999999999996</v>
      </c>
      <c r="H16" s="446" t="s">
        <v>10</v>
      </c>
      <c r="I16" s="438">
        <f>AVERAGE(G16/24)</f>
        <v>4.0377916666666662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37054</v>
      </c>
      <c r="I1" s="924"/>
      <c r="J1" s="926"/>
      <c r="K1" s="926"/>
    </row>
    <row r="2" spans="1:22" ht="16.5" customHeight="1">
      <c r="A2" s="944" t="s">
        <v>670</v>
      </c>
      <c r="C2" s="997">
        <v>452</v>
      </c>
      <c r="F2" s="998">
        <v>452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38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4.0429999999999993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105.101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452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503</v>
      </c>
      <c r="D18" s="1005"/>
      <c r="E18" s="1005"/>
      <c r="F18" s="998">
        <v>777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26.827999999999999</v>
      </c>
      <c r="N19" s="1008"/>
    </row>
    <row r="20" spans="1:17" ht="17.25" customHeight="1">
      <c r="A20" s="946">
        <f>Billy_Sheet!G15</f>
        <v>136.01299999999998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10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4</v>
      </c>
      <c r="H26" s="927"/>
      <c r="I26" s="927"/>
      <c r="J26" s="927" t="s">
        <v>564</v>
      </c>
      <c r="K26" s="1010">
        <f>PGL_Deliveries!C6/1000</f>
        <v>220</v>
      </c>
      <c r="L26" s="924" t="s">
        <v>674</v>
      </c>
      <c r="M26" s="946">
        <f>NSG_Deliveries!C6/1000</f>
        <v>38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64.406999999999982</v>
      </c>
      <c r="L28" s="927" t="s">
        <v>719</v>
      </c>
      <c r="M28" s="952">
        <f>SUM(J2+K17+K19+H11+H9-M26)</f>
        <v>4.0429999999999993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37053</v>
      </c>
      <c r="G29" s="946">
        <f>PGL_Requirements!H7/1000</f>
        <v>68</v>
      </c>
      <c r="H29" s="925"/>
      <c r="J29" s="927" t="s">
        <v>678</v>
      </c>
      <c r="K29" s="946">
        <f>PGL_Supplies!AC8/1000+PGL_Supplies!L8/1000-PGL_Requirements!O8/1000</f>
        <v>31.469000000000001</v>
      </c>
    </row>
    <row r="30" spans="1:17" ht="10.5" customHeight="1">
      <c r="A30" s="929"/>
      <c r="B30" s="946"/>
      <c r="C30" s="927"/>
      <c r="D30" s="946"/>
      <c r="F30" s="1056">
        <f>PGL_Requirements!A8</f>
        <v>37054</v>
      </c>
      <c r="G30" s="946">
        <f>PGL_Requirements!H8/1000</f>
        <v>96.906999999999996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-124.12400000000002</v>
      </c>
    </row>
    <row r="32" spans="1:17">
      <c r="A32" s="946">
        <f>PGL_Supplies!H8/1000</f>
        <v>1</v>
      </c>
      <c r="G32" s="946">
        <f>PGL_Requirements!P8/1000</f>
        <v>100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504</v>
      </c>
      <c r="F38" s="1003">
        <v>751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261.31399999999996</v>
      </c>
      <c r="B40" s="940"/>
      <c r="C40" s="939"/>
      <c r="D40" s="940"/>
      <c r="E40" s="940"/>
      <c r="F40" s="1013"/>
      <c r="G40" s="1013">
        <f>SUM(G30:G35)</f>
        <v>196.90699999999998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64.406999999999982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401</v>
      </c>
      <c r="E45" s="1018"/>
      <c r="F45" s="1019">
        <v>6.7000000000000004E-2</v>
      </c>
      <c r="G45" s="1020">
        <f>(C45-D45)*F45</f>
        <v>0.60299999999999998</v>
      </c>
      <c r="H45" s="1020">
        <f>(D45-B45)*F45</f>
        <v>10.117000000000001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452</v>
      </c>
      <c r="E47" s="1018"/>
      <c r="F47" s="1019">
        <v>0.14099999999999999</v>
      </c>
      <c r="G47" s="1020">
        <f>(C47-D47)*F47</f>
        <v>-5.9219999999999997</v>
      </c>
      <c r="H47" s="1020">
        <f>(D47-B47)*F47</f>
        <v>28.481999999999996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503.5</v>
      </c>
      <c r="E48" s="1018"/>
      <c r="F48" s="1019">
        <v>0.161</v>
      </c>
      <c r="G48" s="1020">
        <f>(C48-D48)*F48</f>
        <v>39.686500000000002</v>
      </c>
      <c r="H48" s="1020">
        <f>(D48-B48)*F48</f>
        <v>35.1785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34.3675</v>
      </c>
      <c r="H49" s="1020">
        <f>SUM(H45:H48)</f>
        <v>73.777500000000003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37053</v>
      </c>
      <c r="B5" s="11">
        <v>87</v>
      </c>
      <c r="C5" s="49">
        <v>64</v>
      </c>
      <c r="D5" s="49">
        <v>12</v>
      </c>
      <c r="E5" s="11" t="s">
        <v>816</v>
      </c>
      <c r="F5" s="11">
        <v>77</v>
      </c>
      <c r="G5" s="11">
        <v>6689</v>
      </c>
      <c r="H5" s="11">
        <v>0</v>
      </c>
      <c r="I5" s="903" t="s">
        <v>808</v>
      </c>
      <c r="J5" s="903" t="s">
        <v>809</v>
      </c>
      <c r="K5" s="11">
        <v>6</v>
      </c>
      <c r="L5" s="11">
        <v>1</v>
      </c>
      <c r="N5" s="15" t="str">
        <f>I5&amp;" "&amp;I5</f>
        <v>PARTLY CLOUDY. HIGH IN THE UPPER 80S. COOLER NEAR THE LAKE.WINDS 5 TO 10 PARTLY CLOUDY. HIGH IN THE UPPER 80S. COOLER NEAR THE LAKE.WINDS 5 TO 10</v>
      </c>
      <c r="AE5" s="15">
        <v>1</v>
      </c>
      <c r="AH5" s="15" t="s">
        <v>33</v>
      </c>
    </row>
    <row r="6" spans="1:34" ht="16.5" customHeight="1">
      <c r="A6" s="88">
        <f>A5+1</f>
        <v>37054</v>
      </c>
      <c r="B6" s="11">
        <v>90</v>
      </c>
      <c r="C6" s="49">
        <v>70</v>
      </c>
      <c r="D6" s="49">
        <v>15</v>
      </c>
      <c r="E6" s="11" t="s">
        <v>10</v>
      </c>
      <c r="F6" s="11" t="s">
        <v>10</v>
      </c>
      <c r="G6" s="11"/>
      <c r="H6" s="11" t="s">
        <v>10</v>
      </c>
      <c r="I6" s="903" t="s">
        <v>810</v>
      </c>
      <c r="J6" s="903" t="s">
        <v>811</v>
      </c>
      <c r="K6" s="11">
        <v>3</v>
      </c>
      <c r="L6" s="11" t="s">
        <v>617</v>
      </c>
      <c r="N6" s="15" t="str">
        <f>I6&amp;" "&amp;J6</f>
        <v>PARTLY CLOUDY. HIGH AROUND 90. PARTLY CLOUDY AT NIGHT WITH LOWS IN THE  LOWER 70S.</v>
      </c>
      <c r="AE6" s="15">
        <v>1</v>
      </c>
      <c r="AH6" s="15" t="s">
        <v>34</v>
      </c>
    </row>
    <row r="7" spans="1:34" ht="16.5" customHeight="1">
      <c r="A7" s="88">
        <f>A6+1</f>
        <v>37055</v>
      </c>
      <c r="B7" s="11">
        <v>90</v>
      </c>
      <c r="C7" s="49">
        <v>69</v>
      </c>
      <c r="D7" s="49">
        <v>15</v>
      </c>
      <c r="E7" s="11" t="s">
        <v>10</v>
      </c>
      <c r="F7" s="11" t="s">
        <v>10</v>
      </c>
      <c r="G7" s="11"/>
      <c r="H7" s="11" t="s">
        <v>10</v>
      </c>
      <c r="I7" s="903" t="s">
        <v>812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PARTLY CLOUDY. HIGH IN THE UPPER 80S.   </v>
      </c>
    </row>
    <row r="8" spans="1:34" ht="16.5" customHeight="1">
      <c r="A8" s="88">
        <f>A7+1</f>
        <v>37056</v>
      </c>
      <c r="B8" s="11">
        <v>85</v>
      </c>
      <c r="C8" s="49">
        <v>61</v>
      </c>
      <c r="D8" s="49">
        <v>12</v>
      </c>
      <c r="E8" s="11" t="s">
        <v>10</v>
      </c>
      <c r="F8" s="11" t="s">
        <v>10</v>
      </c>
      <c r="G8" s="11"/>
      <c r="H8" s="11" t="s">
        <v>10</v>
      </c>
      <c r="I8" s="903" t="s">
        <v>813</v>
      </c>
      <c r="J8" s="903" t="s">
        <v>10</v>
      </c>
      <c r="K8" s="11">
        <v>3</v>
      </c>
      <c r="L8" s="11"/>
      <c r="N8" s="15" t="str">
        <f>I8&amp;" "&amp;J8</f>
        <v xml:space="preserve">A CHANCE OF T'STORMS. LOW IN THE UPPER 60S. HIGH IN THE LOWER 80S  </v>
      </c>
    </row>
    <row r="9" spans="1:34" ht="16.5" customHeight="1">
      <c r="A9" s="88">
        <f>A8+1</f>
        <v>37057</v>
      </c>
      <c r="B9" s="11">
        <v>78</v>
      </c>
      <c r="C9" s="49">
        <v>58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815</v>
      </c>
      <c r="K9" s="11">
        <v>6</v>
      </c>
      <c r="L9" s="11">
        <v>0</v>
      </c>
      <c r="M9" s="89"/>
      <c r="N9" s="15" t="str">
        <f>I9&amp;" "&amp;J9</f>
        <v>PARTLY CLOUDY. CHANCE OF MORNING SHOWERS AND T-STORMS. LOW IN THE  LOWER 60S . HIGH NEAR 80.</v>
      </c>
    </row>
    <row r="10" spans="1:34" ht="16.5" customHeight="1">
      <c r="A10" s="88">
        <f>A9+1</f>
        <v>37058</v>
      </c>
      <c r="B10" s="11">
        <v>78</v>
      </c>
      <c r="C10" s="49">
        <v>58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815</v>
      </c>
      <c r="K10" s="11">
        <v>6</v>
      </c>
      <c r="L10" s="11" t="s">
        <v>412</v>
      </c>
      <c r="N10" s="15" t="str">
        <f>I10&amp;" "&amp;J10</f>
        <v>PARTLY CLOUDY. CHANCE OF MORNING SHOWERS AND T-STORMS. LOW IN THE  LOWER 60S . HIGH NEAR 80.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37053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106.16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0.3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106.46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50.984999999999999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120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50.984999999999999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10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168.27500000000001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87</v>
      </c>
      <c r="C45" s="184"/>
      <c r="D45" s="60" t="s">
        <v>614</v>
      </c>
      <c r="E45" s="801">
        <f>PGL_Supplies!T7/1000</f>
        <v>34.334000000000003</v>
      </c>
      <c r="F45" s="170"/>
    </row>
    <row r="46" spans="1:13" ht="15">
      <c r="A46" s="171" t="s">
        <v>605</v>
      </c>
      <c r="B46" s="237">
        <f>Weather_Input!C5</f>
        <v>64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37053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28.988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37053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37052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51048869</v>
      </c>
      <c r="Q6" s="203">
        <v>15045098</v>
      </c>
      <c r="R6" s="203">
        <v>36003771</v>
      </c>
      <c r="S6" s="203">
        <v>0</v>
      </c>
    </row>
    <row r="7" spans="1:19">
      <c r="A7" s="4">
        <f>B1</f>
        <v>37053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110160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51159029</v>
      </c>
      <c r="Q7">
        <f>IF(O7&gt;0,Q6+O7,Q6)</f>
        <v>15045098</v>
      </c>
      <c r="R7">
        <f>IF(P7&gt;Q7,P7-Q7,0)</f>
        <v>36113931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37053</v>
      </c>
      <c r="B5" s="1">
        <f>(Weather_Input!B5+Weather_Input!C5)/2</f>
        <v>75.5</v>
      </c>
      <c r="C5" s="904">
        <v>215000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37054</v>
      </c>
      <c r="B6" s="923">
        <f>(Weather_Input!B6+Weather_Input!C6)/2</f>
        <v>80</v>
      </c>
      <c r="C6" s="904">
        <v>220000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37055</v>
      </c>
      <c r="B7" s="923">
        <f>(Weather_Input!B7+Weather_Input!C7)/2</f>
        <v>79.5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37056</v>
      </c>
      <c r="B8" s="923">
        <f>(Weather_Input!B8+Weather_Input!C8)/2</f>
        <v>73</v>
      </c>
      <c r="C8" s="904">
        <v>220000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37057</v>
      </c>
      <c r="B9" s="923">
        <f>(Weather_Input!B9+Weather_Input!C9)/2</f>
        <v>68</v>
      </c>
      <c r="C9" s="904">
        <v>215000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37058</v>
      </c>
      <c r="B10" s="923">
        <f>(Weather_Input!B10+Weather_Input!C10)/2</f>
        <v>68</v>
      </c>
      <c r="C10" s="904">
        <v>195000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37053</v>
      </c>
      <c r="B5" s="1">
        <f>(Weather_Input!B5+Weather_Input!C5)/2</f>
        <v>75.5</v>
      </c>
      <c r="C5" s="904">
        <v>36000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37054</v>
      </c>
      <c r="B6" s="923">
        <f>(Weather_Input!B6+Weather_Input!C6)/2</f>
        <v>80</v>
      </c>
      <c r="C6" s="904">
        <v>38000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37055</v>
      </c>
      <c r="B7" s="923">
        <f>(Weather_Input!B7+Weather_Input!C7)/2</f>
        <v>79.5</v>
      </c>
      <c r="C7" s="904">
        <v>38000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37056</v>
      </c>
      <c r="B8" s="923">
        <f>(Weather_Input!B8+Weather_Input!C8)/2</f>
        <v>73</v>
      </c>
      <c r="C8" s="904">
        <v>38000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37057</v>
      </c>
      <c r="B9" s="923">
        <f>(Weather_Input!B9+Weather_Input!C9)/2</f>
        <v>68</v>
      </c>
      <c r="C9" s="904">
        <v>36000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37058</v>
      </c>
      <c r="B10" s="923">
        <f>(Weather_Input!B10+Weather_Input!C10)/2</f>
        <v>68</v>
      </c>
      <c r="C10" s="904">
        <v>33000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37053</v>
      </c>
      <c r="B7" s="913">
        <v>0</v>
      </c>
      <c r="C7" s="914">
        <v>200</v>
      </c>
      <c r="D7" s="623">
        <v>0</v>
      </c>
      <c r="E7" s="623">
        <v>5800</v>
      </c>
      <c r="F7" s="913">
        <v>0</v>
      </c>
      <c r="G7" s="913">
        <v>0</v>
      </c>
      <c r="H7" s="915">
        <v>68000</v>
      </c>
      <c r="I7" s="622">
        <v>0</v>
      </c>
      <c r="J7" s="622">
        <v>0</v>
      </c>
      <c r="K7" s="623">
        <v>10000</v>
      </c>
      <c r="L7" s="622">
        <v>0</v>
      </c>
      <c r="M7" s="623">
        <v>0</v>
      </c>
      <c r="N7" s="623">
        <v>0</v>
      </c>
      <c r="O7" s="624">
        <v>0</v>
      </c>
      <c r="P7" s="623">
        <v>120000</v>
      </c>
      <c r="Q7" s="625">
        <f t="shared" ref="Q7:Q12" si="0">P7*0.015</f>
        <v>1800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37053</v>
      </c>
    </row>
    <row r="8" spans="1:89" s="1" customFormat="1" ht="13.2">
      <c r="A8" s="825">
        <f>A7+1</f>
        <v>37054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96907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100000</v>
      </c>
      <c r="Q8" s="625">
        <f t="shared" si="0"/>
        <v>1500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37054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37055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37055</v>
      </c>
      <c r="AN9" s="622"/>
    </row>
    <row r="10" spans="1:89" s="1" customFormat="1" ht="13.2">
      <c r="A10" s="825">
        <f>A9+1</f>
        <v>37056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37056</v>
      </c>
    </row>
    <row r="11" spans="1:89" s="1" customFormat="1" ht="13.2">
      <c r="A11" s="825">
        <f>A10+1</f>
        <v>37057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37057</v>
      </c>
    </row>
    <row r="12" spans="1:89" s="1" customFormat="1" ht="13.2">
      <c r="A12" s="825">
        <f>A11+1</f>
        <v>37058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37058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L8" sqref="L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37053</v>
      </c>
      <c r="B7" s="625">
        <v>4300</v>
      </c>
      <c r="C7" s="626">
        <v>0</v>
      </c>
      <c r="D7" s="625">
        <v>0</v>
      </c>
      <c r="E7" s="625">
        <v>0</v>
      </c>
      <c r="F7" s="625">
        <v>0</v>
      </c>
      <c r="G7" s="913">
        <v>12000</v>
      </c>
      <c r="H7" s="623">
        <v>1000</v>
      </c>
      <c r="I7" s="623">
        <v>15000</v>
      </c>
      <c r="J7" s="623">
        <v>0</v>
      </c>
      <c r="K7" s="916">
        <v>0</v>
      </c>
      <c r="L7" s="624">
        <v>8130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34334</v>
      </c>
      <c r="U7" s="623">
        <v>0</v>
      </c>
      <c r="V7" s="624">
        <v>138663</v>
      </c>
      <c r="W7" s="624">
        <v>0</v>
      </c>
      <c r="X7" s="622">
        <v>300</v>
      </c>
      <c r="Y7" s="916">
        <v>106160</v>
      </c>
      <c r="Z7" s="624">
        <v>200</v>
      </c>
      <c r="AA7" s="1">
        <v>0</v>
      </c>
      <c r="AB7" s="622">
        <v>168275</v>
      </c>
      <c r="AC7" s="622">
        <v>50985</v>
      </c>
      <c r="AD7" s="622">
        <v>4000</v>
      </c>
      <c r="AE7" s="916">
        <v>0</v>
      </c>
      <c r="AF7" s="51">
        <f>Weather_Input!A5</f>
        <v>37053</v>
      </c>
      <c r="AI7" s="622"/>
      <c r="AJ7" s="622"/>
      <c r="AK7" s="622"/>
    </row>
    <row r="8" spans="1:37">
      <c r="A8" s="825">
        <f>A7+1</f>
        <v>37054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50000</v>
      </c>
      <c r="U8" s="623">
        <v>0</v>
      </c>
      <c r="V8" s="624">
        <v>120247</v>
      </c>
      <c r="W8" s="624">
        <v>0</v>
      </c>
      <c r="X8" s="622">
        <v>0</v>
      </c>
      <c r="Y8" s="916">
        <v>105101</v>
      </c>
      <c r="Z8" s="624">
        <v>200</v>
      </c>
      <c r="AA8" s="1">
        <v>0</v>
      </c>
      <c r="AB8" s="622">
        <v>182920</v>
      </c>
      <c r="AC8" s="622">
        <v>31469</v>
      </c>
      <c r="AD8" s="622">
        <v>4000</v>
      </c>
      <c r="AE8" s="916">
        <v>0</v>
      </c>
      <c r="AF8" s="825">
        <f>AF7+1</f>
        <v>37054</v>
      </c>
      <c r="AI8" s="622"/>
      <c r="AJ8" s="622"/>
      <c r="AK8" s="622"/>
    </row>
    <row r="9" spans="1:37" s="622" customFormat="1">
      <c r="A9" s="825">
        <f>A8+1</f>
        <v>37055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120247</v>
      </c>
      <c r="W9" s="624">
        <v>0</v>
      </c>
      <c r="X9" s="622">
        <v>0</v>
      </c>
      <c r="Y9" s="916">
        <v>102145</v>
      </c>
      <c r="Z9" s="624">
        <v>200</v>
      </c>
      <c r="AA9" s="1">
        <v>0</v>
      </c>
      <c r="AB9" s="622">
        <v>182920</v>
      </c>
      <c r="AC9" s="622">
        <v>35469</v>
      </c>
      <c r="AD9" s="622">
        <v>4000</v>
      </c>
      <c r="AE9" s="916">
        <v>0</v>
      </c>
      <c r="AF9" s="825">
        <f>AF8+1</f>
        <v>37055</v>
      </c>
    </row>
    <row r="10" spans="1:37">
      <c r="A10" s="825">
        <f>A9+1</f>
        <v>37056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120247</v>
      </c>
      <c r="W10" s="624">
        <v>0</v>
      </c>
      <c r="X10" s="622">
        <v>0</v>
      </c>
      <c r="Y10" s="916">
        <v>102145</v>
      </c>
      <c r="Z10" s="624">
        <v>200</v>
      </c>
      <c r="AA10" s="1">
        <v>0</v>
      </c>
      <c r="AB10" s="622">
        <v>182920</v>
      </c>
      <c r="AC10" s="622">
        <v>35469</v>
      </c>
      <c r="AD10" s="622">
        <v>4000</v>
      </c>
      <c r="AE10" s="916">
        <v>0</v>
      </c>
      <c r="AF10" s="825">
        <f>AF9+1</f>
        <v>37056</v>
      </c>
      <c r="AI10" s="622"/>
      <c r="AJ10" s="622"/>
      <c r="AK10" s="622"/>
    </row>
    <row r="11" spans="1:37">
      <c r="A11" s="825">
        <f>A10+1</f>
        <v>37057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120247</v>
      </c>
      <c r="W11" s="624">
        <v>0</v>
      </c>
      <c r="X11" s="622">
        <v>0</v>
      </c>
      <c r="Y11" s="916">
        <v>102145</v>
      </c>
      <c r="Z11" s="624">
        <v>200</v>
      </c>
      <c r="AA11" s="1">
        <v>0</v>
      </c>
      <c r="AB11" s="622">
        <v>182920</v>
      </c>
      <c r="AC11" s="622">
        <v>35469</v>
      </c>
      <c r="AD11" s="622">
        <v>4000</v>
      </c>
      <c r="AE11" s="916">
        <v>0</v>
      </c>
      <c r="AF11" s="825">
        <f>AF10+1</f>
        <v>37057</v>
      </c>
    </row>
    <row r="12" spans="1:37">
      <c r="A12" s="825">
        <f>A11+1</f>
        <v>37058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120247</v>
      </c>
      <c r="W12" s="624">
        <v>0</v>
      </c>
      <c r="X12" s="622">
        <v>0</v>
      </c>
      <c r="Y12" s="916">
        <v>102145</v>
      </c>
      <c r="Z12" s="624">
        <v>200</v>
      </c>
      <c r="AA12" s="1">
        <v>0</v>
      </c>
      <c r="AB12" s="622">
        <v>182920</v>
      </c>
      <c r="AC12" s="622">
        <v>35469</v>
      </c>
      <c r="AD12" s="622">
        <v>4000</v>
      </c>
      <c r="AE12" s="916">
        <v>0</v>
      </c>
      <c r="AF12" s="825">
        <f>AF11+1</f>
        <v>37058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37053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6040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37053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37054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37054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37055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37055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37056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37056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37057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37057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37058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37058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37053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2289.1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16954</v>
      </c>
      <c r="T7" s="625">
        <v>0</v>
      </c>
      <c r="U7" s="625">
        <v>0</v>
      </c>
      <c r="V7" s="825">
        <f>Weather_Input!A5</f>
        <v>37053</v>
      </c>
      <c r="W7" s="622"/>
      <c r="X7" s="622"/>
    </row>
    <row r="8" spans="1:24">
      <c r="A8" s="825">
        <f>A7+1</f>
        <v>37054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2289.1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28828</v>
      </c>
      <c r="S8" s="625">
        <v>16954</v>
      </c>
      <c r="T8" s="625">
        <v>0</v>
      </c>
      <c r="U8" s="625">
        <v>0</v>
      </c>
      <c r="V8" s="825">
        <f>V7+1</f>
        <v>37054</v>
      </c>
      <c r="W8" s="622"/>
      <c r="X8" s="622"/>
    </row>
    <row r="9" spans="1:24">
      <c r="A9" s="825">
        <f>A8+1</f>
        <v>37055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2289.1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28828</v>
      </c>
      <c r="S9" s="625">
        <v>16954</v>
      </c>
      <c r="T9" s="625">
        <v>0</v>
      </c>
      <c r="U9" s="625">
        <v>0</v>
      </c>
      <c r="V9" s="825">
        <f>V8+1</f>
        <v>37055</v>
      </c>
      <c r="W9" s="622"/>
      <c r="X9" s="622"/>
    </row>
    <row r="10" spans="1:24">
      <c r="A10" s="825">
        <f>A9+1</f>
        <v>37056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2289.1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28828</v>
      </c>
      <c r="S10" s="625">
        <v>16954</v>
      </c>
      <c r="T10" s="625">
        <v>0</v>
      </c>
      <c r="U10" s="625">
        <v>0</v>
      </c>
      <c r="V10" s="825">
        <f>V9+1</f>
        <v>37056</v>
      </c>
      <c r="W10" s="622"/>
      <c r="X10" s="622"/>
    </row>
    <row r="11" spans="1:24">
      <c r="A11" s="825">
        <f>A10+1</f>
        <v>37057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2289.1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28828</v>
      </c>
      <c r="S11" s="625">
        <v>16954</v>
      </c>
      <c r="T11" s="625">
        <v>0</v>
      </c>
      <c r="U11" s="625">
        <v>0</v>
      </c>
      <c r="V11" s="825">
        <f>V10+1</f>
        <v>37057</v>
      </c>
      <c r="W11" s="622"/>
      <c r="X11" s="622"/>
    </row>
    <row r="12" spans="1:24">
      <c r="A12" s="825">
        <f>A11+1</f>
        <v>37058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2289.1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28828</v>
      </c>
      <c r="S12" s="625">
        <v>16954</v>
      </c>
      <c r="T12" s="625">
        <v>0</v>
      </c>
      <c r="U12" s="625">
        <v>0</v>
      </c>
      <c r="V12" s="825">
        <f>V11+1</f>
        <v>37058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MON</v>
      </c>
      <c r="I1" s="830">
        <f>D4</f>
        <v>37053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MON</v>
      </c>
      <c r="E3" s="835" t="str">
        <f t="shared" si="0"/>
        <v>TUE</v>
      </c>
      <c r="F3" s="835" t="str">
        <f t="shared" si="0"/>
        <v>WED</v>
      </c>
      <c r="G3" s="835" t="str">
        <f t="shared" si="0"/>
        <v>THU</v>
      </c>
      <c r="H3" s="835" t="str">
        <f t="shared" si="0"/>
        <v>FRI</v>
      </c>
      <c r="I3" s="836" t="str">
        <f t="shared" si="0"/>
        <v>SAT</v>
      </c>
    </row>
    <row r="4" spans="1:256" ht="16.2" thickBot="1">
      <c r="A4" s="837"/>
      <c r="B4" s="838"/>
      <c r="C4" s="838"/>
      <c r="D4" s="464">
        <f>Weather_Input!A5</f>
        <v>37053</v>
      </c>
      <c r="E4" s="464">
        <f>Weather_Input!A6</f>
        <v>37054</v>
      </c>
      <c r="F4" s="464">
        <f>Weather_Input!A7</f>
        <v>37055</v>
      </c>
      <c r="G4" s="464">
        <f>Weather_Input!A8</f>
        <v>37056</v>
      </c>
      <c r="H4" s="464">
        <f>Weather_Input!A9</f>
        <v>37057</v>
      </c>
      <c r="I4" s="465">
        <f>Weather_Input!A10</f>
        <v>37058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87/64/76</v>
      </c>
      <c r="E5" s="466" t="str">
        <f>TEXT(Weather_Input!B6,"0")&amp;"/"&amp;TEXT(Weather_Input!C6,"0") &amp; "/" &amp; TEXT((Weather_Input!B6+Weather_Input!C6)/2,"0")</f>
        <v>90/70/80</v>
      </c>
      <c r="F5" s="466" t="str">
        <f>TEXT(Weather_Input!B7,"0")&amp;"/"&amp;TEXT(Weather_Input!C7,"0") &amp; "/" &amp; TEXT((Weather_Input!B7+Weather_Input!C7)/2,"0")</f>
        <v>90/69/80</v>
      </c>
      <c r="G5" s="466" t="str">
        <f>TEXT(Weather_Input!B8,"0")&amp;"/"&amp;TEXT(Weather_Input!C8,"0") &amp; "/" &amp; TEXT((Weather_Input!B8+Weather_Input!C8)/2,"0")</f>
        <v>85/61/73</v>
      </c>
      <c r="H5" s="466" t="str">
        <f>TEXT(Weather_Input!B9,"0")&amp;"/"&amp;TEXT(Weather_Input!C9,"0") &amp; "/" &amp; TEXT((Weather_Input!B9+Weather_Input!C9)/2,"0")</f>
        <v>78/58/68</v>
      </c>
      <c r="I5" s="467" t="str">
        <f>TEXT(Weather_Input!B10,"0")&amp;"/"&amp;TEXT(Weather_Input!C10,"0") &amp; "/" &amp; TEXT((Weather_Input!B10+Weather_Input!C10)/2,"0")</f>
        <v>78/58/68</v>
      </c>
    </row>
    <row r="6" spans="1:256">
      <c r="A6" s="844" t="s">
        <v>137</v>
      </c>
      <c r="B6" s="832"/>
      <c r="C6" s="832"/>
      <c r="D6" s="466">
        <f>PGL_Deliveries!C5/1000</f>
        <v>215</v>
      </c>
      <c r="E6" s="466">
        <f>PGL_Deliveries!C6/1000</f>
        <v>220</v>
      </c>
      <c r="F6" s="466">
        <f>PGL_Deliveries!C7/1000</f>
        <v>220</v>
      </c>
      <c r="G6" s="466">
        <f>PGL_Deliveries!C8/1000</f>
        <v>220</v>
      </c>
      <c r="H6" s="466">
        <f>PGL_Deliveries!C9/1000</f>
        <v>215</v>
      </c>
      <c r="I6" s="467">
        <f>PGL_Deliveries!C10/1000</f>
        <v>195</v>
      </c>
    </row>
    <row r="7" spans="1:256">
      <c r="A7" s="844" t="s">
        <v>558</v>
      </c>
      <c r="B7" s="832" t="s">
        <v>414</v>
      </c>
      <c r="C7" s="832"/>
      <c r="D7" s="466">
        <f>PGL_Requirements!H7/1000*0.5</f>
        <v>34</v>
      </c>
      <c r="E7" s="466">
        <f>PGL_Requirements!H8/1000*0.5</f>
        <v>48.453499999999998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10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120</v>
      </c>
      <c r="E13" s="466">
        <f>PGL_Requirements!P8/1000</f>
        <v>100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1.8</v>
      </c>
      <c r="E14" s="466">
        <f>PGL_Requirements!Q8/1000</f>
        <v>1.5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5.8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0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387.52000000000004</v>
      </c>
      <c r="E30" s="470">
        <f t="shared" si="1"/>
        <v>370.67350000000005</v>
      </c>
      <c r="F30" s="470">
        <f t="shared" si="1"/>
        <v>357.745</v>
      </c>
      <c r="G30" s="470">
        <f t="shared" si="1"/>
        <v>357.745</v>
      </c>
      <c r="H30" s="470">
        <f t="shared" si="1"/>
        <v>352.745</v>
      </c>
      <c r="I30" s="1116">
        <f t="shared" si="1"/>
        <v>332.745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8.1300000000000008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PGL_Supplies!T7/1000*0.5</f>
        <v>17.167000000000002</v>
      </c>
      <c r="E43" s="466">
        <f>PGL_Supplies!T8/1000*0.5</f>
        <v>25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106.16</v>
      </c>
      <c r="E47" s="466">
        <f>PGL_Supplies!Y8/1000</f>
        <v>105.101</v>
      </c>
      <c r="F47" s="466">
        <f>PGL_Supplies!Y9/1000</f>
        <v>102.145</v>
      </c>
      <c r="G47" s="466">
        <f>PGL_Supplies!Y10/1000</f>
        <v>102.145</v>
      </c>
      <c r="H47" s="466">
        <f>PGL_Supplies!Y11/1000</f>
        <v>102.145</v>
      </c>
      <c r="I47" s="467">
        <f>PGL_Supplies!Y12/1000</f>
        <v>102.145</v>
      </c>
    </row>
    <row r="48" spans="1:9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4"/>
      <c r="B50" s="832" t="s">
        <v>414</v>
      </c>
      <c r="C50" s="845"/>
      <c r="D50" s="466">
        <f>PGL_Supplies!AB7/1000</f>
        <v>168.27500000000001</v>
      </c>
      <c r="E50" s="466">
        <f>PGL_Supplies!AB8/1000</f>
        <v>182.92</v>
      </c>
      <c r="F50" s="466">
        <f>PGL_Supplies!AB9/1000</f>
        <v>182.92</v>
      </c>
      <c r="G50" s="466">
        <f>PGL_Supplies!AB10/1000</f>
        <v>182.92</v>
      </c>
      <c r="H50" s="466">
        <f>PGL_Supplies!AB11/1000</f>
        <v>182.92</v>
      </c>
      <c r="I50" s="467">
        <f>PGL_Supplies!AB12/1000</f>
        <v>182.92</v>
      </c>
    </row>
    <row r="51" spans="1:10">
      <c r="A51" s="844"/>
      <c r="B51" s="832" t="s">
        <v>139</v>
      </c>
      <c r="C51" s="832"/>
      <c r="D51" s="466">
        <f>PGL_Supplies!AC7/1000</f>
        <v>50.984999999999999</v>
      </c>
      <c r="E51" s="466">
        <f>PGL_Supplies!AC8/1000</f>
        <v>31.469000000000001</v>
      </c>
      <c r="F51" s="466">
        <f>PGL_Supplies!AC9/1000</f>
        <v>35.469000000000001</v>
      </c>
      <c r="G51" s="466">
        <f>PGL_Supplies!AC10/1000</f>
        <v>35.469000000000001</v>
      </c>
      <c r="H51" s="466">
        <f>PGL_Supplies!AC11/1000</f>
        <v>35.469000000000001</v>
      </c>
      <c r="I51" s="467">
        <f>PGL_Supplies!AC12/1000</f>
        <v>35.469000000000001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4.3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0.3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12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387.51700000000005</v>
      </c>
      <c r="E61" s="476">
        <f t="shared" si="2"/>
        <v>364.69</v>
      </c>
      <c r="F61" s="476">
        <f t="shared" si="2"/>
        <v>340.73399999999998</v>
      </c>
      <c r="G61" s="476">
        <f t="shared" si="2"/>
        <v>340.73399999999998</v>
      </c>
      <c r="H61" s="476">
        <f t="shared" si="2"/>
        <v>340.73399999999998</v>
      </c>
      <c r="I61" s="1118">
        <f t="shared" si="2"/>
        <v>340.73399999999998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0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7.9889999999999759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2.9999999999859028E-3</v>
      </c>
      <c r="E63" s="478">
        <f t="shared" si="4"/>
        <v>5.9835000000000491</v>
      </c>
      <c r="F63" s="478">
        <f t="shared" si="4"/>
        <v>17.011000000000024</v>
      </c>
      <c r="G63" s="478">
        <f t="shared" si="4"/>
        <v>17.011000000000024</v>
      </c>
      <c r="H63" s="478">
        <f t="shared" si="4"/>
        <v>12.011000000000024</v>
      </c>
      <c r="I63" s="1120">
        <f t="shared" si="4"/>
        <v>0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138.66300000000001</v>
      </c>
      <c r="E64" s="1109">
        <f>PGL_Supplies!V8/1000</f>
        <v>120.247</v>
      </c>
      <c r="F64" s="1109">
        <f>PGL_Supplies!V9/1000</f>
        <v>120.247</v>
      </c>
      <c r="G64" s="1109">
        <f>PGL_Supplies!V10/1000</f>
        <v>120.247</v>
      </c>
      <c r="H64" s="1109">
        <f>PGL_Supplies!V11/1000</f>
        <v>120.247</v>
      </c>
      <c r="I64" s="1110">
        <f>PGL_Supplies!V12/1000</f>
        <v>120.247</v>
      </c>
    </row>
    <row r="65" spans="3:3" ht="15.6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2001-06-12T09:08:16Z</cp:lastPrinted>
  <dcterms:created xsi:type="dcterms:W3CDTF">1997-07-16T16:14:22Z</dcterms:created>
  <dcterms:modified xsi:type="dcterms:W3CDTF">2023-09-10T11:13:30Z</dcterms:modified>
</cp:coreProperties>
</file>