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<sst xmlns="http://schemas.openxmlformats.org/spreadsheetml/2006/main" count="2101" uniqueCount="815">
  <si>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</si>
  <si>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</si>
  <si>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</si>
  <si>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</si>
  <si>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</si>
  <si>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</si>
  <si>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</si>
  <si>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</si>
  <si>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</si>
  <si>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</si>
  <si>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</si>
  <si>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</si>
  <si>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</si>
  <si>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</si>
  <si>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</si>
  <si>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</si>
  <si>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</si>
  <si>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</si>
  <si>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</si>
  <si>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</si>
  <si>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</si>
  <si>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</si>
  <si>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</si>
  <si>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</si>
  <si>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</si>
  <si>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</si>
  <si>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</si>
  <si>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</si>
  <si>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</si>
  <si>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</si>
  <si>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</si>
  <si>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</si>
  <si>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</si>
  <si>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</si>
  <si>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</si>
  <si>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</si>
  <si>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</si>
  <si>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</si>
  <si>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</si>
  <si>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</si>
  <si>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</si>
  <si>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</si>
  <si>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</si>
  <si>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</si>
  <si>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</si>
  <si>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</si>
  <si>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</si>
  <si>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</si>
  <si>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</si>
  <si>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</si>
  <si>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</si>
  <si>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</si>
  <si>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</si>
  <si>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</si>
  <si>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</si>
  <si>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</si>
  <si>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</si>
  <si>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</si>
  <si>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</si>
  <si>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</si>
  <si>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</si>
  <si>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</si>
  <si>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</si>
  <si>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</si>
  <si>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</si>
  <si>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</si>
  <si>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</si>
  <si>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</si>
  <si>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</si>
  <si>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</si>
  <si>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</si>
  <si>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</si>
  <si>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</si>
  <si>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</si>
  <si>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</si>
  <si>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</si>
  <si>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</si>
  <si>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</si>
  <si>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</si>
  <si>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</si>
  <si>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</si>
  <si>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</si>
  <si>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</si>
  <si>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</si>
  <si>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</si>
  <si>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</si>
  <si>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</si>
  <si>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</si>
  <si>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</si>
  <si>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</si>
  <si>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</si>
  <si>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</si>
  <si>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</si>
  <si>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</si>
  <si>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</si>
  <si>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</si>
  <si>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</si>
  <si>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</si>
  <si>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</si>
  <si>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</si>
  <si>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</si>
  <si>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</si>
  <si>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</si>
  <si>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</si>
  <si>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</si>
  <si>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</si>
  <si>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</si>
  <si>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</si>
  <si>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</si>
  <si>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</si>
  <si>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</si>
  <si>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</si>
  <si>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</si>
  <si>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</si>
  <si>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</si>
  <si>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</si>
  <si>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</si>
  <si>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</si>
  <si>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</si>
  <si>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</si>
  <si>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</si>
  <si>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</si>
  <si>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</si>
  <si>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</si>
  <si>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</si>
  <si>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</si>
  <si>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</si>
  <si>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</si>
  <si>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</si>
  <si>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</si>
  <si>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</si>
  <si>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</si>
  <si>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</si>
  <si>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</si>
  <si>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</si>
  <si>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</si>
  <si>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</si>
  <si>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</si>
  <si>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</si>
  <si>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</si>
  <si>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</si>
  <si>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</si>
  <si>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</si>
  <si>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</si>
  <si>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</si>
  <si>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</si>
  <si>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</si>
  <si>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</si>
  <si>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</si>
  <si>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</si>
  <si>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</si>
  <si>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</si>
  <si>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</si>
  <si>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</si>
  <si>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</si>
  <si>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</si>
  <si>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</si>
  <si>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</si>
  <si>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</si>
  <si>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</si>
  <si>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</si>
  <si>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</si>
  <si>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</si>
  <si>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</si>
  <si>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</si>
  <si>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</si>
  <si>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</si>
  <si>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</si>
  <si>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</si>
  <si>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</si>
  <si>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</si>
  <si>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</si>
  <si>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</si>
  <si>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</si>
  <si>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</si>
  <si>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</si>
  <si>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</si>
  <si>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</si>
  <si>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</si>
  <si>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</si>
  <si>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</si>
  <si>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</si>
  <si>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</si>
  <si>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</si>
  <si>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</si>
  <si>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</si>
  <si>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</si>
  <si>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</si>
  <si>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</si>
  <si>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</si>
  <si>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</si>
  <si>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</si>
  <si>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</si>
  <si>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</si>
  <si>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</si>
  <si>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</si>
  <si>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</si>
  <si>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</si>
  <si>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</si>
  <si>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</si>
  <si>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</si>
  <si>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</si>
  <si>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</si>
  <si>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</si>
  <si>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</si>
  <si>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</si>
  <si>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</si>
  <si>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</si>
  <si>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</si>
  <si>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</si>
  <si>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</si>
  <si>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</si>
  <si>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</si>
  <si>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</si>
  <si>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</si>
  <si>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</si>
  <si>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</si>
  <si>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</si>
  <si>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</si>
  <si>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</si>
  <si>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</si>
  <si>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</si>
  <si>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</si>
  <si>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</si>
  <si>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</si>
  <si>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</si>
  <si>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</si>
  <si>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</si>
  <si>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</si>
  <si>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</si>
  <si>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</si>
  <si>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</si>
  <si>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</si>
  <si>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</si>
  <si>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</si>
  <si>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</si>
  <si>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</si>
  <si>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</si>
  <si>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</si>
  <si>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</si>
  <si>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</si>
  <si>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</si>
  <si>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</si>
  <si>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</si>
  <si>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</si>
  <si>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</si>
  <si>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</si>
  <si>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</si>
  <si>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</si>
  <si>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</si>
  <si>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</si>
  <si>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</si>
  <si>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</si>
  <si>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</si>
  <si>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</si>
  <si>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</si>
  <si>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</si>
  <si>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</si>
  <si>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</si>
  <si>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</si>
  <si>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</si>
  <si>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</si>
  <si>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</si>
  <si>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</si>
  <si>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</si>
  <si>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</si>
  <si>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</si>
  <si>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</si>
  <si>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</si>
  <si>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</si>
  <si>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</si>
  <si>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</si>
  <si>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</si>
  <si>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</si>
  <si>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</si>
  <si>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</si>
  <si>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</si>
  <si>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</si>
  <si>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</si>
  <si>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</si>
  <si>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</si>
  <si>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</si>
  <si>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</si>
  <si>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</si>
  <si>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</si>
  <si>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</si>
  <si>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</si>
  <si>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</si>
  <si>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</si>
  <si>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</si>
  <si>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</si>
  <si>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</si>
  <si>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</si>
  <si>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</si>
  <si>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</si>
  <si>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</si>
  <si>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</si>
  <si>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</si>
  <si>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</si>
  <si>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</si>
  <si>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</si>
  <si>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</si>
  <si>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</si>
  <si>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</si>
  <si>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</si>
  <si>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</si>
  <si>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</si>
  <si>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</si>
  <si>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</si>
  <si>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</si>
  <si>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</si>
  <si>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</si>
  <si>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</si>
  <si>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</si>
  <si>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</si>
  <si>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</si>
  <si>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</si>
  <si>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</si>
  <si>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</si>
  <si>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</si>
  <si>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</si>
  <si>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</si>
  <si>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</si>
  <si>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</si>
  <si>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</si>
  <si>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</si>
  <si>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</si>
  <si>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</si>
  <si>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</si>
  <si>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</si>
  <si>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</si>
  <si>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</si>
  <si>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</si>
  <si>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</si>
  <si>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</si>
  <si>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</si>
  <si>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</si>
  <si>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</si>
  <si>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</si>
  <si>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</si>
  <si>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</si>
  <si>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</si>
  <si>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</si>
  <si>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</si>
  <si>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</si>
  <si>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</si>
  <si>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</si>
  <si>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</si>
  <si>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</si>
  <si>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</si>
  <si>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</si>
  <si>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</si>
  <si>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</si>
  <si>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</si>
  <si>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</si>
  <si>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</si>
  <si>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</si>
  <si>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</si>
  <si>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</si>
  <si>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</si>
  <si>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</si>
  <si>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</si>
  <si>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</si>
  <si>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</si>
  <si>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</si>
  <si>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</si>
  <si>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</si>
  <si>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</si>
  <si>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</si>
  <si>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</si>
  <si>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</si>
  <si>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</si>
  <si>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</si>
  <si>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</si>
  <si>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</si>
  <si>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</si>
  <si>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</si>
  <si>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</si>
  <si>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</si>
  <si>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</si>
  <si>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</si>
  <si>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</si>
  <si>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</si>
  <si>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</si>
  <si>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</si>
  <si>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</si>
  <si>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</si>
  <si>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</si>
  <si>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</si>
  <si>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</si>
  <si>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</si>
  <si>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</si>
  <si>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</si>
  <si>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</si>
  <si>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</si>
  <si>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</si>
  <si>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</si>
  <si>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</si>
  <si>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</si>
  <si>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</si>
  <si>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</si>
  <si>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</si>
  <si>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</si>
  <si>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</si>
  <si>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</si>
  <si>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</si>
  <si>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</si>
  <si>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</si>
  <si>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</si>
  <si>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</si>
  <si>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</si>
  <si>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</si>
  <si>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</si>
  <si>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</si>
  <si>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</si>
  <si>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</si>
  <si>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</si>
  <si>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</si>
  <si>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</si>
  <si>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</si>
  <si>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</si>
  <si>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</si>
  <si>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</si>
  <si>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</si>
  <si>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</si>
  <si>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</si>
  <si>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</si>
  <si>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</si>
  <si>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</si>
  <si>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</si>
  <si>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</si>
  <si>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</si>
  <si>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</si>
  <si>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</si>
  <si>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</si>
  <si>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</si>
  <si>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</si>
  <si>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</si>
  <si>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</si>
  <si>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</si>
  <si>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</si>
  <si>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</si>
  <si>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</si>
  <si>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</si>
  <si>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</si>
  <si>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</si>
  <si>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</si>
  <si>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</si>
  <si>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</si>
  <si>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</si>
  <si>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</si>
  <si>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</si>
  <si>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</si>
  <si>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</si>
  <si>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</si>
  <si>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</si>
  <si>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</si>
  <si>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</si>
  <si>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</si>
  <si>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</si>
  <si>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</si>
  <si>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</si>
  <si>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</si>
  <si>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</si>
  <si>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</si>
  <si>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</si>
  <si>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</si>
  <si>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</si>
  <si>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</si>
  <si>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</si>
  <si>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</si>
  <si>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</si>
  <si>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</si>
  <si>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</si>
  <si>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</si>
  <si>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</si>
  <si>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</si>
  <si>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</si>
  <si>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</si>
  <si>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</si>
  <si>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</si>
  <si>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</si>
  <si>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</si>
  <si>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</si>
  <si>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</si>
  <si>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</si>
  <si>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</si>
  <si>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</si>
  <si>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</si>
  <si>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</si>
  <si>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</si>
  <si>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</si>
  <si>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</si>
  <si>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</si>
  <si>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</si>
  <si>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</si>
  <si>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</si>
  <si>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</si>
  <si>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</si>
  <si>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</si>
  <si>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</si>
  <si>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</si>
  <si>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</si>
  <si>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</si>
  <si>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</si>
  <si>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</si>
  <si>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</si>
  <si>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</si>
  <si>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</si>
  <si>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</si>
  <si>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</si>
  <si>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</si>
  <si>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</si>
  <si>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</si>
  <si>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</si>
  <si>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</si>
  <si>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</si>
  <si>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</si>
  <si>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</si>
  <si>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</si>
  <si>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</si>
  <si>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</si>
  <si>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</si>
  <si>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</si>
  <si>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</si>
  <si>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</si>
  <si>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</si>
  <si>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</si>
  <si>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</si>
  <si>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</si>
  <si>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</si>
  <si>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</si>
  <si>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</si>
  <si>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</si>
  <si>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</si>
  <si>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</si>
  <si>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</si>
  <si>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</si>
  <si>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</si>
  <si>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</si>
  <si>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</si>
  <si>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</si>
  <si>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</si>
  <si>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</si>
  <si>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</si>
  <si>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</si>
  <si>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</si>
  <si>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</si>
  <si>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</si>
  <si>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</si>
  <si>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</si>
  <si>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</si>
  <si>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</si>
  <si>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</si>
  <si>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</si>
  <si>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</si>
  <si>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</si>
  <si>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</si>
  <si>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</si>
  <si>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</si>
  <si>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</si>
  <si>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</si>
  <si>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</si>
  <si>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</si>
  <si>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</si>
  <si>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</si>
  <si>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</si>
  <si>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</si>
  <si>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</si>
  <si>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</si>
  <si>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</si>
  <si>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</si>
  <si>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</si>
  <si>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</si>
  <si>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</si>
  <si>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</si>
  <si>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</si>
  <si>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</si>
  <si>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</si>
  <si>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</si>
  <si>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</si>
  <si>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</si>
  <si>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</si>
  <si>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</si>
  <si>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</si>
  <si>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</si>
  <si>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</si>
  <si>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</si>
  <si>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</si>
  <si>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</si>
  <si>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</si>
  <si>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</si>
  <si>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</si>
  <si>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</si>
  <si>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</si>
  <si>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</si>
  <si>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</si>
  <si>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</si>
  <si>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</si>
  <si>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</si>
  <si>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</si>
  <si>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</si>
  <si>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</si>
  <si>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</si>
  <si>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</si>
  <si>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</si>
  <si>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</si>
  <si>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</si>
  <si>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</si>
  <si>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</si>
  <si>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</si>
  <si>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</si>
  <si>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</si>
  <si>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</si>
  <si>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</si>
  <si>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</si>
  <si>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</si>
  <si>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</si>
  <si>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</si>
  <si>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</si>
  <si>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</si>
  <si>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</si>
  <si>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</si>
  <si>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</si>
  <si>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</si>
  <si>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</si>
  <si>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</si>
  <si>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</si>
  <si>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</si>
  <si>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</si>
  <si>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</si>
  <si>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</si>
  <si>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</si>
  <si>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</si>
  <si>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</si>
  <si>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</si>
  <si>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</si>
  <si>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</si>
  <si>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</si>
  <si>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</si>
  <si>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</si>
  <si>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</si>
  <si>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</si>
  <si>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</si>
  <si>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</si>
  <si>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</si>
  <si>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</si>
  <si>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</si>
  <si>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</si>
  <si>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</si>
  <si>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</si>
  <si>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</si>
  <si>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</si>
  <si>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</si>
  <si>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</si>
  <si>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</si>
  <si>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</si>
  <si>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</si>
  <si>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</si>
  <si>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</si>
  <si>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</si>
  <si>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</si>
  <si>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</si>
  <si>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</si>
  <si>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</si>
  <si>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</si>
  <si>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</si>
  <si>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</si>
  <si>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</si>
  <si>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</si>
  <si>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</si>
  <si>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</si>
  <si>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</si>
  <si>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</si>
  <si>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</si>
  <si>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</si>
  <si>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</si>
  <si>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</si>
  <si>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</si>
  <si>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</si>
  <si>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</si>
  <si>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</si>
  <si>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</si>
  <si>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</si>
  <si>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</si>
  <si>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</si>
  <si>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</si>
  <si>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</si>
  <si>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</si>
  <si>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</si>
  <si>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</si>
  <si>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</si>
  <si>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</si>
  <si>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</si>
  <si>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</si>
  <si>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</si>
  <si>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</si>
  <si>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</si>
  <si>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</si>
  <si>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</si>
  <si>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</si>
  <si>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</si>
  <si>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</si>
  <si>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</si>
  <si>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</si>
  <si>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</si>
  <si>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</si>
  <si>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</si>
  <si>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</si>
  <si>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</si>
  <si>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</si>
  <si>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</si>
  <si>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</si>
  <si>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</si>
  <si>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</si>
  <si>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</si>
  <si>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</si>
  <si>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</si>
  <si>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</si>
  <si>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</si>
  <si>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</si>
  <si>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</si>
  <si>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</si>
  <si>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</si>
  <si>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</si>
  <si>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</si>
  <si>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</si>
  <si>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</si>
  <si>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</si>
  <si>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</si>
  <si>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</si>
  <si>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</si>
  <si>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</si>
  <si>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</si>
  <si>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</si>
  <si>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</si>
  <si>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</si>
  <si>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</si>
  <si>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</si>
  <si>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</si>
  <si>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</si>
  <si>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</si>
  <si>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</si>
  <si>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</si>
  <si>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</si>
  <si>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</si>
  <si>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</si>
  <si>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</si>
  <si>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</si>
  <si>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</si>
  <si>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</si>
  <si>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</si>
  <si>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</si>
  <si>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</si>
  <si>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</si>
  <si>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</si>
  <si>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</si>
  <si>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</si>
  <si>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</si>
  <si>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</si>
  <si>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</si>
  <si>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</si>
  <si>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</si>
  <si>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</si>
  <si>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</si>
  <si>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</si>
  <si>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</si>
  <si>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</si>
  <si>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</si>
  <si>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</si>
  <si>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</si>
  <si>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</si>
  <si>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</si>
  <si>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</si>
  <si>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</si>
  <si>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</si>
  <si>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</si>
  <si>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</si>
  <si>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</si>
  <si>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</si>
  <si>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</si>
  <si>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</si>
  <si>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</si>
  <si>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</si>
  <si>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</si>
  <si>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</si>
  <si>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</si>
  <si>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</si>
  <si>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</si>
  <si>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</si>
  <si>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</si>
  <si>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</si>
  <si>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</si>
  <si>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</si>
  <si>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</si>
  <si>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</si>
  <si>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</si>
  <si>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</si>
  <si>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</si>
  <si>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</si>
  <si>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</si>
  <si>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</si>
  <si>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</si>
  <si>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</si>
  <si>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</si>
  <si>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</si>
  <si>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</si>
  <si>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</si>
  <si>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</si>
  <si>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 xml:space="preserve">A CHANCE OF SHOWERS AND T'STORMS. </t>
  </si>
  <si>
    <t>PARTLY CLOUDY. A 40% CHANCE OF SHOWERS AND T'STORMS…ESPECIALLY IN AF</t>
  </si>
  <si>
    <t>TERNOON. S.W. WINDS 10/20 MPH. OVERNIGHT…PARTLY CLOUDY. 40% CHANCE T'STM</t>
  </si>
  <si>
    <t>PARTLY CLOUDY. OVERNIGHT…PARTLY CLOUDY.</t>
  </si>
  <si>
    <t>PARTLY CLOUDY.</t>
  </si>
  <si>
    <t>A CHANCE OF T'STORMS.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</si>
</sst>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289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290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291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292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293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294" name="Day_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4" sqref="B4:B5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55" t="s">
        <v>10</v>
      </c>
      <c r="B1" s="804"/>
    </row>
    <row r="2" spans="1:88">
      <c r="A2" s="1055" t="s">
        <v>10</v>
      </c>
      <c r="B2" t="s">
        <v>10</v>
      </c>
    </row>
    <row r="3" spans="1:88" ht="15.6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6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132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C40" sqref="C40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SUN</v>
      </c>
      <c r="I1" s="872">
        <f>D4</f>
        <v>37052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SUN</v>
      </c>
      <c r="E3" s="835" t="str">
        <f t="shared" si="0"/>
        <v>MON</v>
      </c>
      <c r="F3" s="835" t="str">
        <f t="shared" si="0"/>
        <v>TUE</v>
      </c>
      <c r="G3" s="835" t="str">
        <f t="shared" si="0"/>
        <v>WED</v>
      </c>
      <c r="H3" s="835" t="str">
        <f t="shared" si="0"/>
        <v>THU</v>
      </c>
      <c r="I3" s="836" t="str">
        <f t="shared" si="0"/>
        <v>FRI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37052</v>
      </c>
      <c r="E4" s="839">
        <f>Weather_Input!A6</f>
        <v>37053</v>
      </c>
      <c r="F4" s="839">
        <f>Weather_Input!A7</f>
        <v>37054</v>
      </c>
      <c r="G4" s="839">
        <f>Weather_Input!A8</f>
        <v>37055</v>
      </c>
      <c r="H4" s="839">
        <f>Weather_Input!A9</f>
        <v>37056</v>
      </c>
      <c r="I4" s="840">
        <f>Weather_Input!A10</f>
        <v>37057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86/66/76</v>
      </c>
      <c r="E5" s="873" t="str">
        <f>TEXT(Weather_Input!B6,"0")&amp;"/"&amp;TEXT(Weather_Input!C6,"0") &amp; "/" &amp; TEXT((Weather_Input!B6+Weather_Input!C6)/2,"0")</f>
        <v>89/68/79</v>
      </c>
      <c r="F5" s="873" t="str">
        <f>TEXT(Weather_Input!B7,"0")&amp;"/"&amp;TEXT(Weather_Input!C7,"0") &amp; "/" &amp; TEXT((Weather_Input!B7+Weather_Input!C7)/2,"0")</f>
        <v>88/69/79</v>
      </c>
      <c r="G5" s="873" t="str">
        <f>TEXT(Weather_Input!B8,"0")&amp;"/"&amp;TEXT(Weather_Input!C8,"0") &amp; "/" &amp; TEXT((Weather_Input!B8+Weather_Input!C8)/2,"0")</f>
        <v>88/69/79</v>
      </c>
      <c r="H5" s="873" t="str">
        <f>TEXT(Weather_Input!B9,"0")&amp;"/"&amp;TEXT(Weather_Input!C9,"0") &amp; "/" &amp; TEXT((Weather_Input!B9+Weather_Input!C9)/2,"0")</f>
        <v>85/67/76</v>
      </c>
      <c r="I5" s="874" t="str">
        <f>TEXT(Weather_Input!B10,"0")&amp;"/"&amp;TEXT(Weather_Input!C10,"0") &amp; "/" &amp; TEXT((Weather_Input!B10+Weather_Input!C10)/2,"0")</f>
        <v>85/67/76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36</v>
      </c>
      <c r="E6" s="842">
        <f ca="1">VLOOKUP(E4,NSG_Sendouts,CELL("Col",NSG_Deliveries!C6),FALSE)/1000</f>
        <v>38</v>
      </c>
      <c r="F6" s="842">
        <f ca="1">VLOOKUP(F4,NSG_Sendouts,CELL("Col",NSG_Deliveries!C7),FALSE)/1000</f>
        <v>38</v>
      </c>
      <c r="G6" s="842">
        <f ca="1">VLOOKUP(G4,NSG_Sendouts,CELL("Col",NSG_Deliveries!C8),FALSE)/1000</f>
        <v>38</v>
      </c>
      <c r="H6" s="842">
        <f ca="1">VLOOKUP(H4,NSG_Sendouts,CELL("Col",NSG_Deliveries!C9),FALSE)/1000</f>
        <v>39</v>
      </c>
      <c r="I6" s="847">
        <f ca="1">VLOOKUP(I4,NSG_Sendouts,CELL("Col",NSG_Deliveries!C10),FALSE)/1000</f>
        <v>36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6.04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2</v>
      </c>
      <c r="E13" s="842">
        <f>NSG_Requirements!H8/1000</f>
        <v>2</v>
      </c>
      <c r="F13" s="842">
        <f>NSG_Requirements!H9/1000</f>
        <v>2</v>
      </c>
      <c r="G13" s="842">
        <f>NSG_Requirements!H10/1000</f>
        <v>2</v>
      </c>
      <c r="H13" s="842">
        <f>NSG_Requirements!H11/1000</f>
        <v>2</v>
      </c>
      <c r="I13" s="843">
        <f>NSG_Requirements!H12/1000</f>
        <v>2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44.04</v>
      </c>
      <c r="E19" s="851">
        <f t="shared" ca="1" si="1"/>
        <v>40</v>
      </c>
      <c r="F19" s="851">
        <f t="shared" ca="1" si="1"/>
        <v>40</v>
      </c>
      <c r="G19" s="851">
        <f t="shared" ca="1" si="1"/>
        <v>40</v>
      </c>
      <c r="H19" s="851">
        <f t="shared" ca="1" si="1"/>
        <v>41</v>
      </c>
      <c r="I19" s="852">
        <f t="shared" ca="1" si="1"/>
        <v>38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0</v>
      </c>
      <c r="E25" s="842">
        <f>NSG_Supplies!F8/1000</f>
        <v>0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28.827999999999999</v>
      </c>
      <c r="E32" s="842">
        <f>NSG_Supplies!R8/1000</f>
        <v>28.827999999999999</v>
      </c>
      <c r="F32" s="842">
        <f>NSG_Supplies!R9/1000</f>
        <v>28.827999999999999</v>
      </c>
      <c r="G32" s="842">
        <f>NSG_Supplies!R10/1000</f>
        <v>28.827999999999999</v>
      </c>
      <c r="H32" s="842">
        <f>NSG_Supplies!R11/1000</f>
        <v>28.827999999999999</v>
      </c>
      <c r="I32" s="843">
        <f>NSG_Supplies!R12/1000</f>
        <v>28.827999999999999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15.215</v>
      </c>
      <c r="E33" s="842">
        <f>NSG_Supplies!Q8/1000</f>
        <v>15.215</v>
      </c>
      <c r="F33" s="842">
        <f>NSG_Supplies!Q9/1000</f>
        <v>15.215</v>
      </c>
      <c r="G33" s="842">
        <f>NSG_Supplies!Q10/1000</f>
        <v>15.215</v>
      </c>
      <c r="H33" s="842">
        <f>NSG_Supplies!Q11/1000</f>
        <v>15.215</v>
      </c>
      <c r="I33" s="843">
        <f>NSG_Supplies!Q12/1000</f>
        <v>15.215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44.042999999999999</v>
      </c>
      <c r="E37" s="882">
        <f t="shared" si="2"/>
        <v>44.042999999999999</v>
      </c>
      <c r="F37" s="882">
        <f t="shared" si="2"/>
        <v>44.042999999999999</v>
      </c>
      <c r="G37" s="882">
        <f t="shared" si="2"/>
        <v>44.042999999999999</v>
      </c>
      <c r="H37" s="882">
        <f t="shared" si="2"/>
        <v>44.042999999999999</v>
      </c>
      <c r="I37" s="883">
        <f t="shared" si="2"/>
        <v>44.042999999999999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3.0000000000001137E-3</v>
      </c>
      <c r="E38" s="886">
        <f t="shared" ca="1" si="3"/>
        <v>4.0429999999999993</v>
      </c>
      <c r="F38" s="886">
        <f t="shared" ca="1" si="3"/>
        <v>4.0429999999999993</v>
      </c>
      <c r="G38" s="886">
        <f t="shared" ca="1" si="3"/>
        <v>4.0429999999999993</v>
      </c>
      <c r="H38" s="886">
        <f t="shared" ca="1" si="3"/>
        <v>3.0429999999999993</v>
      </c>
      <c r="I38" s="887">
        <f t="shared" ca="1" si="3"/>
        <v>6.0429999999999993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0</v>
      </c>
      <c r="G39" s="868">
        <f t="shared" ca="1" si="4"/>
        <v>0</v>
      </c>
      <c r="H39" s="868">
        <f t="shared" ca="1" si="4"/>
        <v>0</v>
      </c>
      <c r="I39" s="869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16.754000000000001</v>
      </c>
      <c r="E40" s="1114">
        <f>NSG_Supplies!S8/1000</f>
        <v>16.754000000000001</v>
      </c>
      <c r="F40" s="1114">
        <f>NSG_Supplies!S9/1000</f>
        <v>16.754000000000001</v>
      </c>
      <c r="G40" s="1114">
        <f>NSG_Supplies!S10/1000</f>
        <v>16.754000000000001</v>
      </c>
      <c r="H40" s="1114">
        <f>NSG_Supplies!S11/1000</f>
        <v>16.754000000000001</v>
      </c>
      <c r="I40" s="1115">
        <f>NSG_Supplies!S12/1000</f>
        <v>16.754000000000001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12</v>
      </c>
      <c r="E42" s="893">
        <f>Weather_Input!D6</f>
        <v>10</v>
      </c>
      <c r="F42" s="893">
        <f>Weather_Input!D7</f>
        <v>12</v>
      </c>
      <c r="G42" s="894"/>
      <c r="H42" s="889"/>
      <c r="I42" s="889"/>
    </row>
    <row r="43" spans="1:13" ht="15.6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A29" zoomScale="75" workbookViewId="0">
      <selection activeCell="B33" sqref="B33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58" t="s">
        <v>10</v>
      </c>
      <c r="B1" s="1155" t="s">
        <v>10</v>
      </c>
      <c r="C1" s="1156" t="s">
        <v>725</v>
      </c>
      <c r="D1" s="1157"/>
      <c r="E1" s="1158" t="s">
        <v>10</v>
      </c>
      <c r="F1" s="1159" t="s">
        <v>774</v>
      </c>
      <c r="G1" s="1160" t="s">
        <v>10</v>
      </c>
      <c r="H1" s="1161"/>
      <c r="I1" s="1205" t="s">
        <v>10</v>
      </c>
      <c r="J1" s="586"/>
      <c r="K1" s="586"/>
      <c r="L1" s="587" t="s">
        <v>171</v>
      </c>
      <c r="M1" s="1238">
        <f>Weather_Input!A5</f>
        <v>37052</v>
      </c>
      <c r="N1" s="1239" t="str">
        <f>CHOOSE(WEEKDAY(M1),"SUN","MON","TUE","WED","THU","FRI","SAT")</f>
        <v>SUN</v>
      </c>
      <c r="O1" s="591"/>
    </row>
    <row r="2" spans="1:17" ht="16.2" thickTop="1" thickBot="1">
      <c r="A2" s="423" t="s">
        <v>728</v>
      </c>
      <c r="B2" s="322">
        <f>PGL_Supplies!X7/1000</f>
        <v>0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6" t="s">
        <v>407</v>
      </c>
      <c r="K2" s="1181" t="s">
        <v>174</v>
      </c>
      <c r="L2" s="1182" t="s">
        <v>22</v>
      </c>
      <c r="M2" s="1181" t="s">
        <v>174</v>
      </c>
      <c r="N2" s="1176" t="s">
        <v>22</v>
      </c>
      <c r="O2" s="1183" t="s">
        <v>174</v>
      </c>
      <c r="Q2" s="1154" t="s">
        <v>10</v>
      </c>
    </row>
    <row r="3" spans="1:17" ht="15.6">
      <c r="A3" s="423" t="s">
        <v>769</v>
      </c>
      <c r="B3" s="1197">
        <f>PGL_Requirements!J7/1000</f>
        <v>0.3</v>
      </c>
      <c r="C3" s="973" t="s">
        <v>10</v>
      </c>
      <c r="D3" s="311"/>
      <c r="E3" s="566" t="s">
        <v>473</v>
      </c>
      <c r="F3" s="322">
        <f>PGL_Supplies!I7/1000</f>
        <v>15</v>
      </c>
      <c r="G3" s="386" t="s">
        <v>10</v>
      </c>
      <c r="H3" s="1149" t="s">
        <v>10</v>
      </c>
      <c r="I3" s="1206" t="s">
        <v>10</v>
      </c>
      <c r="J3" s="954">
        <f>Weather_Input!B5</f>
        <v>86</v>
      </c>
      <c r="K3" s="955">
        <f>Weather_Input!C5</f>
        <v>66</v>
      </c>
      <c r="L3" s="602" t="s">
        <v>10</v>
      </c>
      <c r="M3" s="267" t="s">
        <v>10</v>
      </c>
      <c r="N3" s="267"/>
      <c r="O3" s="265"/>
    </row>
    <row r="4" spans="1:17" ht="16.2" thickBot="1">
      <c r="A4" s="247" t="s">
        <v>771</v>
      </c>
      <c r="B4" s="1198">
        <v>0</v>
      </c>
      <c r="C4" s="121"/>
      <c r="D4" s="985"/>
      <c r="E4" s="535" t="s">
        <v>474</v>
      </c>
      <c r="F4" s="1231">
        <v>0</v>
      </c>
      <c r="G4" s="524" t="s">
        <v>10</v>
      </c>
      <c r="H4" s="1259"/>
      <c r="I4" t="s">
        <v>806</v>
      </c>
      <c r="J4" s="1059"/>
      <c r="K4" s="1245" t="s">
        <v>10</v>
      </c>
      <c r="L4" s="432"/>
      <c r="M4" s="1061"/>
      <c r="N4" s="432"/>
      <c r="O4" s="805"/>
    </row>
    <row r="5" spans="1:17" ht="16.2" thickBot="1">
      <c r="A5" s="1074" t="s">
        <v>3</v>
      </c>
      <c r="B5" s="322">
        <f>PGL_Supplies!Y7/1000</f>
        <v>106.16</v>
      </c>
      <c r="C5" s="1062" t="s">
        <v>10</v>
      </c>
      <c r="D5" s="347"/>
      <c r="E5" s="1216" t="s">
        <v>450</v>
      </c>
      <c r="F5" s="979">
        <f>F3+F4</f>
        <v>15</v>
      </c>
      <c r="G5" s="564" t="s">
        <v>10</v>
      </c>
      <c r="H5" s="1248" t="s">
        <v>10</v>
      </c>
      <c r="I5" s="1207" t="s">
        <v>417</v>
      </c>
      <c r="J5" s="1104" t="s">
        <v>10</v>
      </c>
      <c r="K5" s="957">
        <f>PGL_Deliveries!C5/1000</f>
        <v>190</v>
      </c>
      <c r="L5" s="600"/>
      <c r="M5" s="267"/>
      <c r="N5" s="600"/>
      <c r="O5" s="265"/>
    </row>
    <row r="6" spans="1:17" ht="16.2" thickBot="1">
      <c r="A6" s="557" t="s">
        <v>441</v>
      </c>
      <c r="B6" s="1065">
        <f>+B5-B3+B2-B4</f>
        <v>105.86</v>
      </c>
      <c r="C6" s="1066" t="s">
        <v>10</v>
      </c>
      <c r="D6" s="529"/>
      <c r="E6" s="635" t="s">
        <v>10</v>
      </c>
      <c r="F6" s="983" t="s">
        <v>36</v>
      </c>
      <c r="G6" s="984"/>
      <c r="H6" s="1150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2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0.2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105.86</v>
      </c>
      <c r="L9" s="1059"/>
      <c r="M9" s="1061"/>
      <c r="N9" s="432"/>
      <c r="O9" s="283" t="s">
        <v>10</v>
      </c>
    </row>
    <row r="10" spans="1:17" ht="15.6" thickBot="1">
      <c r="A10" s="423" t="s">
        <v>439</v>
      </c>
      <c r="B10" s="322">
        <f>PGL_Requirements!C7/1000</f>
        <v>0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8" t="s">
        <v>787</v>
      </c>
      <c r="J10" s="280" t="s">
        <v>10</v>
      </c>
      <c r="K10" s="612">
        <f>B13</f>
        <v>0</v>
      </c>
      <c r="L10" s="600"/>
      <c r="M10" s="612" t="s">
        <v>10</v>
      </c>
      <c r="N10" s="600"/>
      <c r="O10" s="283" t="s">
        <v>10</v>
      </c>
    </row>
    <row r="11" spans="1:17" ht="16.2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8" t="s">
        <v>59</v>
      </c>
      <c r="J11" s="280" t="s">
        <v>10</v>
      </c>
      <c r="K11" s="612">
        <f>B21</f>
        <v>-154.72</v>
      </c>
      <c r="L11" s="600"/>
      <c r="M11" s="267" t="s">
        <v>10</v>
      </c>
      <c r="N11" s="600"/>
      <c r="O11" s="265"/>
    </row>
    <row r="12" spans="1:17" ht="16.2" thickBot="1">
      <c r="A12" s="634" t="s">
        <v>682</v>
      </c>
      <c r="B12" s="322">
        <f>PGL_Supplies!Z7/1000</f>
        <v>0.2</v>
      </c>
      <c r="C12" s="121"/>
      <c r="D12" s="1058"/>
      <c r="E12" s="1200" t="s">
        <v>10</v>
      </c>
      <c r="F12" s="1199" t="s">
        <v>807</v>
      </c>
      <c r="G12" s="357"/>
      <c r="H12" s="1148"/>
      <c r="I12" s="1208" t="s">
        <v>788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2" thickBot="1">
      <c r="A13" s="557" t="s">
        <v>441</v>
      </c>
      <c r="B13" s="564">
        <f>B12+B11-B10+B9-B8</f>
        <v>0</v>
      </c>
      <c r="C13" s="529"/>
      <c r="D13" s="529"/>
      <c r="E13" s="579" t="s">
        <v>482</v>
      </c>
      <c r="F13" s="1135" t="s">
        <v>10</v>
      </c>
      <c r="G13" s="572" t="s">
        <v>10</v>
      </c>
      <c r="H13" s="1151" t="s">
        <v>10</v>
      </c>
      <c r="I13" s="1208" t="s">
        <v>789</v>
      </c>
      <c r="J13" s="284" t="s">
        <v>10</v>
      </c>
      <c r="K13" s="612">
        <f>B36</f>
        <v>181.6585</v>
      </c>
      <c r="L13" s="600"/>
      <c r="M13" s="267" t="s">
        <v>10</v>
      </c>
      <c r="N13" s="600"/>
      <c r="O13" s="265"/>
    </row>
    <row r="14" spans="1:17" ht="16.2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2"/>
      <c r="I14" s="1208" t="s">
        <v>420</v>
      </c>
      <c r="J14" s="280" t="s">
        <v>10</v>
      </c>
      <c r="K14" s="958">
        <f>F5</f>
        <v>15</v>
      </c>
      <c r="L14" s="600"/>
      <c r="M14" s="267" t="s">
        <v>10</v>
      </c>
      <c r="N14" s="600"/>
      <c r="O14" s="265"/>
    </row>
    <row r="15" spans="1:17" ht="16.2" thickBot="1">
      <c r="A15" s="423" t="s">
        <v>71</v>
      </c>
      <c r="B15" s="322">
        <f>PGL_Requirements!P7/1000</f>
        <v>155</v>
      </c>
      <c r="C15" s="311"/>
      <c r="D15" s="547"/>
      <c r="E15" s="1202" t="s">
        <v>683</v>
      </c>
      <c r="F15" s="986"/>
      <c r="G15" s="1105"/>
      <c r="H15" s="1167"/>
      <c r="I15" s="1208" t="s">
        <v>790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2" thickBot="1">
      <c r="A16" s="423" t="s">
        <v>446</v>
      </c>
      <c r="B16" s="322">
        <f>PGL_Supplies!M7/1000</f>
        <v>0</v>
      </c>
      <c r="C16" s="311"/>
      <c r="D16" s="547"/>
      <c r="E16" s="1203" t="s">
        <v>10</v>
      </c>
      <c r="F16" s="1162" t="s">
        <v>475</v>
      </c>
      <c r="G16" s="1249"/>
      <c r="H16" s="1204"/>
      <c r="I16" s="1208" t="s">
        <v>556</v>
      </c>
      <c r="J16" s="280" t="s">
        <v>170</v>
      </c>
      <c r="K16" s="958">
        <f>PGL_Supplies!B7/1000</f>
        <v>0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29" t="s">
        <v>10</v>
      </c>
      <c r="H17" s="1153" t="s">
        <v>10</v>
      </c>
      <c r="I17" s="1201" t="s">
        <v>557</v>
      </c>
      <c r="J17" s="305" t="s">
        <v>10</v>
      </c>
      <c r="K17" s="973">
        <f>-PGL_Requirements!G7/1000</f>
        <v>-3.5</v>
      </c>
      <c r="L17" s="600"/>
      <c r="M17" s="267"/>
      <c r="N17" s="600"/>
      <c r="O17" s="265"/>
    </row>
    <row r="18" spans="1:15" ht="16.2" thickBot="1">
      <c r="A18" s="423" t="s">
        <v>448</v>
      </c>
      <c r="B18" s="322">
        <f>PGL_Supplies!H7/1000</f>
        <v>1</v>
      </c>
      <c r="C18" s="311"/>
      <c r="D18" s="1143"/>
      <c r="E18" s="635" t="s">
        <v>10</v>
      </c>
      <c r="F18" s="1162" t="s">
        <v>775</v>
      </c>
      <c r="G18" s="984"/>
      <c r="H18" s="1150"/>
      <c r="I18" t="s">
        <v>805</v>
      </c>
      <c r="J18" s="1059"/>
      <c r="K18" s="1234">
        <f>-F19</f>
        <v>0</v>
      </c>
      <c r="L18" s="1059"/>
      <c r="M18" s="223"/>
      <c r="N18" s="1059"/>
      <c r="O18" s="805"/>
    </row>
    <row r="19" spans="1:15" ht="15.6" thickBot="1">
      <c r="A19" s="368" t="s">
        <v>721</v>
      </c>
      <c r="B19" s="322">
        <f>PGL_Requirements!R7/1000</f>
        <v>0.72</v>
      </c>
      <c r="C19" s="311"/>
      <c r="D19" s="1143"/>
      <c r="E19" s="1163" t="s">
        <v>776</v>
      </c>
      <c r="F19" s="1230">
        <f>PGL_Requirements!K7/1000</f>
        <v>0</v>
      </c>
      <c r="G19" s="1048" t="s">
        <v>10</v>
      </c>
      <c r="H19" s="1164" t="s">
        <v>10</v>
      </c>
      <c r="I19" t="s">
        <v>558</v>
      </c>
      <c r="J19" s="1233"/>
      <c r="K19" s="1235">
        <f>-F24</f>
        <v>-2</v>
      </c>
      <c r="L19" s="1233"/>
      <c r="M19" s="159"/>
      <c r="N19" s="1233"/>
      <c r="O19" s="1232"/>
    </row>
    <row r="20" spans="1:15" ht="16.2" thickBot="1">
      <c r="A20" s="423" t="s">
        <v>722</v>
      </c>
      <c r="B20" s="322">
        <f>PGL_Requirements!Q7/1000</f>
        <v>2.3250000000000002</v>
      </c>
      <c r="C20" s="347"/>
      <c r="D20" s="1144"/>
      <c r="E20" s="121"/>
      <c r="F20" s="121"/>
      <c r="G20" s="121"/>
      <c r="H20" s="1175"/>
      <c r="I20" s="1209" t="s">
        <v>683</v>
      </c>
      <c r="J20" s="615" t="s">
        <v>10</v>
      </c>
      <c r="K20" s="509">
        <f>SUM(K8:K19)</f>
        <v>142.29849999999999</v>
      </c>
      <c r="L20" s="619" t="s">
        <v>10</v>
      </c>
      <c r="M20" s="509" t="s">
        <v>10</v>
      </c>
      <c r="N20" s="619" t="s">
        <v>10</v>
      </c>
      <c r="O20" s="620"/>
    </row>
    <row r="21" spans="1:15" ht="16.2" thickBot="1">
      <c r="A21" s="516" t="s">
        <v>450</v>
      </c>
      <c r="B21" s="1227">
        <f>-B15+B16+B18-B19-B17+B22+B23</f>
        <v>-154.72</v>
      </c>
      <c r="C21" s="518"/>
      <c r="D21" s="530"/>
      <c r="E21" s="1165" t="s">
        <v>777</v>
      </c>
      <c r="F21" s="1198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5" t="s">
        <v>778</v>
      </c>
      <c r="F22" s="1198">
        <v>0</v>
      </c>
      <c r="G22" s="1060"/>
      <c r="H22" s="434"/>
      <c r="I22" s="1208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6" t="s">
        <v>779</v>
      </c>
      <c r="F23" s="1218">
        <v>0</v>
      </c>
      <c r="G23" s="986"/>
      <c r="H23" s="1167"/>
      <c r="I23" s="1208" t="s">
        <v>423</v>
      </c>
      <c r="J23" s="280" t="s">
        <v>10</v>
      </c>
      <c r="K23" s="612">
        <f>K5+K6-K20</f>
        <v>47.70150000000001</v>
      </c>
      <c r="L23" s="264"/>
      <c r="M23" s="612" t="s">
        <v>10</v>
      </c>
      <c r="N23" s="264"/>
      <c r="O23" s="294"/>
    </row>
    <row r="24" spans="1:15" ht="16.2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0">
        <f>PGL_Requirements!H7/1000</f>
        <v>2</v>
      </c>
      <c r="G24" s="1048"/>
      <c r="H24" s="1031"/>
      <c r="I24" s="1210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2" thickBot="1">
      <c r="A25" s="553" t="s">
        <v>10</v>
      </c>
      <c r="B25" s="554" t="s">
        <v>10</v>
      </c>
      <c r="C25" s="1250" t="s">
        <v>68</v>
      </c>
      <c r="D25" s="1150"/>
      <c r="E25" s="1168" t="s">
        <v>781</v>
      </c>
      <c r="F25" s="1219"/>
      <c r="G25" s="1169"/>
      <c r="H25" s="1170"/>
      <c r="I25" s="1208" t="s">
        <v>425</v>
      </c>
      <c r="J25" s="963" t="s">
        <v>10</v>
      </c>
      <c r="K25" s="964">
        <f>SUM(B20+B22+B23)</f>
        <v>2.3250000000000002</v>
      </c>
      <c r="L25" s="965"/>
      <c r="M25" s="1247"/>
      <c r="N25" s="966" t="s">
        <v>10</v>
      </c>
      <c r="O25" s="258"/>
    </row>
    <row r="26" spans="1:15" ht="16.8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1" t="s">
        <v>426</v>
      </c>
      <c r="J26" s="967" t="s">
        <v>10</v>
      </c>
      <c r="K26" s="968">
        <f>SUM(K23:K25)</f>
        <v>50.026500000000013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6"/>
      <c r="D27" s="1143"/>
      <c r="E27" s="1163" t="s">
        <v>782</v>
      </c>
      <c r="F27" s="1217"/>
      <c r="G27" s="1048"/>
      <c r="H27" s="1164"/>
      <c r="I27" s="1212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6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8" t="s">
        <v>434</v>
      </c>
      <c r="J28" s="975"/>
      <c r="K28" s="973">
        <f>PGL_Requirements!O7/1000</f>
        <v>10</v>
      </c>
      <c r="L28" s="305"/>
      <c r="M28" s="956" t="s">
        <v>10</v>
      </c>
      <c r="N28" s="512"/>
      <c r="O28" s="972" t="s">
        <v>10</v>
      </c>
    </row>
    <row r="29" spans="1:15" ht="15.6" thickBot="1">
      <c r="A29" s="423" t="s">
        <v>773</v>
      </c>
      <c r="B29" s="322">
        <f>PGL_Supplies!S7/1000</f>
        <v>0</v>
      </c>
      <c r="C29" s="350"/>
      <c r="D29" s="1143"/>
      <c r="E29" s="1171" t="s">
        <v>467</v>
      </c>
      <c r="F29" s="1218"/>
      <c r="G29" s="986"/>
      <c r="H29" s="1172"/>
      <c r="I29" s="1208" t="s">
        <v>435</v>
      </c>
      <c r="J29" s="976"/>
      <c r="K29" s="1180">
        <f>-PGL_Supplies!L7/1000</f>
        <v>0</v>
      </c>
      <c r="L29" s="305"/>
      <c r="M29" s="973" t="s">
        <v>10</v>
      </c>
      <c r="N29" s="512"/>
      <c r="O29" s="977" t="s">
        <v>10</v>
      </c>
    </row>
    <row r="30" spans="1:15" ht="16.2" thickBot="1">
      <c r="A30" s="557" t="s">
        <v>441</v>
      </c>
      <c r="B30" s="979">
        <f>-B26+B27-B28+B29</f>
        <v>0</v>
      </c>
      <c r="C30" s="980"/>
      <c r="D30" s="530"/>
      <c r="E30" s="1174" t="s">
        <v>783</v>
      </c>
      <c r="F30" s="1198"/>
      <c r="G30" s="1060"/>
      <c r="H30" s="1147"/>
      <c r="I30" s="1213" t="s">
        <v>195</v>
      </c>
      <c r="J30" s="1177"/>
      <c r="K30" s="1077">
        <f>-PGL_Supplies!AC7/1000</f>
        <v>-51.445</v>
      </c>
      <c r="L30" s="1178"/>
      <c r="M30" s="1077">
        <f>-PGL_Supplies!AC7/1000</f>
        <v>-51.445</v>
      </c>
      <c r="N30" s="1179"/>
      <c r="O30" s="1243">
        <f>-PGL_Supplies!AC7/1000</f>
        <v>-51.445</v>
      </c>
    </row>
    <row r="31" spans="1:15" ht="16.2" thickBot="1">
      <c r="A31" s="356" t="s">
        <v>10</v>
      </c>
      <c r="B31" s="1244" t="s">
        <v>419</v>
      </c>
      <c r="C31" s="357"/>
      <c r="D31" s="358"/>
      <c r="E31" s="159" t="s">
        <v>784</v>
      </c>
      <c r="F31" s="1220"/>
      <c r="G31" s="1058"/>
      <c r="H31" s="1173"/>
      <c r="I31" s="327" t="s">
        <v>200</v>
      </c>
      <c r="J31" s="326"/>
      <c r="K31" s="1186"/>
      <c r="L31" s="1187"/>
      <c r="M31" s="329"/>
      <c r="N31" s="329"/>
      <c r="O31" s="329"/>
    </row>
    <row r="32" spans="1:15" ht="16.2" thickBot="1">
      <c r="A32" s="368" t="s">
        <v>478</v>
      </c>
      <c r="B32" s="386">
        <f>PGL_Requirements!E7/1000</f>
        <v>0</v>
      </c>
      <c r="C32" s="538"/>
      <c r="D32" s="386" t="s">
        <v>10</v>
      </c>
      <c r="E32" s="549" t="s">
        <v>785</v>
      </c>
      <c r="F32" s="1221"/>
      <c r="G32" s="428"/>
      <c r="H32" s="1031"/>
      <c r="I32" s="1212" t="s">
        <v>458</v>
      </c>
      <c r="J32" s="521"/>
      <c r="K32" s="1251"/>
      <c r="L32" s="1228" t="s">
        <v>791</v>
      </c>
      <c r="M32" s="121"/>
      <c r="N32" s="1258"/>
      <c r="O32" s="1256"/>
    </row>
    <row r="33" spans="1:15">
      <c r="A33" s="368" t="s">
        <v>479</v>
      </c>
      <c r="B33" s="981">
        <f>PGL_Supplies!E7/1000</f>
        <v>4.8</v>
      </c>
      <c r="C33" s="981" t="s">
        <v>10</v>
      </c>
      <c r="D33" s="982" t="s">
        <v>10</v>
      </c>
      <c r="E33" s="121"/>
      <c r="F33" s="121"/>
      <c r="G33" s="121"/>
      <c r="H33" s="160"/>
      <c r="I33" s="1214" t="s">
        <v>459</v>
      </c>
      <c r="J33" s="1255"/>
      <c r="K33" s="1252"/>
      <c r="L33" s="1188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168.27500000000001</v>
      </c>
      <c r="C34" s="981" t="s">
        <v>10</v>
      </c>
      <c r="D34" s="982" t="s">
        <v>10</v>
      </c>
      <c r="E34" s="121"/>
      <c r="F34" s="121"/>
      <c r="G34" s="121"/>
      <c r="H34" s="160"/>
      <c r="I34" s="1215" t="s">
        <v>460</v>
      </c>
      <c r="J34" s="547"/>
      <c r="K34" s="1253"/>
      <c r="L34" s="1188" t="s">
        <v>468</v>
      </c>
      <c r="M34" s="1061"/>
      <c r="N34" s="1059"/>
      <c r="O34" s="805"/>
    </row>
    <row r="35" spans="1:15" ht="15.6" thickBot="1">
      <c r="A35" s="1134" t="s">
        <v>614</v>
      </c>
      <c r="B35" s="981">
        <f>PGL_Supplies!T7/1000</f>
        <v>17.167000000000002</v>
      </c>
      <c r="C35" s="981" t="s">
        <v>10</v>
      </c>
      <c r="D35" s="985"/>
      <c r="E35" s="121"/>
      <c r="F35" s="121"/>
      <c r="G35" s="121"/>
      <c r="H35" s="160"/>
      <c r="I35" s="1215" t="s">
        <v>461</v>
      </c>
      <c r="J35" s="547"/>
      <c r="K35" s="1252"/>
      <c r="L35" s="1189" t="s">
        <v>469</v>
      </c>
      <c r="M35" s="1061"/>
      <c r="N35" s="1059"/>
      <c r="O35" s="805"/>
    </row>
    <row r="36" spans="1:15" ht="16.2" thickBot="1">
      <c r="A36" s="1191" t="s">
        <v>679</v>
      </c>
      <c r="B36" s="1217">
        <f>-B32+B33+B34+B35*0.5</f>
        <v>181.6585</v>
      </c>
      <c r="C36" s="1048"/>
      <c r="D36" s="1033" t="s">
        <v>10</v>
      </c>
      <c r="E36" s="121"/>
      <c r="F36" s="121"/>
      <c r="G36" s="121"/>
      <c r="H36" s="160"/>
      <c r="I36" s="1215" t="s">
        <v>462</v>
      </c>
      <c r="J36" s="547"/>
      <c r="K36" s="1252"/>
      <c r="L36" s="1189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0" t="s">
        <v>463</v>
      </c>
      <c r="J37" s="547"/>
      <c r="K37" s="1252"/>
      <c r="L37" s="1190" t="s">
        <v>470</v>
      </c>
      <c r="M37" s="1061"/>
      <c r="N37" s="1059"/>
      <c r="O37" s="805"/>
    </row>
    <row r="38" spans="1:15" ht="15.6" thickBot="1">
      <c r="A38" s="1130" t="s">
        <v>803</v>
      </c>
      <c r="B38" s="322">
        <f>B36-B37-B39</f>
        <v>179.6585</v>
      </c>
      <c r="C38" s="1037" t="s">
        <v>10</v>
      </c>
      <c r="D38" s="1035" t="s">
        <v>10</v>
      </c>
      <c r="E38" s="121"/>
      <c r="F38" s="121"/>
      <c r="G38" s="121"/>
      <c r="H38" s="121"/>
      <c r="I38" s="1236" t="s">
        <v>464</v>
      </c>
      <c r="J38" s="547"/>
      <c r="K38" s="1252"/>
      <c r="L38" s="592" t="s">
        <v>471</v>
      </c>
      <c r="M38" s="121"/>
      <c r="N38" s="1105"/>
      <c r="O38" s="1257"/>
    </row>
    <row r="39" spans="1:15" ht="16.2" thickBot="1">
      <c r="A39" s="1131" t="s">
        <v>804</v>
      </c>
      <c r="B39" s="1241">
        <f>F24</f>
        <v>2</v>
      </c>
      <c r="C39" s="1059"/>
      <c r="D39" s="1123" t="s">
        <v>10</v>
      </c>
      <c r="E39" s="121"/>
      <c r="F39" s="121"/>
      <c r="G39" s="121"/>
      <c r="H39" s="121"/>
      <c r="I39" s="1237" t="s">
        <v>465</v>
      </c>
      <c r="J39" s="582"/>
      <c r="K39" s="1254"/>
      <c r="L39" s="549" t="s">
        <v>222</v>
      </c>
      <c r="M39" s="428"/>
      <c r="N39" s="428"/>
      <c r="O39" s="430"/>
    </row>
    <row r="40" spans="1:15" ht="16.2" thickBot="1">
      <c r="A40" s="1136" t="s">
        <v>2</v>
      </c>
      <c r="B40" s="1242">
        <f>B37+B38+B39</f>
        <v>181.6585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2"/>
      <c r="L40" s="1196" t="s">
        <v>793</v>
      </c>
      <c r="M40" s="119"/>
      <c r="N40" s="119" t="s">
        <v>794</v>
      </c>
      <c r="O40" s="1193"/>
    </row>
    <row r="41" spans="1:15" ht="15.6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4"/>
      <c r="K41" s="1194"/>
      <c r="L41" s="1195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4"/>
      <c r="K42" s="592"/>
      <c r="L42" s="1185"/>
    </row>
    <row r="43" spans="1:15">
      <c r="I43" s="121"/>
      <c r="J43" s="1184"/>
      <c r="K43" s="592"/>
      <c r="L43" s="1185"/>
    </row>
    <row r="44" spans="1:15">
      <c r="I44" s="121"/>
      <c r="J44" s="8"/>
      <c r="K44" s="8"/>
      <c r="L44" s="118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>
      <selection activeCell="C3" sqref="C3"/>
    </sheetView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SUN</v>
      </c>
      <c r="G1" s="1246">
        <f>Weather_Input!A5</f>
        <v>37052</v>
      </c>
      <c r="H1" s="587" t="s">
        <v>256</v>
      </c>
      <c r="I1" s="591"/>
    </row>
    <row r="2" spans="1:9" ht="20.399999999999999">
      <c r="A2" s="638" t="s">
        <v>10</v>
      </c>
      <c r="B2" s="786" t="s">
        <v>551</v>
      </c>
      <c r="C2" s="945" t="s">
        <v>10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1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86</v>
      </c>
      <c r="C4" s="754">
        <f>Weather_Input!C5</f>
        <v>66</v>
      </c>
      <c r="D4" s="648"/>
      <c r="E4" s="649"/>
      <c r="F4" s="648"/>
      <c r="G4" s="649"/>
      <c r="H4" s="650"/>
      <c r="I4" s="651"/>
    </row>
    <row r="5" spans="1:9" ht="23.4" thickBot="1">
      <c r="A5" s="652" t="s">
        <v>137</v>
      </c>
      <c r="B5" s="653"/>
      <c r="C5" s="654">
        <f>NSG_Deliveries!C5/1000</f>
        <v>36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3.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9.1750000000000007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2.8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2.8">
      <c r="A12" s="673" t="s">
        <v>497</v>
      </c>
      <c r="B12" s="674"/>
      <c r="C12" s="675">
        <f>+C5-C9</f>
        <v>26.824999999999999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3.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.6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3.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.6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3.4" thickBot="1">
      <c r="A19" s="699" t="s">
        <v>426</v>
      </c>
      <c r="B19" s="700"/>
      <c r="C19" s="701">
        <f>C7+C12</f>
        <v>26.824999999999999</v>
      </c>
      <c r="D19" s="702"/>
      <c r="E19" s="703"/>
      <c r="F19" s="702"/>
      <c r="G19" s="702" t="s">
        <v>10</v>
      </c>
      <c r="H19" s="700"/>
      <c r="I19" s="704"/>
    </row>
    <row r="20" spans="1:9" ht="20.399999999999999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399999999999999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399999999999999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399999999999999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5" t="s">
        <v>434</v>
      </c>
      <c r="B24" s="713"/>
      <c r="C24" s="707">
        <f>NSG_Requirements!H7/1000</f>
        <v>2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399999999999999">
      <c r="A25" s="705" t="s">
        <v>435</v>
      </c>
      <c r="B25" s="710"/>
      <c r="C25" s="707">
        <f>-NSG_Supplies!F7/1000</f>
        <v>0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399999999999999">
      <c r="A26" s="705" t="s">
        <v>195</v>
      </c>
      <c r="B26" s="713"/>
      <c r="C26" s="707">
        <f>-NSG_Supplies!R7/1000</f>
        <v>-28.827999999999999</v>
      </c>
      <c r="D26" s="714"/>
      <c r="E26" s="707">
        <f>-NSG_Supplies!R7/1000</f>
        <v>-28.827999999999999</v>
      </c>
      <c r="F26" s="714"/>
      <c r="G26" s="707">
        <f>-NSG_Supplies!R7/1000</f>
        <v>-28.827999999999999</v>
      </c>
      <c r="H26" s="713"/>
      <c r="I26" s="770">
        <f>-NSG_Supplies!R7/1000</f>
        <v>-28.827999999999999</v>
      </c>
    </row>
    <row r="27" spans="1:9" ht="20.399999999999999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3.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1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399999999999999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399999999999999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399999999999999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399999999999999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399999999999999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399999999999999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.6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3.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399999999999999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399999999999999">
      <c r="A41" s="705" t="s">
        <v>505</v>
      </c>
      <c r="B41" s="814">
        <f>NSG_Requirements!J7/1000</f>
        <v>6.04</v>
      </c>
      <c r="C41" s="714"/>
      <c r="D41" s="732"/>
      <c r="E41" s="715"/>
      <c r="F41" s="639"/>
      <c r="G41" s="711"/>
      <c r="H41" s="711"/>
      <c r="I41" s="730"/>
    </row>
    <row r="42" spans="1:9" ht="20.399999999999999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399999999999999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399999999999999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.6" thickBot="1">
      <c r="A46" s="737" t="s">
        <v>503</v>
      </c>
      <c r="B46" s="816">
        <f>B45+B42-B41</f>
        <v>9.1750000000000007</v>
      </c>
      <c r="C46" s="745"/>
      <c r="D46" s="744"/>
      <c r="E46" s="746"/>
      <c r="F46" s="639"/>
      <c r="G46" s="711"/>
      <c r="H46" s="711"/>
      <c r="I46" s="730"/>
    </row>
    <row r="47" spans="1:9" ht="23.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399999999999999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399999999999999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399999999999999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3.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399999999999999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.6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37052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86</v>
      </c>
      <c r="C5" s="264">
        <f>Weather_Input!C5</f>
        <v>66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190</v>
      </c>
      <c r="C8" s="272">
        <f>NSG_Deliveries!C5/1000</f>
        <v>36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146.55599999999998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-48.84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3.5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-110.21599999999998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79.78400000000002</v>
      </c>
      <c r="C20" s="293">
        <f>C8+C18+C19</f>
        <v>36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2.3250000000000002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82.109000000000023</v>
      </c>
      <c r="C23" s="299">
        <f>C20</f>
        <v>36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0.72</v>
      </c>
      <c r="C27" s="308">
        <f>NSG_Requirements!P7/1000</f>
        <v>0</v>
      </c>
      <c r="D27" s="308">
        <f>PGL_Requirements!R7/1000</f>
        <v>0.72</v>
      </c>
      <c r="E27" s="308">
        <f>NSG_Requirements!P7/1000</f>
        <v>0</v>
      </c>
      <c r="F27" s="308">
        <f>PGL_Requirements!R7/1000</f>
        <v>0.72</v>
      </c>
      <c r="G27" s="308">
        <f>NSG_Requirements!P7/1000</f>
        <v>0</v>
      </c>
      <c r="H27" s="309">
        <f>+B27</f>
        <v>0.72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-51.445</v>
      </c>
      <c r="C32" s="313">
        <f>-NSG_Supplies!R7/1000</f>
        <v>-28.827999999999999</v>
      </c>
      <c r="D32" s="313">
        <f>B32</f>
        <v>-51.445</v>
      </c>
      <c r="E32" s="313">
        <f>C32</f>
        <v>-28.827999999999999</v>
      </c>
      <c r="F32" s="313">
        <f>B32</f>
        <v>-51.445</v>
      </c>
      <c r="G32" s="313">
        <f>C32</f>
        <v>-28.827999999999999</v>
      </c>
      <c r="H32" s="318">
        <f>B32</f>
        <v>-51.445</v>
      </c>
      <c r="I32" s="319">
        <f>C32</f>
        <v>-28.827999999999999</v>
      </c>
    </row>
    <row r="33" spans="1:9" ht="17.100000000000001" customHeight="1">
      <c r="A33" s="317" t="s">
        <v>391</v>
      </c>
      <c r="B33" s="313">
        <f>-PGL_Supplies!X7/1000</f>
        <v>0</v>
      </c>
      <c r="C33" s="313">
        <f>-NSG_Supplies!S7/1000</f>
        <v>-16.754000000000001</v>
      </c>
      <c r="D33" s="313">
        <f>B33</f>
        <v>0</v>
      </c>
      <c r="E33" s="313">
        <f>C33</f>
        <v>-16.754000000000001</v>
      </c>
      <c r="F33" s="313">
        <f>B33</f>
        <v>0</v>
      </c>
      <c r="G33" s="313">
        <f>C33</f>
        <v>-16.754000000000001</v>
      </c>
      <c r="H33" s="318">
        <f>B33</f>
        <v>0</v>
      </c>
      <c r="I33" s="319">
        <f>C33</f>
        <v>-16.754000000000001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10</v>
      </c>
      <c r="C35" s="308">
        <f>NSG_Requirements!H7/1000</f>
        <v>2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0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155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2.3250000000000002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2.3250000000000002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146.85599999999999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0.3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146.55599999999998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0.2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0.2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0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106.16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155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-48.84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SUN</v>
      </c>
      <c r="H73" s="404">
        <f>Weather_Input!A5</f>
        <v>37052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6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6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2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2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10</v>
      </c>
      <c r="D97" s="600"/>
      <c r="E97" s="612">
        <f>+C97</f>
        <v>10</v>
      </c>
      <c r="F97" s="600"/>
      <c r="G97" s="612">
        <f>+C97</f>
        <v>10</v>
      </c>
      <c r="H97" s="600"/>
      <c r="I97" s="283">
        <f>+C97</f>
        <v>10</v>
      </c>
    </row>
    <row r="98" spans="1:9" ht="15">
      <c r="A98" s="491" t="s">
        <v>59</v>
      </c>
      <c r="B98" s="280" t="s">
        <v>10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-153.14400000000001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106.16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3.5</v>
      </c>
      <c r="D103" s="618"/>
      <c r="E103" s="267"/>
      <c r="F103" s="600"/>
      <c r="G103" s="267"/>
      <c r="H103" s="600"/>
      <c r="I103" s="265"/>
    </row>
    <row r="104" spans="1:9" ht="15.6" thickBot="1">
      <c r="A104" s="290" t="s">
        <v>108</v>
      </c>
      <c r="B104" s="613" t="s">
        <v>10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2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2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6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2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6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6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6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6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6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0</v>
      </c>
      <c r="C123" s="313">
        <f>-NSG_Supplies!S7/1000</f>
        <v>-16.754000000000001</v>
      </c>
      <c r="D123" s="311"/>
      <c r="E123" s="311"/>
      <c r="F123" s="311"/>
      <c r="G123" s="311"/>
      <c r="H123" s="315"/>
      <c r="I123" s="316"/>
    </row>
    <row r="124" spans="1:9" ht="16.2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0.2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10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6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2" thickBot="1">
      <c r="A133" s="557" t="s">
        <v>441</v>
      </c>
      <c r="B133" s="564">
        <f>B126+B127+B130+B131+B132-B125-B128-B129</f>
        <v>10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6.2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300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6" thickBot="1">
      <c r="A140" s="423" t="s">
        <v>391</v>
      </c>
      <c r="B140" s="322">
        <f>PGL_Supplies!V7/1000</f>
        <v>146.85599999999999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2" thickBot="1">
      <c r="A141" s="557" t="s">
        <v>441</v>
      </c>
      <c r="B141" s="559">
        <f>-B135+B136+B137-B138+B139+B140</f>
        <v>-153.14400000000001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2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155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6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6" thickBot="1">
      <c r="A146" s="423" t="s">
        <v>448</v>
      </c>
      <c r="B146" s="322">
        <f>PGL_Supplies!H7/1000</f>
        <v>1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2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6" thickBot="1">
      <c r="A148" s="423" t="s">
        <v>449</v>
      </c>
      <c r="B148" s="322">
        <f>PGL_Requirements!Q7/1000</f>
        <v>2.3250000000000002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2" thickBot="1">
      <c r="A149" s="516" t="s">
        <v>450</v>
      </c>
      <c r="B149" s="517">
        <f>B144+B146</f>
        <v>1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6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2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6.2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6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6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6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2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6" thickBot="1">
      <c r="A160" s="423" t="s">
        <v>391</v>
      </c>
      <c r="B160" s="609">
        <f>PGL_Supplies!Y7/1000</f>
        <v>106.16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2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2" thickBot="1">
      <c r="A162" s="397" t="s">
        <v>450</v>
      </c>
      <c r="B162" s="610">
        <f>B154+B156+B158+B159+B160-B153-B155-B157-B161</f>
        <v>106.16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6">
      <c r="D11" s="196" t="s">
        <v>262</v>
      </c>
    </row>
    <row r="12" spans="1:10" ht="15.6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37053.155636574076</v>
      </c>
      <c r="F22" s="163" t="s">
        <v>269</v>
      </c>
      <c r="G22" s="190">
        <f ca="1">NOW()</f>
        <v>37053.155636574076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6" thickBot="1"/>
    <row r="26" spans="2:9" ht="15.6" thickBot="1">
      <c r="B26" s="208" t="s">
        <v>10</v>
      </c>
      <c r="C26" s="163" t="s">
        <v>273</v>
      </c>
    </row>
    <row r="27" spans="2:9" ht="15.6" thickBot="1">
      <c r="B27" s="208" t="s">
        <v>10</v>
      </c>
      <c r="C27" s="163" t="s">
        <v>274</v>
      </c>
    </row>
    <row r="28" spans="2:9" ht="15.6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6">
      <c r="B34" s="163" t="s">
        <v>276</v>
      </c>
      <c r="E34" s="189">
        <v>0</v>
      </c>
      <c r="F34" t="s">
        <v>277</v>
      </c>
    </row>
    <row r="36" spans="2:8" ht="15.6">
      <c r="B36" s="163" t="s">
        <v>278</v>
      </c>
      <c r="E36" s="189">
        <v>0</v>
      </c>
      <c r="F36" t="s">
        <v>277</v>
      </c>
    </row>
    <row r="38" spans="2:8" ht="15.6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6">
      <c r="E39" s="165">
        <f>+E38+1</f>
        <v>35917</v>
      </c>
      <c r="F39" s="189">
        <v>0</v>
      </c>
      <c r="G39" t="s">
        <v>277</v>
      </c>
    </row>
    <row r="40" spans="2:8" ht="15.6">
      <c r="E40" s="165">
        <f>+E39+1</f>
        <v>35918</v>
      </c>
      <c r="F40" s="189">
        <v>0</v>
      </c>
      <c r="G40" t="s">
        <v>277</v>
      </c>
    </row>
    <row r="41" spans="2:8" ht="15.6">
      <c r="E41" s="165">
        <f>+E40+1</f>
        <v>35919</v>
      </c>
      <c r="F41" s="189">
        <v>0</v>
      </c>
      <c r="G41" t="s">
        <v>277</v>
      </c>
    </row>
    <row r="42" spans="2:8" ht="15.6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37052</v>
      </c>
      <c r="C5" s="15"/>
      <c r="D5" s="22" t="s">
        <v>287</v>
      </c>
      <c r="E5" s="23">
        <f>Weather_Input!B5</f>
        <v>86</v>
      </c>
      <c r="F5" s="24" t="s">
        <v>288</v>
      </c>
      <c r="G5" s="25">
        <f>Weather_Input!H5</f>
        <v>0</v>
      </c>
      <c r="H5" s="26" t="s">
        <v>289</v>
      </c>
      <c r="I5" s="27">
        <f ca="1">G5-(VLOOKUP(B5,DD_Normal_Data,CELL("Col",B6),FALSE))</f>
        <v>-3</v>
      </c>
    </row>
    <row r="6" spans="1:109" ht="15">
      <c r="A6" s="18"/>
      <c r="B6" s="21"/>
      <c r="C6" s="15"/>
      <c r="D6" s="22" t="s">
        <v>174</v>
      </c>
      <c r="E6" s="23">
        <f>Weather_Input!C5</f>
        <v>66</v>
      </c>
      <c r="F6" s="24" t="s">
        <v>290</v>
      </c>
      <c r="G6" s="25">
        <f>Weather_Input!F5</f>
        <v>77</v>
      </c>
      <c r="H6" s="26" t="s">
        <v>291</v>
      </c>
      <c r="I6" s="27">
        <f ca="1">G6-(VLOOKUP(B5,DD_Normal_Data,CELL("Col",C7),FALSE))</f>
        <v>44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76</v>
      </c>
      <c r="F7" s="24" t="s">
        <v>293</v>
      </c>
      <c r="G7" s="25">
        <f>Weather_Input!G5</f>
        <v>6689</v>
      </c>
      <c r="H7" s="26" t="s">
        <v>293</v>
      </c>
      <c r="I7" s="122">
        <f ca="1">G7-(VLOOKUP(B5,DD_Normal_Data,CELL("Col",D4),FALSE))</f>
        <v>280</v>
      </c>
      <c r="J7" s="122"/>
    </row>
    <row r="8" spans="1:109" ht="15">
      <c r="A8" s="18"/>
      <c r="B8" s="20"/>
      <c r="C8" s="15"/>
      <c r="D8" s="32" t="str">
        <f>IF(Weather_Input!I5=""," ",Weather_Input!I5)</f>
        <v>PARTLY CLOUDY. A 40% CHANCE OF SHOWERS AND T'STORMS…ESPECIALLY IN AF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TERNOON. S.W. WINDS 10/20 MPH. OVERNIGHT…PARTLY CLOUDY. 40% CHANCE T'STM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37053</v>
      </c>
      <c r="C10" s="15"/>
      <c r="D10" s="152" t="s">
        <v>287</v>
      </c>
      <c r="E10" s="23">
        <f>Weather_Input!B6</f>
        <v>89</v>
      </c>
      <c r="F10" s="24" t="s">
        <v>288</v>
      </c>
      <c r="G10" s="25">
        <f>IF(E12&lt;65,65-(Weather_Input!B6+Weather_Input!C6)/2,0)</f>
        <v>0</v>
      </c>
      <c r="H10" s="26" t="s">
        <v>289</v>
      </c>
      <c r="I10" s="27">
        <f ca="1">G10-(VLOOKUP(B10,DD_Normal_Data,CELL("Col",B11),FALSE))</f>
        <v>-3</v>
      </c>
    </row>
    <row r="11" spans="1:109" ht="15">
      <c r="A11" s="18"/>
      <c r="B11" s="21"/>
      <c r="C11" s="15"/>
      <c r="D11" s="22" t="s">
        <v>174</v>
      </c>
      <c r="E11" s="23">
        <f>Weather_Input!C6</f>
        <v>68</v>
      </c>
      <c r="F11" s="24" t="s">
        <v>290</v>
      </c>
      <c r="G11" s="25">
        <f>IF(DAY(B10)=1,G10,G6+G10)</f>
        <v>77</v>
      </c>
      <c r="H11" s="30" t="s">
        <v>291</v>
      </c>
      <c r="I11" s="27">
        <f ca="1">G11-(VLOOKUP(B10,DD_Normal_Data,CELL("Col",C12),FALSE))</f>
        <v>41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78.5</v>
      </c>
      <c r="F12" s="24" t="s">
        <v>293</v>
      </c>
      <c r="G12" s="25">
        <f>IF(AND(DAY(B10)=1,MONTH(B10)=8),G10,G7+G10)</f>
        <v>6689</v>
      </c>
      <c r="H12" s="26" t="s">
        <v>293</v>
      </c>
      <c r="I12" s="27">
        <f ca="1">G12-(VLOOKUP(B10,DD_Normal_Data,CELL("Col",D9),FALSE))</f>
        <v>277</v>
      </c>
    </row>
    <row r="13" spans="1:109" ht="15">
      <c r="A13" s="18"/>
      <c r="B13" s="21"/>
      <c r="C13" s="15"/>
      <c r="D13" s="32" t="str">
        <f>IF(Weather_Input!I6=""," ",Weather_Input!I6)</f>
        <v>PARTLY CLOUDY. OVERNIGHT…PARTLY CLOUDY.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37054</v>
      </c>
      <c r="C15" s="15"/>
      <c r="D15" s="22" t="s">
        <v>287</v>
      </c>
      <c r="E15" s="23">
        <f>Weather_Input!B7</f>
        <v>88</v>
      </c>
      <c r="F15" s="24" t="s">
        <v>288</v>
      </c>
      <c r="G15" s="25">
        <f>IF(E17&lt;65,65-(Weather_Input!B7+Weather_Input!C7)/2,0)</f>
        <v>0</v>
      </c>
      <c r="H15" s="26" t="s">
        <v>289</v>
      </c>
      <c r="I15" s="27">
        <f ca="1">G15-(VLOOKUP(B15,DD_Normal_Data,CELL("Col",B16),FALSE))</f>
        <v>-2</v>
      </c>
    </row>
    <row r="16" spans="1:109" ht="15">
      <c r="A16" s="18"/>
      <c r="B16" s="20"/>
      <c r="C16" s="15"/>
      <c r="D16" s="22" t="s">
        <v>174</v>
      </c>
      <c r="E16" s="23">
        <f>Weather_Input!C7</f>
        <v>69</v>
      </c>
      <c r="F16" s="24" t="s">
        <v>290</v>
      </c>
      <c r="G16" s="25">
        <f>IF(DAY(B15)=1,G15,G11+G15)</f>
        <v>77</v>
      </c>
      <c r="H16" s="30" t="s">
        <v>291</v>
      </c>
      <c r="I16" s="27">
        <f ca="1">G16-(VLOOKUP(B15,DD_Normal_Data,CELL("Col",C17),FALSE))</f>
        <v>39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78.5</v>
      </c>
      <c r="F17" s="24" t="s">
        <v>293</v>
      </c>
      <c r="G17" s="25">
        <f>IF(AND(DAY(B15)=1,MONTH(B15)=8),G15,G12+G15)</f>
        <v>6689</v>
      </c>
      <c r="H17" s="26" t="s">
        <v>293</v>
      </c>
      <c r="I17" s="27">
        <f ca="1">G17-(VLOOKUP(B15,DD_Normal_Data,CELL("Col",D14),FALSE))</f>
        <v>275</v>
      </c>
    </row>
    <row r="18" spans="1:109" ht="15">
      <c r="A18" s="18"/>
      <c r="B18" s="20"/>
      <c r="C18" s="15"/>
      <c r="D18" s="32" t="str">
        <f>IF(Weather_Input!I7=""," ",Weather_Input!I7)</f>
        <v xml:space="preserve">A CHANCE OF SHOWERS AND T'STORMS.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37055</v>
      </c>
      <c r="C20" s="15"/>
      <c r="D20" s="22" t="s">
        <v>287</v>
      </c>
      <c r="E20" s="23">
        <f>Weather_Input!B8</f>
        <v>88</v>
      </c>
      <c r="F20" s="24" t="s">
        <v>288</v>
      </c>
      <c r="G20" s="25">
        <f>IF(E22&lt;65,65-(Weather_Input!B8+Weather_Input!C8)/2,0)</f>
        <v>0</v>
      </c>
      <c r="H20" s="26" t="s">
        <v>289</v>
      </c>
      <c r="I20" s="27">
        <f ca="1">G20-(VLOOKUP(B20,DD_Normal_Data,CELL("Col",B21),FALSE))</f>
        <v>-2</v>
      </c>
    </row>
    <row r="21" spans="1:109" ht="15">
      <c r="A21" s="18"/>
      <c r="B21" s="21"/>
      <c r="C21" s="15"/>
      <c r="D21" s="22" t="s">
        <v>174</v>
      </c>
      <c r="E21" s="23">
        <f>Weather_Input!C8</f>
        <v>69</v>
      </c>
      <c r="F21" s="24" t="s">
        <v>290</v>
      </c>
      <c r="G21" s="25">
        <f>IF(DAY(B20)=1,G20,G16+G20)</f>
        <v>77</v>
      </c>
      <c r="H21" s="30" t="s">
        <v>291</v>
      </c>
      <c r="I21" s="27">
        <f ca="1">G21-(VLOOKUP(B20,DD_Normal_Data,CELL("Col",C22),FALSE))</f>
        <v>37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78.5</v>
      </c>
      <c r="F22" s="24" t="s">
        <v>293</v>
      </c>
      <c r="G22" s="25">
        <f>IF(AND(DAY(B20)=1,MONTH(B20)=8),G20,G17+G20)</f>
        <v>6689</v>
      </c>
      <c r="H22" s="26" t="s">
        <v>293</v>
      </c>
      <c r="I22" s="27">
        <f ca="1">G22-(VLOOKUP(B20,DD_Normal_Data,CELL("Col",D19),FALSE))</f>
        <v>273</v>
      </c>
    </row>
    <row r="23" spans="1:109" ht="15">
      <c r="A23" s="18"/>
      <c r="B23" s="21"/>
      <c r="C23" s="15"/>
      <c r="D23" s="32" t="str">
        <f>IF(Weather_Input!I8=""," ",Weather_Input!I8)</f>
        <v>PARTLY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37056</v>
      </c>
      <c r="C25" s="15"/>
      <c r="D25" s="22" t="s">
        <v>287</v>
      </c>
      <c r="E25" s="23">
        <f>Weather_Input!B9</f>
        <v>85</v>
      </c>
      <c r="F25" s="24" t="s">
        <v>288</v>
      </c>
      <c r="G25" s="25">
        <f>IF(E27&lt;65,65-(Weather_Input!B9+Weather_Input!C9)/2,0)</f>
        <v>0</v>
      </c>
      <c r="H25" s="26" t="s">
        <v>289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174</v>
      </c>
      <c r="E26" s="23">
        <f>Weather_Input!C9</f>
        <v>67</v>
      </c>
      <c r="F26" s="24" t="s">
        <v>290</v>
      </c>
      <c r="G26" s="25">
        <f>IF(DAY(B25)=1,G25,G21+G25)</f>
        <v>77</v>
      </c>
      <c r="H26" s="30" t="s">
        <v>291</v>
      </c>
      <c r="I26" s="27">
        <f ca="1">G26-(VLOOKUP(B25,DD_Normal_Data,CELL("Col",C27),FALSE))</f>
        <v>36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76</v>
      </c>
      <c r="F27" s="24" t="s">
        <v>293</v>
      </c>
      <c r="G27" s="25">
        <f>IF(AND(DAY(B25)=1,MONTH(B25)=8),G25,G22+G25)</f>
        <v>6689</v>
      </c>
      <c r="H27" s="26" t="s">
        <v>293</v>
      </c>
      <c r="I27" s="27">
        <f ca="1">G27-(VLOOKUP(B25,DD_Normal_Data,CELL("Col",D24),FALSE))</f>
        <v>272</v>
      </c>
    </row>
    <row r="28" spans="1:109" ht="15">
      <c r="A28" s="18"/>
      <c r="B28" s="20"/>
      <c r="C28" s="15"/>
      <c r="D28" s="32" t="str">
        <f>IF(Weather_Input!I9=""," ",Weather_Input!I9)</f>
        <v>A CHANCE OF T'STORMS.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37057</v>
      </c>
      <c r="C30" s="15"/>
      <c r="D30" s="22" t="s">
        <v>287</v>
      </c>
      <c r="E30" s="23">
        <f>Weather_Input!B10</f>
        <v>85</v>
      </c>
      <c r="F30" s="24" t="s">
        <v>288</v>
      </c>
      <c r="G30" s="25">
        <f>IF(E32&lt;65,65-(Weather_Input!B10+Weather_Input!C10)/2,0)</f>
        <v>0</v>
      </c>
      <c r="H30" s="26" t="s">
        <v>289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174</v>
      </c>
      <c r="E31" s="23">
        <f>Weather_Input!C10</f>
        <v>67</v>
      </c>
      <c r="F31" s="24" t="s">
        <v>290</v>
      </c>
      <c r="G31" s="25">
        <f>IF(DAY(B30)=1,G30,G26+G30)</f>
        <v>77</v>
      </c>
      <c r="H31" s="30" t="s">
        <v>291</v>
      </c>
      <c r="I31" s="27">
        <f ca="1">G31-(VLOOKUP(B30,DD_Normal_Data,CELL("Col",C32),FALSE))</f>
        <v>35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76</v>
      </c>
      <c r="F32" s="24" t="s">
        <v>293</v>
      </c>
      <c r="G32" s="25">
        <f>IF(AND(DAY(B30)=1,MONTH(B30)=8),G30,G27+G30)</f>
        <v>6689</v>
      </c>
      <c r="H32" s="26" t="s">
        <v>293</v>
      </c>
      <c r="I32" s="27">
        <f ca="1">G32-(VLOOKUP(B30,DD_Normal_Data,CELL("Col",D29),FALSE))</f>
        <v>271</v>
      </c>
    </row>
    <row r="33" spans="1:9" ht="15">
      <c r="A33" s="15"/>
      <c r="B33" s="34"/>
      <c r="C33" s="15"/>
      <c r="D33" s="32" t="str">
        <f>IF(Weather_Input!I10=""," ",Weather_Input!I10)</f>
        <v>A CHANCE OF T'STORMS.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37052</v>
      </c>
      <c r="C36" s="91">
        <f>B10</f>
        <v>37053</v>
      </c>
      <c r="D36" s="91">
        <f>B15</f>
        <v>37054</v>
      </c>
      <c r="E36" s="91">
        <f xml:space="preserve">       B20</f>
        <v>37055</v>
      </c>
      <c r="F36" s="91">
        <f>B25</f>
        <v>37056</v>
      </c>
      <c r="G36" s="91">
        <f>B30</f>
        <v>37057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190</v>
      </c>
      <c r="C37" s="41">
        <f ca="1">(VLOOKUP(C36,PGL_Sendouts,(CELL("COL",PGL_Deliveries!C7))))/1000</f>
        <v>220</v>
      </c>
      <c r="D37" s="41">
        <f ca="1">(VLOOKUP(D36,PGL_Sendouts,(CELL("COL",PGL_Deliveries!C8))))/1000</f>
        <v>220</v>
      </c>
      <c r="E37" s="41">
        <f ca="1">(VLOOKUP(E36,PGL_Sendouts,(CELL("COL",PGL_Deliveries!C9))))/1000</f>
        <v>220</v>
      </c>
      <c r="F37" s="41">
        <f ca="1">(VLOOKUP(F36,PGL_Sendouts,(CELL("COL",PGL_Deliveries!C10))))/1000</f>
        <v>230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298</v>
      </c>
      <c r="B38" s="41">
        <f>PGL_6_Day_Report!D30</f>
        <v>368.04500000000002</v>
      </c>
      <c r="C38" s="41">
        <f>PGL_6_Day_Report!E30</f>
        <v>377.745</v>
      </c>
      <c r="D38" s="41">
        <f>PGL_6_Day_Report!F30</f>
        <v>357.745</v>
      </c>
      <c r="E38" s="41">
        <f>PGL_6_Day_Report!G30</f>
        <v>357.745</v>
      </c>
      <c r="F38" s="41">
        <f>PGL_6_Day_Report!H30</f>
        <v>367.745</v>
      </c>
      <c r="G38" s="41">
        <f>PGL_6_Day_Report!I30</f>
        <v>347.745</v>
      </c>
      <c r="H38" s="14"/>
      <c r="I38" s="15"/>
    </row>
    <row r="39" spans="1:9" ht="15">
      <c r="A39" s="42" t="s">
        <v>107</v>
      </c>
      <c r="B39" s="41">
        <f>SUM(PGL_Supplies!Z7:AE7)/1000</f>
        <v>223.92</v>
      </c>
      <c r="C39" s="41">
        <f>SUM(PGL_Supplies!Z8:AE8)/1000</f>
        <v>223.46</v>
      </c>
      <c r="D39" s="41">
        <f>SUM(PGL_Supplies!Z9:AE9)/1000</f>
        <v>213.92</v>
      </c>
      <c r="E39" s="41">
        <f>SUM(PGL_Supplies!Z10:AE10)/1000</f>
        <v>213.92</v>
      </c>
      <c r="F39" s="41">
        <f>SUM(PGL_Supplies!Z11:AE11)/1000</f>
        <v>213.92</v>
      </c>
      <c r="G39" s="41">
        <f>SUM(PGL_Supplies!Z12:AE12)/1000</f>
        <v>213.92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0.92</v>
      </c>
      <c r="C41" s="41">
        <f>SUM(PGL_Requirements!R7:U7)/1000</f>
        <v>0.92</v>
      </c>
      <c r="D41" s="41">
        <f>SUM(PGL_Requirements!R7:U7)/1000</f>
        <v>0.92</v>
      </c>
      <c r="E41" s="41">
        <f>SUM(PGL_Requirements!R7:U7)/1000</f>
        <v>0.92</v>
      </c>
      <c r="F41" s="41">
        <f>SUM(PGL_Requirements!R7:U7)/1000</f>
        <v>0.92</v>
      </c>
      <c r="G41" s="41">
        <f>SUM(PGL_Requirements!R7:U7)/1000</f>
        <v>0.92</v>
      </c>
      <c r="H41" s="14"/>
      <c r="I41" s="15"/>
    </row>
    <row r="42" spans="1:9" ht="15">
      <c r="A42" s="15" t="s">
        <v>130</v>
      </c>
      <c r="B42" s="41">
        <f>PGL_Supplies!V7/1000</f>
        <v>146.85599999999999</v>
      </c>
      <c r="C42" s="41">
        <f>PGL_Supplies!V8/1000</f>
        <v>146.85599999999999</v>
      </c>
      <c r="D42" s="41">
        <f>PGL_Supplies!V9/1000</f>
        <v>146.85599999999999</v>
      </c>
      <c r="E42" s="41">
        <f>PGL_Supplies!V10/1000</f>
        <v>146.85599999999999</v>
      </c>
      <c r="F42" s="41">
        <f>PGL_Supplies!V11/1000</f>
        <v>146.85599999999999</v>
      </c>
      <c r="G42" s="41">
        <f>PGL_Supplies!V12/1000</f>
        <v>146.85599999999999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37052</v>
      </c>
      <c r="C44" s="91">
        <f t="shared" si="0"/>
        <v>37053</v>
      </c>
      <c r="D44" s="91">
        <f t="shared" si="0"/>
        <v>37054</v>
      </c>
      <c r="E44" s="91">
        <f t="shared" si="0"/>
        <v>37055</v>
      </c>
      <c r="F44" s="91">
        <f t="shared" si="0"/>
        <v>37056</v>
      </c>
      <c r="G44" s="91">
        <f t="shared" si="0"/>
        <v>37057</v>
      </c>
      <c r="H44" s="14"/>
      <c r="I44" s="15"/>
    </row>
    <row r="45" spans="1:9" ht="15">
      <c r="A45" s="15" t="s">
        <v>55</v>
      </c>
      <c r="B45" s="41">
        <f ca="1">NSG_6_Day_Report!D6</f>
        <v>36</v>
      </c>
      <c r="C45" s="41">
        <f ca="1">NSG_6_Day_Report!E6</f>
        <v>38</v>
      </c>
      <c r="D45" s="41">
        <f ca="1">NSG_6_Day_Report!F6</f>
        <v>38</v>
      </c>
      <c r="E45" s="41">
        <f ca="1">NSG_6_Day_Report!G6</f>
        <v>38</v>
      </c>
      <c r="F45" s="41">
        <f ca="1">NSG_6_Day_Report!H6</f>
        <v>39</v>
      </c>
      <c r="G45" s="41">
        <f ca="1">NSG_6_Day_Report!I6</f>
        <v>36</v>
      </c>
      <c r="H45" s="14"/>
      <c r="I45" s="15"/>
    </row>
    <row r="46" spans="1:9" ht="15">
      <c r="A46" s="42" t="s">
        <v>298</v>
      </c>
      <c r="B46" s="41">
        <f ca="1">NSG_6_Day_Report!D19</f>
        <v>44.04</v>
      </c>
      <c r="C46" s="41">
        <f ca="1">NSG_6_Day_Report!E19</f>
        <v>40</v>
      </c>
      <c r="D46" s="41">
        <f ca="1">NSG_6_Day_Report!F19</f>
        <v>40</v>
      </c>
      <c r="E46" s="41">
        <f ca="1">NSG_6_Day_Report!G19</f>
        <v>40</v>
      </c>
      <c r="F46" s="41">
        <f ca="1">NSG_6_Day_Report!H19</f>
        <v>41</v>
      </c>
      <c r="G46" s="41">
        <f ca="1">NSG_6_Day_Report!I19</f>
        <v>38</v>
      </c>
      <c r="H46" s="14"/>
      <c r="I46" s="15"/>
    </row>
    <row r="47" spans="1:9" ht="15">
      <c r="A47" s="42" t="s">
        <v>107</v>
      </c>
      <c r="B47" s="41">
        <f>SUM(NSG_Supplies!P7:R7)/1000</f>
        <v>44.042999999999999</v>
      </c>
      <c r="C47" s="41">
        <f>SUM(NSG_Supplies!P8:R8)/1000</f>
        <v>44.042999999999999</v>
      </c>
      <c r="D47" s="41">
        <f>SUM(NSG_Supplies!P9:R9)/1000</f>
        <v>44.042999999999999</v>
      </c>
      <c r="E47" s="41">
        <f>SUM(NSG_Supplies!P10:R10)/1000</f>
        <v>44.042999999999999</v>
      </c>
      <c r="F47" s="41">
        <f>SUM(NSG_Supplies!P11:R11)/1000</f>
        <v>44.042999999999999</v>
      </c>
      <c r="G47" s="41">
        <f>SUM(NSG_Supplies!P12:R12)/1000</f>
        <v>44.042999999999999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16.754000000000001</v>
      </c>
      <c r="C50" s="41">
        <f>NSG_Supplies!S8/1000</f>
        <v>16.754000000000001</v>
      </c>
      <c r="D50" s="41">
        <f>NSG_Supplies!S9/1000</f>
        <v>16.754000000000001</v>
      </c>
      <c r="E50" s="41">
        <f>NSG_Supplies!S10/1000</f>
        <v>16.754000000000001</v>
      </c>
      <c r="F50" s="41">
        <f>NSG_Supplies!S11/1000</f>
        <v>16.754000000000001</v>
      </c>
      <c r="G50" s="41">
        <f>NSG_Supplies!S12/1000</f>
        <v>16.754000000000001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37052</v>
      </c>
      <c r="C52" s="91">
        <f t="shared" si="1"/>
        <v>37053</v>
      </c>
      <c r="D52" s="91">
        <f t="shared" si="1"/>
        <v>37054</v>
      </c>
      <c r="E52" s="91">
        <f t="shared" si="1"/>
        <v>37055</v>
      </c>
      <c r="F52" s="91">
        <f t="shared" si="1"/>
        <v>37056</v>
      </c>
      <c r="G52" s="91">
        <f t="shared" si="1"/>
        <v>37057</v>
      </c>
      <c r="H52" s="14"/>
      <c r="I52" s="15"/>
    </row>
    <row r="53" spans="1:9" ht="15">
      <c r="A53" s="94" t="s">
        <v>302</v>
      </c>
      <c r="B53" s="41">
        <f>PGL_Requirements!P7/1000</f>
        <v>155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8" t="s">
        <v>10</v>
      </c>
      <c r="B1" s="97"/>
      <c r="C1" s="97" t="s">
        <v>10</v>
      </c>
      <c r="D1" s="97"/>
      <c r="E1" s="97"/>
      <c r="F1" s="6"/>
    </row>
    <row r="2" spans="1:8" ht="15.6">
      <c r="A2" t="s">
        <v>10</v>
      </c>
      <c r="C2" s="96"/>
      <c r="D2" s="96"/>
      <c r="E2" s="96"/>
      <c r="F2" s="1081"/>
    </row>
    <row r="3" spans="1:8" ht="16.2" thickBot="1">
      <c r="A3" s="98" t="s">
        <v>308</v>
      </c>
    </row>
    <row r="4" spans="1:8">
      <c r="A4" s="99"/>
      <c r="B4" s="1082" t="str">
        <f>Six_Day_Summary!A10</f>
        <v>Monday</v>
      </c>
      <c r="C4" s="1083" t="str">
        <f>Six_Day_Summary!A15</f>
        <v>Tuesday</v>
      </c>
      <c r="D4" s="1083" t="str">
        <f>Six_Day_Summary!A20</f>
        <v>Wednesday</v>
      </c>
      <c r="E4" s="1083" t="str">
        <f>Six_Day_Summary!A25</f>
        <v>Thursday</v>
      </c>
      <c r="F4" s="1084" t="str">
        <f>Six_Day_Summary!A30</f>
        <v>Friday</v>
      </c>
      <c r="G4" s="100"/>
    </row>
    <row r="5" spans="1:8">
      <c r="A5" s="103" t="s">
        <v>309</v>
      </c>
      <c r="B5" s="1085">
        <f>Weather_Input!A6</f>
        <v>37053</v>
      </c>
      <c r="C5" s="1086">
        <f>Weather_Input!A7</f>
        <v>37054</v>
      </c>
      <c r="D5" s="1086">
        <f>Weather_Input!A8</f>
        <v>37055</v>
      </c>
      <c r="E5" s="1086">
        <f>Weather_Input!A9</f>
        <v>37056</v>
      </c>
      <c r="F5" s="1087">
        <f>Weather_Input!A10</f>
        <v>37057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50.984999999999999</v>
      </c>
      <c r="C6" s="1088">
        <f>PGL_Supplies!AC9/1000+PGL_Supplies!L9/1000-PGL_Requirements!O9/1000+C15-PGL_Requirements!T9/1000</f>
        <v>41.445</v>
      </c>
      <c r="D6" s="1088">
        <f>PGL_Supplies!AC10/1000+PGL_Supplies!L10/1000-PGL_Requirements!O10/1000+D15-PGL_Requirements!T10/1000</f>
        <v>41.445</v>
      </c>
      <c r="E6" s="1088">
        <f>PGL_Supplies!AC11/1000+PGL_Supplies!L11/1000-PGL_Requirements!O11/1000+E15-PGL_Requirements!T11/1000</f>
        <v>41.445</v>
      </c>
      <c r="F6" s="1089">
        <f>PGL_Supplies!AC12/1000+PGL_Supplies!L12/1000-PGL_Requirements!O12/1000+F15-PGL_Requirements!T12/1000</f>
        <v>41.445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6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6.2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Monday</v>
      </c>
      <c r="C21" s="1098" t="str">
        <f t="shared" si="0"/>
        <v>Tuesday</v>
      </c>
      <c r="D21" s="1098" t="str">
        <f t="shared" si="0"/>
        <v>Wednesday</v>
      </c>
      <c r="E21" s="1098" t="str">
        <f t="shared" si="0"/>
        <v>Thursday</v>
      </c>
      <c r="F21" s="1099" t="str">
        <f t="shared" si="0"/>
        <v>Friday</v>
      </c>
      <c r="G21" s="100"/>
    </row>
    <row r="22" spans="1:7">
      <c r="A22" s="107" t="s">
        <v>309</v>
      </c>
      <c r="B22" s="1100">
        <f t="shared" si="0"/>
        <v>37053</v>
      </c>
      <c r="C22" s="1100">
        <f t="shared" si="0"/>
        <v>37054</v>
      </c>
      <c r="D22" s="1100">
        <f t="shared" si="0"/>
        <v>37055</v>
      </c>
      <c r="E22" s="1100">
        <f t="shared" si="0"/>
        <v>37056</v>
      </c>
      <c r="F22" s="1101">
        <f t="shared" si="0"/>
        <v>37057</v>
      </c>
      <c r="G22" s="100"/>
    </row>
    <row r="23" spans="1:7">
      <c r="A23" s="100" t="s">
        <v>310</v>
      </c>
      <c r="B23" s="1094">
        <f>NSG_Supplies!R8/1000+NSG_Supplies!F8/1000-NSG_Requirements!H8/1000</f>
        <v>26.827999999999999</v>
      </c>
      <c r="C23" s="1094">
        <f>NSG_Supplies!R9/1000+NSG_Supplies!F9/1000-NSG_Requirements!H9/1000</f>
        <v>26.827999999999999</v>
      </c>
      <c r="D23" s="1094">
        <f>NSG_Supplies!R10/1000+NSG_Supplies!F10/1000-NSG_Requirements!H10/1000</f>
        <v>26.827999999999999</v>
      </c>
      <c r="E23" s="1094">
        <f>NSG_Supplies!R12/1000+NSG_Supplies!F11/1000-NSG_Requirements!H11/1000</f>
        <v>26.827999999999999</v>
      </c>
      <c r="F23" s="1089">
        <f>NSG_Supplies!R12/1000+NSG_Supplies!F12/1000-NSG_Requirements!H12/1000</f>
        <v>26.827999999999999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6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3"/>
      <c r="B1" s="802" t="s">
        <v>379</v>
      </c>
      <c r="C1" s="901">
        <f>Weather_Input!A6</f>
        <v>37053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15.215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135</v>
      </c>
      <c r="I4" s="175">
        <f>AVERAGE(H4/1.025)</f>
        <v>131.70731707317074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15.215</v>
      </c>
      <c r="D5" s="436"/>
      <c r="E5" s="438">
        <f>AVERAGE(C5/24)</f>
        <v>0.63395833333333329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5.625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</f>
        <v>34.334000000000003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168.27500000000001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106.16</v>
      </c>
      <c r="D11" s="782"/>
      <c r="E11" s="1071"/>
      <c r="F11" s="433" t="s">
        <v>376</v>
      </c>
      <c r="G11" s="445">
        <f>G8+G10</f>
        <v>202.60900000000001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106.16</v>
      </c>
      <c r="D14" s="436"/>
      <c r="E14" s="438">
        <f>AVERAGE(C14/24)</f>
        <v>4.4233333333333329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182.60900000000001</v>
      </c>
      <c r="H15" s="436" t="s">
        <v>10</v>
      </c>
      <c r="I15" s="438">
        <f>AVERAGE(G15/24)</f>
        <v>7.6087083333333334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0</v>
      </c>
      <c r="E16" s="160"/>
      <c r="F16" s="776" t="s">
        <v>559</v>
      </c>
      <c r="G16" s="446">
        <f>PGL_Requirements!H8/1000</f>
        <v>20</v>
      </c>
      <c r="H16" s="446" t="s">
        <v>10</v>
      </c>
      <c r="I16" s="438">
        <f>AVERAGE(G16/24)</f>
        <v>0.83333333333333337</v>
      </c>
    </row>
    <row r="17" spans="1:9" ht="15.75" customHeight="1" thickTop="1" thickBot="1">
      <c r="B17" s="433" t="s">
        <v>376</v>
      </c>
      <c r="C17" s="445">
        <f>SUM(C15:C16)-SUM(D15:D16)</f>
        <v>0.2</v>
      </c>
      <c r="D17" s="432"/>
      <c r="E17" s="434"/>
      <c r="F17" s="1040" t="s">
        <v>701</v>
      </c>
      <c r="G17" s="1121">
        <v>0</v>
      </c>
      <c r="H17" s="1039"/>
      <c r="I17" s="1122">
        <f>AVERAGE(G17/24)</f>
        <v>0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0.2</v>
      </c>
      <c r="D20" s="439" t="s">
        <v>10</v>
      </c>
      <c r="E20" s="438">
        <f>AVERAGE(C20/24)</f>
        <v>8.3333333333333332E-3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12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16</v>
      </c>
      <c r="H25" s="428"/>
      <c r="I25" s="898">
        <f>AVERAGE(G25/24)</f>
        <v>0.66666666666666663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96" customWidth="1"/>
    <col min="2" max="2" width="8.08984375" style="996" customWidth="1"/>
    <col min="3" max="3" width="7.90625" style="996" customWidth="1"/>
    <col min="4" max="4" width="5.90625" style="996" customWidth="1"/>
    <col min="5" max="5" width="4.453125" style="996" customWidth="1"/>
    <col min="6" max="6" width="5.1796875" style="996" customWidth="1"/>
    <col min="7" max="7" width="9" style="996" customWidth="1"/>
    <col min="8" max="11" width="8.90625" style="996"/>
    <col min="12" max="12" width="14.90625" style="996" customWidth="1"/>
    <col min="13" max="13" width="5.6328125" style="996" customWidth="1"/>
    <col min="14" max="16384" width="8.90625" style="996"/>
  </cols>
  <sheetData>
    <row r="1" spans="1:22" ht="20.399999999999999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37053</v>
      </c>
      <c r="I1" s="924"/>
      <c r="J1" s="926"/>
      <c r="K1" s="926"/>
    </row>
    <row r="2" spans="1:22" ht="16.5" customHeight="1">
      <c r="A2" s="944" t="s">
        <v>670</v>
      </c>
      <c r="C2" s="997">
        <v>375</v>
      </c>
      <c r="F2" s="998">
        <v>379</v>
      </c>
      <c r="H2" s="926"/>
      <c r="I2" s="924" t="s">
        <v>672</v>
      </c>
      <c r="J2" s="946">
        <f>NSG_Supplies!Q8/1000</f>
        <v>15.215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15.215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38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" customHeight="1">
      <c r="A11" s="946">
        <f>Billy_Sheet!C20</f>
        <v>0.2</v>
      </c>
      <c r="B11" s="1002"/>
      <c r="H11" s="946">
        <f>NSG_Supplies!U8/1000</f>
        <v>0</v>
      </c>
      <c r="K11" s="927" t="s">
        <v>675</v>
      </c>
      <c r="L11" s="952">
        <f>SUM(K4+K17+K19+H11+H9-L9)</f>
        <v>4.0429999999999993</v>
      </c>
      <c r="N11" s="927"/>
      <c r="O11" s="952"/>
      <c r="U11" s="926"/>
      <c r="V11" s="940"/>
    </row>
    <row r="12" spans="1:22" ht="14.4" customHeight="1">
      <c r="A12" s="924" t="s">
        <v>727</v>
      </c>
      <c r="H12" s="946"/>
      <c r="U12" s="926"/>
      <c r="V12" s="946"/>
    </row>
    <row r="13" spans="1:22" ht="14.4" customHeight="1">
      <c r="A13" s="1000">
        <f>PGL_Supplies!Y8/1000</f>
        <v>106.16</v>
      </c>
      <c r="H13" s="946"/>
      <c r="U13" s="926"/>
      <c r="V13" s="946"/>
    </row>
    <row r="14" spans="1:22" ht="14.4" customHeight="1">
      <c r="H14" s="946"/>
      <c r="U14" s="926"/>
      <c r="V14" s="946"/>
    </row>
    <row r="15" spans="1:22" ht="15.6" customHeight="1">
      <c r="B15" s="996" t="s">
        <v>10</v>
      </c>
      <c r="C15" s="1003">
        <v>380</v>
      </c>
      <c r="F15" s="1003">
        <v>380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410</v>
      </c>
      <c r="D18" s="1005"/>
      <c r="E18" s="1005"/>
      <c r="F18" s="998">
        <v>798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26.827999999999999</v>
      </c>
      <c r="N19" s="1008"/>
    </row>
    <row r="20" spans="1:17" ht="17.25" customHeight="1">
      <c r="A20" s="946">
        <f>Billy_Sheet!G15</f>
        <v>182.60900000000001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0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16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220</v>
      </c>
      <c r="L26" s="924" t="s">
        <v>674</v>
      </c>
      <c r="M26" s="946">
        <f>NSG_Deliveries!C6/1000</f>
        <v>38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165.96899999999999</v>
      </c>
      <c r="L28" s="927" t="s">
        <v>719</v>
      </c>
      <c r="M28" s="952">
        <f>SUM(J2+K17+K19+H11+H9-M26)</f>
        <v>4.0429999999999993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37052</v>
      </c>
      <c r="G29" s="946">
        <f>PGL_Requirements!H7/1000</f>
        <v>2</v>
      </c>
      <c r="H29" s="925"/>
      <c r="J29" s="927" t="s">
        <v>678</v>
      </c>
      <c r="K29" s="946">
        <f>PGL_Supplies!AC8/1000+PGL_Supplies!L8/1000-PGL_Requirements!O8/1000</f>
        <v>50.984999999999999</v>
      </c>
    </row>
    <row r="30" spans="1:17" ht="10.5" customHeight="1">
      <c r="A30" s="929"/>
      <c r="B30" s="946"/>
      <c r="C30" s="927"/>
      <c r="D30" s="946"/>
      <c r="F30" s="1056">
        <f>PGL_Requirements!A8</f>
        <v>37053</v>
      </c>
      <c r="G30" s="946">
        <f>PGL_Requirements!H8/1000</f>
        <v>20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-3.0459999999999923</v>
      </c>
    </row>
    <row r="32" spans="1:17">
      <c r="A32" s="946">
        <f>PGL_Supplies!H8/1000</f>
        <v>1</v>
      </c>
      <c r="G32" s="946">
        <f>PGL_Requirements!P8/1000</f>
        <v>135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420</v>
      </c>
      <c r="F38" s="1003">
        <v>752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320.96899999999999</v>
      </c>
      <c r="B40" s="940"/>
      <c r="C40" s="939"/>
      <c r="D40" s="940"/>
      <c r="E40" s="940"/>
      <c r="F40" s="1013"/>
      <c r="G40" s="1013">
        <f>SUM(G30:G35)</f>
        <v>155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165.96899999999999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379.5</v>
      </c>
      <c r="E45" s="1018"/>
      <c r="F45" s="1019">
        <v>6.7000000000000004E-2</v>
      </c>
      <c r="G45" s="1020">
        <f>(C45-D45)*F45</f>
        <v>2.0435000000000003</v>
      </c>
      <c r="H45" s="1020">
        <f>(D45-B45)*F45</f>
        <v>8.6765000000000008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377.5</v>
      </c>
      <c r="E47" s="1018"/>
      <c r="F47" s="1019">
        <v>0.14099999999999999</v>
      </c>
      <c r="G47" s="1020">
        <f>(C47-D47)*F47</f>
        <v>4.5824999999999996</v>
      </c>
      <c r="H47" s="1020">
        <f>(D47-B47)*F47</f>
        <v>17.977499999999999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415</v>
      </c>
      <c r="E48" s="1018"/>
      <c r="F48" s="1019">
        <v>0.161</v>
      </c>
      <c r="G48" s="1020">
        <f>(C48-D48)*F48</f>
        <v>53.935000000000002</v>
      </c>
      <c r="H48" s="1020">
        <f>(D48-B48)*F48</f>
        <v>20.93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60.561</v>
      </c>
      <c r="H49" s="1020">
        <f>SUM(H45:H48)</f>
        <v>47.584000000000003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37052</v>
      </c>
      <c r="B5" s="11">
        <v>86</v>
      </c>
      <c r="C5" s="49">
        <v>66</v>
      </c>
      <c r="D5" s="49">
        <v>12</v>
      </c>
      <c r="E5" s="11" t="s">
        <v>808</v>
      </c>
      <c r="F5" s="11">
        <v>77</v>
      </c>
      <c r="G5" s="11">
        <v>6689</v>
      </c>
      <c r="H5" s="11">
        <v>0</v>
      </c>
      <c r="I5" s="903" t="s">
        <v>810</v>
      </c>
      <c r="J5" s="903" t="s">
        <v>811</v>
      </c>
      <c r="K5" s="11">
        <v>3</v>
      </c>
      <c r="L5" s="11">
        <v>1</v>
      </c>
      <c r="N5" s="15" t="str">
        <f>I5&amp;" "&amp;I5</f>
        <v>PARTLY CLOUDY. A 40% CHANCE OF SHOWERS AND T'STORMS…ESPECIALLY IN AF PARTLY CLOUDY. A 40% CHANCE OF SHOWERS AND T'STORMS…ESPECIALLY IN AF</v>
      </c>
      <c r="AE5" s="15">
        <v>1</v>
      </c>
      <c r="AH5" s="15" t="s">
        <v>33</v>
      </c>
    </row>
    <row r="6" spans="1:34" ht="16.5" customHeight="1">
      <c r="A6" s="88">
        <f>A5+1</f>
        <v>37053</v>
      </c>
      <c r="B6" s="11">
        <v>89</v>
      </c>
      <c r="C6" s="49">
        <v>68</v>
      </c>
      <c r="D6" s="49">
        <v>10</v>
      </c>
      <c r="E6" s="11" t="s">
        <v>10</v>
      </c>
      <c r="F6" s="11" t="s">
        <v>10</v>
      </c>
      <c r="G6" s="11"/>
      <c r="H6" s="11" t="s">
        <v>10</v>
      </c>
      <c r="I6" s="903" t="s">
        <v>812</v>
      </c>
      <c r="J6" s="903" t="s">
        <v>10</v>
      </c>
      <c r="K6" s="11">
        <v>6</v>
      </c>
      <c r="L6" s="11" t="s">
        <v>617</v>
      </c>
      <c r="N6" s="15" t="str">
        <f>I6&amp;" "&amp;J6</f>
        <v xml:space="preserve">PARTLY CLOUDY. OVERNIGHT…PARTLY CLOUDY.  </v>
      </c>
      <c r="AE6" s="15">
        <v>1</v>
      </c>
      <c r="AH6" s="15" t="s">
        <v>34</v>
      </c>
    </row>
    <row r="7" spans="1:34" ht="16.5" customHeight="1">
      <c r="A7" s="88">
        <f>A6+1</f>
        <v>37054</v>
      </c>
      <c r="B7" s="11">
        <v>88</v>
      </c>
      <c r="C7" s="49">
        <v>69</v>
      </c>
      <c r="D7" s="49">
        <v>12</v>
      </c>
      <c r="E7" s="11" t="s">
        <v>10</v>
      </c>
      <c r="F7" s="11" t="s">
        <v>10</v>
      </c>
      <c r="G7" s="11"/>
      <c r="H7" s="11" t="s">
        <v>10</v>
      </c>
      <c r="I7" s="903" t="s">
        <v>809</v>
      </c>
      <c r="J7" s="903" t="s">
        <v>10</v>
      </c>
      <c r="K7" s="11">
        <v>3</v>
      </c>
      <c r="L7" s="11" t="s">
        <v>21</v>
      </c>
      <c r="N7" s="15" t="str">
        <f>I7&amp;" "&amp;J7</f>
        <v xml:space="preserve">A CHANCE OF SHOWERS AND T'STORMS.   </v>
      </c>
    </row>
    <row r="8" spans="1:34" ht="16.5" customHeight="1">
      <c r="A8" s="88">
        <f>A7+1</f>
        <v>37055</v>
      </c>
      <c r="B8" s="11">
        <v>88</v>
      </c>
      <c r="C8" s="49">
        <v>69</v>
      </c>
      <c r="D8" s="49">
        <v>14</v>
      </c>
      <c r="E8" s="11" t="s">
        <v>10</v>
      </c>
      <c r="F8" s="11" t="s">
        <v>10</v>
      </c>
      <c r="G8" s="11"/>
      <c r="H8" s="11" t="s">
        <v>10</v>
      </c>
      <c r="I8" s="903" t="s">
        <v>813</v>
      </c>
      <c r="J8" s="903" t="s">
        <v>10</v>
      </c>
      <c r="K8" s="11">
        <v>6</v>
      </c>
      <c r="L8" s="11"/>
      <c r="N8" s="15" t="str">
        <f>I8&amp;" "&amp;J8</f>
        <v xml:space="preserve">PARTLY CLOUDY.  </v>
      </c>
    </row>
    <row r="9" spans="1:34" ht="16.5" customHeight="1">
      <c r="A9" s="88">
        <f>A8+1</f>
        <v>37056</v>
      </c>
      <c r="B9" s="11">
        <v>85</v>
      </c>
      <c r="C9" s="49">
        <v>67</v>
      </c>
      <c r="D9" s="49">
        <v>14</v>
      </c>
      <c r="E9" s="11" t="s">
        <v>10</v>
      </c>
      <c r="F9" s="11" t="s">
        <v>10</v>
      </c>
      <c r="G9" s="11"/>
      <c r="H9" s="11" t="s">
        <v>10</v>
      </c>
      <c r="I9" s="903" t="s">
        <v>814</v>
      </c>
      <c r="J9" s="903" t="s">
        <v>10</v>
      </c>
      <c r="K9" s="11">
        <v>3</v>
      </c>
      <c r="L9" s="11">
        <v>0</v>
      </c>
      <c r="M9" s="89"/>
      <c r="N9" s="15" t="str">
        <f>I9&amp;" "&amp;J9</f>
        <v xml:space="preserve">A CHANCE OF T'STORMS.  </v>
      </c>
    </row>
    <row r="10" spans="1:34" ht="16.5" customHeight="1">
      <c r="A10" s="88">
        <f>A9+1</f>
        <v>37057</v>
      </c>
      <c r="B10" s="11">
        <v>85</v>
      </c>
      <c r="C10" s="49">
        <v>67</v>
      </c>
      <c r="D10" s="49">
        <v>14</v>
      </c>
      <c r="E10" s="11" t="s">
        <v>10</v>
      </c>
      <c r="F10" s="11" t="s">
        <v>10</v>
      </c>
      <c r="G10" s="11"/>
      <c r="H10" s="11" t="s">
        <v>10</v>
      </c>
      <c r="I10" s="903" t="s">
        <v>814</v>
      </c>
      <c r="J10" s="903" t="s">
        <v>10</v>
      </c>
      <c r="K10" s="11">
        <v>6</v>
      </c>
      <c r="L10" s="11" t="s">
        <v>412</v>
      </c>
      <c r="N10" s="15" t="str">
        <f>I10&amp;" "&amp;J10</f>
        <v xml:space="preserve">A CHANCE OF T'STORMS.  </v>
      </c>
    </row>
    <row r="11" spans="1:34" ht="16.5" customHeight="1">
      <c r="G11"/>
    </row>
    <row r="12" spans="1:34" ht="15.6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2" thickBot="1">
      <c r="A2" s="123" t="s">
        <v>564</v>
      </c>
      <c r="B2" s="185">
        <f>PGL_Deliveries!U5/1000</f>
        <v>4.3879999999999999</v>
      </c>
      <c r="C2" s="60"/>
      <c r="D2" s="120" t="s">
        <v>322</v>
      </c>
      <c r="E2" s="424">
        <f>Weather_Input!A5</f>
        <v>37052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252</v>
      </c>
      <c r="B6" s="153">
        <f>PGL_Deliveries!I5/1000</f>
        <v>0</v>
      </c>
      <c r="C6" s="168"/>
      <c r="D6" s="59" t="s">
        <v>567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2" thickBot="1">
      <c r="A7" s="180" t="s">
        <v>570</v>
      </c>
      <c r="B7" s="226">
        <f>SUM(B5:B6)</f>
        <v>0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105.25</v>
      </c>
      <c r="C8" s="629"/>
      <c r="D8" s="117" t="s">
        <v>569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0</v>
      </c>
      <c r="C9" s="64"/>
      <c r="D9" s="117" t="s">
        <v>209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4.3879999999999999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18.7</v>
      </c>
      <c r="C11" s="64"/>
      <c r="D11" s="117" t="s">
        <v>571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187.137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-149.94800000000001</v>
      </c>
      <c r="C15" s="64"/>
      <c r="D15" s="59" t="s">
        <v>400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11.307</v>
      </c>
      <c r="D16" s="117" t="s">
        <v>221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6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2" thickBot="1">
      <c r="A18" s="179" t="s">
        <v>575</v>
      </c>
      <c r="B18" s="897">
        <f>SUM(B8:B17)-C16</f>
        <v>149.83199999999999</v>
      </c>
      <c r="C18" s="168"/>
      <c r="D18" s="178" t="s">
        <v>576</v>
      </c>
      <c r="E18" s="177">
        <f>SUM(E5:E17)</f>
        <v>4.3879999999999999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106.16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</v>
      </c>
      <c r="C20" s="64"/>
      <c r="D20" s="117" t="s">
        <v>187</v>
      </c>
      <c r="E20" s="153">
        <f>PGL_Deliveries!AW5/1000+B41</f>
        <v>2.2635000000000001</v>
      </c>
      <c r="F20" s="170"/>
      <c r="H20"/>
      <c r="I20"/>
      <c r="J20"/>
      <c r="K20"/>
      <c r="L20"/>
      <c r="M20"/>
    </row>
    <row r="21" spans="1:13" ht="16.2" thickBot="1">
      <c r="A21" s="171" t="s">
        <v>731</v>
      </c>
      <c r="C21" s="175">
        <f>PGL_Requirements!J7/1000</f>
        <v>0.3</v>
      </c>
      <c r="D21" s="628" t="s">
        <v>577</v>
      </c>
      <c r="E21" s="210">
        <f>SUM(E18:E20)</f>
        <v>6.6515000000000004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105.86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0.2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10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51.445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155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41.445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1.6719999999999999</v>
      </c>
      <c r="C40" s="64"/>
      <c r="D40" s="774" t="s">
        <v>601</v>
      </c>
      <c r="E40" s="800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168.27500000000001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2.2635000000000001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724</v>
      </c>
      <c r="B44" s="209" t="s">
        <v>10</v>
      </c>
      <c r="C44" s="224">
        <f>PGL_Requirements!R7/1000</f>
        <v>0.72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86</v>
      </c>
      <c r="C45" s="184"/>
      <c r="D45" s="60" t="s">
        <v>614</v>
      </c>
      <c r="E45" s="801">
        <f>PGL_Supplies!T7/1000</f>
        <v>17.167000000000002</v>
      </c>
      <c r="F45" s="170"/>
    </row>
    <row r="46" spans="1:13" ht="15">
      <c r="A46" s="171" t="s">
        <v>605</v>
      </c>
      <c r="B46" s="237">
        <f>Weather_Input!C5</f>
        <v>66</v>
      </c>
      <c r="C46" s="161"/>
      <c r="D46" s="74" t="s">
        <v>613</v>
      </c>
      <c r="E46" s="60"/>
      <c r="F46" s="175">
        <f>PGL_Deliveries!BE5/1000</f>
        <v>2.5999999999999999E-2</v>
      </c>
    </row>
    <row r="47" spans="1:13" ht="15">
      <c r="A47" s="172" t="s">
        <v>606</v>
      </c>
      <c r="B47" s="60" t="str">
        <f>Weather_Input!E5</f>
        <v>N/A</v>
      </c>
      <c r="C47" s="161"/>
      <c r="D47" s="773" t="s">
        <v>765</v>
      </c>
      <c r="E47" s="68"/>
      <c r="F47" s="175">
        <f>PGL_Deliveries!BF5/1000</f>
        <v>0</v>
      </c>
    </row>
    <row r="48" spans="1:13" ht="15">
      <c r="A48" s="171" t="s">
        <v>607</v>
      </c>
      <c r="B48" s="225">
        <f>Weather_Input!D5</f>
        <v>12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1.04</v>
      </c>
      <c r="C49" s="161"/>
      <c r="D49" s="60" t="s">
        <v>758</v>
      </c>
      <c r="E49" s="153">
        <f>PGL_Deliveries!AJ5/1000</f>
        <v>18.7</v>
      </c>
      <c r="F49" s="160"/>
    </row>
    <row r="50" spans="1:6" ht="15.6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6" thickBot="1">
      <c r="A3" s="1076" t="s">
        <v>4</v>
      </c>
      <c r="B3" s="242">
        <f>NSG_Deliveries!H5/1000</f>
        <v>26.795999999999999</v>
      </c>
      <c r="C3" s="119"/>
      <c r="D3" s="228" t="s">
        <v>322</v>
      </c>
      <c r="E3" s="427">
        <f>Weather_Input!A5</f>
        <v>37052</v>
      </c>
      <c r="F3" s="119"/>
      <c r="G3"/>
      <c r="J3"/>
      <c r="K3"/>
    </row>
    <row r="4" spans="1:11" ht="15.6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0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26.795999999999999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26.795999999999999</v>
      </c>
      <c r="C8" s="160"/>
      <c r="D8" s="812" t="s">
        <v>631</v>
      </c>
      <c r="E8" s="806">
        <f>NSG_Deliveries!F5/1000</f>
        <v>0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8.1010000000000009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15.215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28.827999999999999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0.92300000000000004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0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27.905000000000001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10</v>
      </c>
    </row>
    <row r="2" spans="1:3" ht="15.6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3" customWidth="1"/>
    <col min="3" max="3" width="20.63281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354</v>
      </c>
      <c r="B1" s="51">
        <f>Weather_Input!A5</f>
        <v>37052</v>
      </c>
      <c r="C1" s="4"/>
    </row>
    <row r="2" spans="1:19">
      <c r="A2" s="111" t="s">
        <v>355</v>
      </c>
      <c r="B2" s="4"/>
      <c r="C2" s="4"/>
    </row>
    <row r="3" spans="1:19" ht="15.6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37051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110160</v>
      </c>
      <c r="O6" s="203">
        <v>0</v>
      </c>
      <c r="P6" s="203">
        <v>50938709</v>
      </c>
      <c r="Q6" s="203">
        <v>15045098</v>
      </c>
      <c r="R6" s="203">
        <v>35893611</v>
      </c>
      <c r="S6" s="203">
        <v>0</v>
      </c>
    </row>
    <row r="7" spans="1:19">
      <c r="A7" s="4">
        <f>B1</f>
        <v>37052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110160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51048869</v>
      </c>
      <c r="Q7">
        <f>IF(O7&gt;0,Q6+O7,Q6)</f>
        <v>15045098</v>
      </c>
      <c r="R7">
        <f>IF(P7&gt;Q7,P7-Q7,0)</f>
        <v>36003771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37052</v>
      </c>
      <c r="B5" s="1">
        <f>(Weather_Input!B5+Weather_Input!C5)/2</f>
        <v>76</v>
      </c>
      <c r="C5" s="904">
        <v>190000</v>
      </c>
      <c r="D5" s="905">
        <v>0</v>
      </c>
      <c r="E5" s="905">
        <v>0</v>
      </c>
      <c r="F5" s="905">
        <v>0</v>
      </c>
      <c r="G5" s="905">
        <v>0</v>
      </c>
      <c r="H5" s="905">
        <v>0</v>
      </c>
      <c r="I5" s="905">
        <v>0</v>
      </c>
      <c r="J5" s="905">
        <v>0</v>
      </c>
      <c r="K5" s="905">
        <v>0</v>
      </c>
      <c r="L5" s="905">
        <v>0</v>
      </c>
      <c r="M5" s="905">
        <v>0</v>
      </c>
      <c r="N5" s="905">
        <v>0</v>
      </c>
      <c r="O5" s="905">
        <v>0</v>
      </c>
      <c r="P5" s="905">
        <v>0</v>
      </c>
      <c r="Q5" s="905">
        <v>0</v>
      </c>
      <c r="R5" s="905">
        <v>0</v>
      </c>
      <c r="S5" s="910">
        <v>4388</v>
      </c>
      <c r="T5" s="1102">
        <v>0</v>
      </c>
      <c r="U5" s="904">
        <f>SUM(D5:S5)-T5</f>
        <v>4388</v>
      </c>
      <c r="V5" s="904">
        <v>105250</v>
      </c>
      <c r="W5" s="11">
        <v>0</v>
      </c>
      <c r="X5" s="11">
        <v>0</v>
      </c>
      <c r="Y5" s="11">
        <v>0</v>
      </c>
      <c r="Z5" s="11">
        <v>187163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18700</v>
      </c>
      <c r="AK5" s="11">
        <v>0</v>
      </c>
      <c r="AL5" s="11">
        <v>0</v>
      </c>
      <c r="AM5" s="1">
        <v>1040</v>
      </c>
      <c r="AN5" s="1"/>
      <c r="AO5" s="1">
        <v>11307</v>
      </c>
      <c r="AP5" s="1">
        <v>0</v>
      </c>
      <c r="AQ5" s="1">
        <v>13189</v>
      </c>
      <c r="AR5" s="1">
        <v>0</v>
      </c>
      <c r="AS5" s="1">
        <v>0</v>
      </c>
      <c r="AT5" s="1">
        <v>1672</v>
      </c>
      <c r="AU5" s="1">
        <v>150900</v>
      </c>
      <c r="AV5" s="1">
        <v>720</v>
      </c>
      <c r="AW5" s="625">
        <f>AU5*0.015</f>
        <v>2263.5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26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37053</v>
      </c>
      <c r="B6" s="923">
        <f>(Weather_Input!B6+Weather_Input!C6)/2</f>
        <v>78.5</v>
      </c>
      <c r="C6" s="904">
        <v>220000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37054</v>
      </c>
      <c r="B7" s="923">
        <f>(Weather_Input!B7+Weather_Input!C7)/2</f>
        <v>78.5</v>
      </c>
      <c r="C7" s="904">
        <v>220000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37055</v>
      </c>
      <c r="B8" s="923">
        <f>(Weather_Input!B8+Weather_Input!C8)/2</f>
        <v>78.5</v>
      </c>
      <c r="C8" s="904">
        <v>220000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37056</v>
      </c>
      <c r="B9" s="923">
        <f>(Weather_Input!B9+Weather_Input!C9)/2</f>
        <v>76</v>
      </c>
      <c r="C9" s="904">
        <v>230000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37057</v>
      </c>
      <c r="B10" s="923">
        <f>(Weather_Input!B10+Weather_Input!C10)/2</f>
        <v>76</v>
      </c>
      <c r="C10" s="904">
        <v>210000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37052</v>
      </c>
      <c r="B5" s="1">
        <f>(Weather_Input!B5+Weather_Input!C5)/2</f>
        <v>76</v>
      </c>
      <c r="C5" s="904">
        <v>36000</v>
      </c>
      <c r="D5" s="904">
        <v>0</v>
      </c>
      <c r="E5" s="904">
        <v>0</v>
      </c>
      <c r="F5" s="904">
        <v>0</v>
      </c>
      <c r="G5" s="904">
        <v>26796</v>
      </c>
      <c r="H5" s="912">
        <f>SUM(D5:G5)</f>
        <v>26796</v>
      </c>
      <c r="I5" s="1">
        <v>1006</v>
      </c>
      <c r="J5" s="1" t="s">
        <v>10</v>
      </c>
      <c r="K5" s="1">
        <v>923</v>
      </c>
      <c r="L5" s="1">
        <v>0</v>
      </c>
      <c r="M5" s="1">
        <v>8101</v>
      </c>
      <c r="N5" s="1">
        <v>0</v>
      </c>
    </row>
    <row r="6" spans="1:14">
      <c r="A6" s="12">
        <f>A5+1</f>
        <v>37053</v>
      </c>
      <c r="B6" s="923">
        <f>(Weather_Input!B6+Weather_Input!C6)/2</f>
        <v>78.5</v>
      </c>
      <c r="C6" s="904">
        <v>38000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37054</v>
      </c>
      <c r="B7" s="923">
        <f>(Weather_Input!B7+Weather_Input!C7)/2</f>
        <v>78.5</v>
      </c>
      <c r="C7" s="904">
        <v>38000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37055</v>
      </c>
      <c r="B8" s="923">
        <f>(Weather_Input!B8+Weather_Input!C8)/2</f>
        <v>78.5</v>
      </c>
      <c r="C8" s="904">
        <v>38000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37056</v>
      </c>
      <c r="B9" s="923">
        <f>(Weather_Input!B9+Weather_Input!C9)/2</f>
        <v>76</v>
      </c>
      <c r="C9" s="904">
        <v>39000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37057</v>
      </c>
      <c r="B10" s="923">
        <f>(Weather_Input!B10+Weather_Input!C10)/2</f>
        <v>76</v>
      </c>
      <c r="C10" s="904">
        <v>36000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2" t="s">
        <v>796</v>
      </c>
      <c r="W4" s="1223"/>
      <c r="X4" s="1224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3.2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3.2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5" t="s">
        <v>798</v>
      </c>
      <c r="W6" s="1225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3.2">
      <c r="A7" s="825">
        <f>Weather_Input!A5</f>
        <v>37052</v>
      </c>
      <c r="B7" s="913">
        <v>0</v>
      </c>
      <c r="C7" s="914">
        <v>0</v>
      </c>
      <c r="D7" s="623">
        <v>0</v>
      </c>
      <c r="E7" s="623">
        <v>0</v>
      </c>
      <c r="F7" s="913">
        <v>4000</v>
      </c>
      <c r="G7" s="913">
        <v>3500</v>
      </c>
      <c r="H7" s="915">
        <v>2000</v>
      </c>
      <c r="I7" s="622">
        <v>0</v>
      </c>
      <c r="J7" s="622">
        <v>300</v>
      </c>
      <c r="K7" s="623">
        <v>0</v>
      </c>
      <c r="L7" s="622">
        <v>0</v>
      </c>
      <c r="M7" s="623">
        <v>0</v>
      </c>
      <c r="N7" s="623">
        <v>0</v>
      </c>
      <c r="O7" s="624">
        <v>10000</v>
      </c>
      <c r="P7" s="623">
        <v>155000</v>
      </c>
      <c r="Q7" s="625">
        <f t="shared" ref="Q7:Q12" si="0">P7*0.015</f>
        <v>2325</v>
      </c>
      <c r="R7" s="623">
        <v>720</v>
      </c>
      <c r="S7" s="623">
        <v>0</v>
      </c>
      <c r="T7" s="623">
        <v>0</v>
      </c>
      <c r="U7" s="622">
        <v>200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37052</v>
      </c>
    </row>
    <row r="8" spans="1:89" s="1" customFormat="1" ht="13.2">
      <c r="A8" s="825">
        <f>A7+1</f>
        <v>37053</v>
      </c>
      <c r="B8" s="913">
        <v>0</v>
      </c>
      <c r="C8" s="914">
        <v>0</v>
      </c>
      <c r="D8" s="623">
        <v>0</v>
      </c>
      <c r="E8" s="623">
        <v>0</v>
      </c>
      <c r="F8" s="913">
        <v>0</v>
      </c>
      <c r="G8" s="913">
        <v>0</v>
      </c>
      <c r="H8" s="915">
        <v>20000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135000</v>
      </c>
      <c r="Q8" s="625">
        <f t="shared" si="0"/>
        <v>2025</v>
      </c>
      <c r="R8" s="623">
        <v>720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37053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3.2">
      <c r="A9" s="825">
        <f>A8+1</f>
        <v>37054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720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37054</v>
      </c>
      <c r="AN9" s="622"/>
    </row>
    <row r="10" spans="1:89" s="1" customFormat="1" ht="13.2">
      <c r="A10" s="825">
        <f>A9+1</f>
        <v>37055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720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37055</v>
      </c>
    </row>
    <row r="11" spans="1:89" s="1" customFormat="1" ht="13.2">
      <c r="A11" s="825">
        <f>A10+1</f>
        <v>37056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720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37056</v>
      </c>
    </row>
    <row r="12" spans="1:89" s="1" customFormat="1" ht="13.2">
      <c r="A12" s="825">
        <f>A11+1</f>
        <v>37057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720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37057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37052</v>
      </c>
      <c r="B7" s="625">
        <v>0</v>
      </c>
      <c r="C7" s="626">
        <v>0</v>
      </c>
      <c r="D7" s="625">
        <v>0</v>
      </c>
      <c r="E7" s="625">
        <v>4800</v>
      </c>
      <c r="F7" s="625">
        <v>0</v>
      </c>
      <c r="G7" s="913">
        <v>0</v>
      </c>
      <c r="H7" s="623">
        <v>1000</v>
      </c>
      <c r="I7" s="623">
        <v>15000</v>
      </c>
      <c r="J7" s="623">
        <v>0</v>
      </c>
      <c r="K7" s="916">
        <v>0</v>
      </c>
      <c r="L7" s="624">
        <v>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17167</v>
      </c>
      <c r="U7" s="623">
        <v>0</v>
      </c>
      <c r="V7" s="624">
        <v>146856</v>
      </c>
      <c r="W7" s="624">
        <v>0</v>
      </c>
      <c r="X7" s="622">
        <v>0</v>
      </c>
      <c r="Y7" s="916">
        <v>106160</v>
      </c>
      <c r="Z7" s="624">
        <v>200</v>
      </c>
      <c r="AA7" s="1">
        <v>0</v>
      </c>
      <c r="AB7" s="622">
        <v>168275</v>
      </c>
      <c r="AC7" s="622">
        <v>51445</v>
      </c>
      <c r="AD7" s="622">
        <v>4000</v>
      </c>
      <c r="AE7" s="916">
        <v>0</v>
      </c>
      <c r="AF7" s="51">
        <f>Weather_Input!A5</f>
        <v>37052</v>
      </c>
      <c r="AI7" s="622"/>
      <c r="AJ7" s="622"/>
      <c r="AK7" s="622"/>
    </row>
    <row r="8" spans="1:37">
      <c r="A8" s="825">
        <f>A7+1</f>
        <v>37053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12000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34334</v>
      </c>
      <c r="U8" s="623">
        <v>0</v>
      </c>
      <c r="V8" s="624">
        <v>146856</v>
      </c>
      <c r="W8" s="624">
        <v>0</v>
      </c>
      <c r="X8" s="622">
        <v>0</v>
      </c>
      <c r="Y8" s="916">
        <v>106160</v>
      </c>
      <c r="Z8" s="624">
        <v>200</v>
      </c>
      <c r="AA8" s="1">
        <v>0</v>
      </c>
      <c r="AB8" s="622">
        <v>168275</v>
      </c>
      <c r="AC8" s="622">
        <v>50985</v>
      </c>
      <c r="AD8" s="622">
        <v>4000</v>
      </c>
      <c r="AE8" s="916">
        <v>0</v>
      </c>
      <c r="AF8" s="825">
        <f>AF7+1</f>
        <v>37053</v>
      </c>
      <c r="AI8" s="622"/>
      <c r="AJ8" s="622"/>
      <c r="AK8" s="622"/>
    </row>
    <row r="9" spans="1:37" s="622" customFormat="1">
      <c r="A9" s="825">
        <f>A8+1</f>
        <v>37054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0</v>
      </c>
      <c r="U9" s="623">
        <v>0</v>
      </c>
      <c r="V9" s="624">
        <v>146856</v>
      </c>
      <c r="W9" s="624">
        <v>0</v>
      </c>
      <c r="X9" s="622">
        <v>0</v>
      </c>
      <c r="Y9" s="916">
        <v>96160</v>
      </c>
      <c r="Z9" s="624">
        <v>200</v>
      </c>
      <c r="AA9" s="1">
        <v>0</v>
      </c>
      <c r="AB9" s="622">
        <v>168275</v>
      </c>
      <c r="AC9" s="622">
        <v>41445</v>
      </c>
      <c r="AD9" s="622">
        <v>4000</v>
      </c>
      <c r="AE9" s="916">
        <v>0</v>
      </c>
      <c r="AF9" s="825">
        <f>AF8+1</f>
        <v>37054</v>
      </c>
    </row>
    <row r="10" spans="1:37">
      <c r="A10" s="825">
        <f>A9+1</f>
        <v>37055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146856</v>
      </c>
      <c r="W10" s="624">
        <v>0</v>
      </c>
      <c r="X10" s="622">
        <v>0</v>
      </c>
      <c r="Y10" s="916">
        <v>96160</v>
      </c>
      <c r="Z10" s="624">
        <v>200</v>
      </c>
      <c r="AA10" s="1">
        <v>0</v>
      </c>
      <c r="AB10" s="622">
        <v>168275</v>
      </c>
      <c r="AC10" s="622">
        <v>41445</v>
      </c>
      <c r="AD10" s="622">
        <v>4000</v>
      </c>
      <c r="AE10" s="916">
        <v>0</v>
      </c>
      <c r="AF10" s="825">
        <f>AF9+1</f>
        <v>37055</v>
      </c>
      <c r="AI10" s="622"/>
      <c r="AJ10" s="622"/>
      <c r="AK10" s="622"/>
    </row>
    <row r="11" spans="1:37">
      <c r="A11" s="825">
        <f>A10+1</f>
        <v>37056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146856</v>
      </c>
      <c r="W11" s="624">
        <v>0</v>
      </c>
      <c r="X11" s="622">
        <v>0</v>
      </c>
      <c r="Y11" s="916">
        <v>96160</v>
      </c>
      <c r="Z11" s="624">
        <v>200</v>
      </c>
      <c r="AA11" s="1">
        <v>0</v>
      </c>
      <c r="AB11" s="622">
        <v>168275</v>
      </c>
      <c r="AC11" s="622">
        <v>41445</v>
      </c>
      <c r="AD11" s="622">
        <v>4000</v>
      </c>
      <c r="AE11" s="916">
        <v>0</v>
      </c>
      <c r="AF11" s="825">
        <f>AF10+1</f>
        <v>37056</v>
      </c>
    </row>
    <row r="12" spans="1:37">
      <c r="A12" s="825">
        <f>A11+1</f>
        <v>37057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146856</v>
      </c>
      <c r="W12" s="624">
        <v>0</v>
      </c>
      <c r="X12" s="622">
        <v>0</v>
      </c>
      <c r="Y12" s="916">
        <v>96160</v>
      </c>
      <c r="Z12" s="624">
        <v>200</v>
      </c>
      <c r="AA12" s="1">
        <v>0</v>
      </c>
      <c r="AB12" s="622">
        <v>168275</v>
      </c>
      <c r="AC12" s="622">
        <v>41445</v>
      </c>
      <c r="AD12" s="622">
        <v>4000</v>
      </c>
      <c r="AE12" s="916">
        <v>0</v>
      </c>
      <c r="AF12" s="825">
        <f>AF11+1</f>
        <v>37057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3.2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3.2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3.2">
      <c r="A7" s="826">
        <f>Weather_Input!A5</f>
        <v>37052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2000</v>
      </c>
      <c r="I7" s="914">
        <v>7197</v>
      </c>
      <c r="J7" s="914">
        <v>6040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37052</v>
      </c>
      <c r="AG7" s="622"/>
      <c r="AH7" s="622"/>
      <c r="AI7" s="622"/>
      <c r="AJ7" s="622"/>
      <c r="AK7" s="622"/>
    </row>
    <row r="8" spans="1:128" s="1" customFormat="1" ht="13.2">
      <c r="A8" s="826">
        <f>Weather_Input!A6</f>
        <v>37053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2000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37053</v>
      </c>
      <c r="AG8" s="622"/>
      <c r="AH8" s="622"/>
      <c r="AI8" s="622"/>
      <c r="AJ8" s="622"/>
      <c r="AK8" s="622"/>
    </row>
    <row r="9" spans="1:128" s="1" customFormat="1" ht="13.2">
      <c r="A9" s="825">
        <f>A8+1</f>
        <v>37054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2000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37054</v>
      </c>
      <c r="AG9" s="622"/>
      <c r="AH9" s="622"/>
      <c r="AI9" s="622"/>
      <c r="AJ9" s="622"/>
      <c r="AK9" s="622"/>
    </row>
    <row r="10" spans="1:128" s="1" customFormat="1" ht="13.2">
      <c r="A10" s="825">
        <f>A9+1</f>
        <v>37055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2000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37055</v>
      </c>
      <c r="AG10" s="622"/>
      <c r="AH10" s="622"/>
      <c r="AI10" s="622"/>
      <c r="AJ10" s="622"/>
      <c r="AK10" s="622"/>
    </row>
    <row r="11" spans="1:128" s="1" customFormat="1" ht="13.2">
      <c r="A11" s="825">
        <f>A10+1</f>
        <v>37056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2000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37056</v>
      </c>
      <c r="AG11" s="622"/>
      <c r="AH11" s="622"/>
      <c r="AI11" s="622"/>
      <c r="AJ11" s="622"/>
      <c r="AK11" s="622"/>
    </row>
    <row r="12" spans="1:128" s="1" customFormat="1" ht="13.2">
      <c r="A12" s="825">
        <f>A11+1</f>
        <v>37057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2000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37057</v>
      </c>
      <c r="AG12" s="622"/>
      <c r="AH12" s="622"/>
      <c r="AI12" s="622"/>
      <c r="AJ12" s="622"/>
      <c r="AK12" s="622"/>
    </row>
    <row r="13" spans="1:128" s="1" customFormat="1" ht="13.2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3.2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37052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2279.1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15215</v>
      </c>
      <c r="R7" s="625">
        <v>28828</v>
      </c>
      <c r="S7" s="625">
        <v>16754</v>
      </c>
      <c r="T7" s="625">
        <v>0</v>
      </c>
      <c r="U7" s="625">
        <v>0</v>
      </c>
      <c r="V7" s="825">
        <f>Weather_Input!A5</f>
        <v>37052</v>
      </c>
      <c r="W7" s="622"/>
      <c r="X7" s="622"/>
    </row>
    <row r="8" spans="1:24">
      <c r="A8" s="825">
        <f>A7+1</f>
        <v>37053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2279.1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15215</v>
      </c>
      <c r="R8" s="625">
        <v>28828</v>
      </c>
      <c r="S8" s="625">
        <v>16754</v>
      </c>
      <c r="T8" s="625">
        <v>0</v>
      </c>
      <c r="U8" s="625">
        <v>0</v>
      </c>
      <c r="V8" s="825">
        <f>V7+1</f>
        <v>37053</v>
      </c>
      <c r="W8" s="622"/>
      <c r="X8" s="622"/>
    </row>
    <row r="9" spans="1:24">
      <c r="A9" s="825">
        <f>A8+1</f>
        <v>37054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2279.1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15215</v>
      </c>
      <c r="R9" s="625">
        <v>28828</v>
      </c>
      <c r="S9" s="625">
        <v>16754</v>
      </c>
      <c r="T9" s="625">
        <v>0</v>
      </c>
      <c r="U9" s="625">
        <v>0</v>
      </c>
      <c r="V9" s="825">
        <f>V8+1</f>
        <v>37054</v>
      </c>
      <c r="W9" s="622"/>
      <c r="X9" s="622"/>
    </row>
    <row r="10" spans="1:24">
      <c r="A10" s="825">
        <f>A9+1</f>
        <v>37055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2279.1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15215</v>
      </c>
      <c r="R10" s="625">
        <v>28828</v>
      </c>
      <c r="S10" s="625">
        <v>16754</v>
      </c>
      <c r="T10" s="625">
        <v>0</v>
      </c>
      <c r="U10" s="625">
        <v>0</v>
      </c>
      <c r="V10" s="825">
        <f>V9+1</f>
        <v>37055</v>
      </c>
      <c r="W10" s="622"/>
      <c r="X10" s="622"/>
    </row>
    <row r="11" spans="1:24">
      <c r="A11" s="825">
        <f>A10+1</f>
        <v>37056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2279.1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15215</v>
      </c>
      <c r="R11" s="625">
        <v>28828</v>
      </c>
      <c r="S11" s="625">
        <v>16754</v>
      </c>
      <c r="T11" s="625">
        <v>0</v>
      </c>
      <c r="U11" s="625">
        <v>0</v>
      </c>
      <c r="V11" s="825">
        <f>V10+1</f>
        <v>37056</v>
      </c>
      <c r="W11" s="622"/>
      <c r="X11" s="622"/>
    </row>
    <row r="12" spans="1:24">
      <c r="A12" s="825">
        <f>A11+1</f>
        <v>37057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2279.1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15215</v>
      </c>
      <c r="R12" s="625">
        <v>28828</v>
      </c>
      <c r="S12" s="625">
        <v>16754</v>
      </c>
      <c r="T12" s="625">
        <v>0</v>
      </c>
      <c r="U12" s="625">
        <v>0</v>
      </c>
      <c r="V12" s="825">
        <f>V11+1</f>
        <v>37057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SUN</v>
      </c>
      <c r="I1" s="830">
        <f>D4</f>
        <v>37052</v>
      </c>
    </row>
    <row r="2" spans="1:256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2" thickBot="1">
      <c r="A3" s="834"/>
      <c r="B3" s="832"/>
      <c r="C3" s="832"/>
      <c r="D3" s="835" t="str">
        <f t="shared" ref="D3:I3" si="0">CHOOSE(WEEKDAY(D4),"SUN","MON","TUE","WED","THU","FRI","SAT")</f>
        <v>SUN</v>
      </c>
      <c r="E3" s="835" t="str">
        <f t="shared" si="0"/>
        <v>MON</v>
      </c>
      <c r="F3" s="835" t="str">
        <f t="shared" si="0"/>
        <v>TUE</v>
      </c>
      <c r="G3" s="835" t="str">
        <f t="shared" si="0"/>
        <v>WED</v>
      </c>
      <c r="H3" s="835" t="str">
        <f t="shared" si="0"/>
        <v>THU</v>
      </c>
      <c r="I3" s="836" t="str">
        <f t="shared" si="0"/>
        <v>FRI</v>
      </c>
    </row>
    <row r="4" spans="1:256" ht="16.2" thickBot="1">
      <c r="A4" s="837"/>
      <c r="B4" s="838"/>
      <c r="C4" s="838"/>
      <c r="D4" s="464">
        <f>Weather_Input!A5</f>
        <v>37052</v>
      </c>
      <c r="E4" s="464">
        <f>Weather_Input!A6</f>
        <v>37053</v>
      </c>
      <c r="F4" s="464">
        <f>Weather_Input!A7</f>
        <v>37054</v>
      </c>
      <c r="G4" s="464">
        <f>Weather_Input!A8</f>
        <v>37055</v>
      </c>
      <c r="H4" s="464">
        <f>Weather_Input!A9</f>
        <v>37056</v>
      </c>
      <c r="I4" s="465">
        <f>Weather_Input!A10</f>
        <v>37057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86/66/76</v>
      </c>
      <c r="E5" s="466" t="str">
        <f>TEXT(Weather_Input!B6,"0")&amp;"/"&amp;TEXT(Weather_Input!C6,"0") &amp; "/" &amp; TEXT((Weather_Input!B6+Weather_Input!C6)/2,"0")</f>
        <v>89/68/79</v>
      </c>
      <c r="F5" s="466" t="str">
        <f>TEXT(Weather_Input!B7,"0")&amp;"/"&amp;TEXT(Weather_Input!C7,"0") &amp; "/" &amp; TEXT((Weather_Input!B7+Weather_Input!C7)/2,"0")</f>
        <v>88/69/79</v>
      </c>
      <c r="G5" s="466" t="str">
        <f>TEXT(Weather_Input!B8,"0")&amp;"/"&amp;TEXT(Weather_Input!C8,"0") &amp; "/" &amp; TEXT((Weather_Input!B8+Weather_Input!C8)/2,"0")</f>
        <v>88/69/79</v>
      </c>
      <c r="H5" s="466" t="str">
        <f>TEXT(Weather_Input!B9,"0")&amp;"/"&amp;TEXT(Weather_Input!C9,"0") &amp; "/" &amp; TEXT((Weather_Input!B9+Weather_Input!C9)/2,"0")</f>
        <v>85/67/76</v>
      </c>
      <c r="I5" s="467" t="str">
        <f>TEXT(Weather_Input!B10,"0")&amp;"/"&amp;TEXT(Weather_Input!C10,"0") &amp; "/" &amp; TEXT((Weather_Input!B10+Weather_Input!C10)/2,"0")</f>
        <v>85/67/76</v>
      </c>
    </row>
    <row r="6" spans="1:256">
      <c r="A6" s="844" t="s">
        <v>137</v>
      </c>
      <c r="B6" s="832"/>
      <c r="C6" s="832"/>
      <c r="D6" s="466">
        <f>PGL_Deliveries!C5/1000</f>
        <v>190</v>
      </c>
      <c r="E6" s="466">
        <f>PGL_Deliveries!C6/1000</f>
        <v>220</v>
      </c>
      <c r="F6" s="466">
        <f>PGL_Deliveries!C7/1000</f>
        <v>220</v>
      </c>
      <c r="G6" s="466">
        <f>PGL_Deliveries!C8/1000</f>
        <v>220</v>
      </c>
      <c r="H6" s="466">
        <f>PGL_Deliveries!C9/1000</f>
        <v>230</v>
      </c>
      <c r="I6" s="467">
        <f>PGL_Deliveries!C10/1000</f>
        <v>210</v>
      </c>
    </row>
    <row r="7" spans="1:256">
      <c r="A7" s="844" t="s">
        <v>558</v>
      </c>
      <c r="B7" s="832" t="s">
        <v>414</v>
      </c>
      <c r="C7" s="832"/>
      <c r="D7" s="466">
        <f>PGL_Requirements!H7/1000</f>
        <v>2</v>
      </c>
      <c r="E7" s="466">
        <f>PGL_Requirements!H8/1000</f>
        <v>20</v>
      </c>
      <c r="F7" s="466">
        <f>PGL_Requirements!H9/1000</f>
        <v>0</v>
      </c>
      <c r="G7" s="466">
        <f>PGL_Requirements!H10/1000</f>
        <v>0</v>
      </c>
      <c r="H7" s="466">
        <f>PGL_Requirements!H11/1000</f>
        <v>0</v>
      </c>
      <c r="I7" s="467">
        <f>PGL_Requirements!H12/1000</f>
        <v>0</v>
      </c>
    </row>
    <row r="8" spans="1:256">
      <c r="A8" s="844" t="s">
        <v>764</v>
      </c>
      <c r="B8" s="832"/>
      <c r="C8" s="832"/>
      <c r="D8" s="466">
        <f>PGL_Requirements!I7/1000+PGL_Requirements!K7/1000</f>
        <v>0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>
      <c r="A13" s="841" t="s">
        <v>142</v>
      </c>
      <c r="B13" s="832" t="s">
        <v>143</v>
      </c>
      <c r="C13" s="832" t="s">
        <v>59</v>
      </c>
      <c r="D13" s="466">
        <f>PGL_Requirements!P7/1000</f>
        <v>155</v>
      </c>
      <c r="E13" s="466">
        <f>PGL_Requirements!P8/1000</f>
        <v>135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>
      <c r="A14" s="841"/>
      <c r="B14" s="832"/>
      <c r="C14" s="832" t="s">
        <v>99</v>
      </c>
      <c r="D14" s="466">
        <f>PGL_Requirements!Q7/1000</f>
        <v>2.3250000000000002</v>
      </c>
      <c r="E14" s="466">
        <f>PGL_Requirements!Q8/1000</f>
        <v>2.0249999999999999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>
      <c r="A15" s="841"/>
      <c r="C15" s="832" t="s">
        <v>720</v>
      </c>
      <c r="D15" s="466">
        <f>PGL_Requirements!R7/1000</f>
        <v>0.72</v>
      </c>
      <c r="E15" s="466">
        <f>PGL_Requirements!R8/1000</f>
        <v>0.72</v>
      </c>
      <c r="F15" s="466">
        <f>PGL_Requirements!R9/1000</f>
        <v>0.72</v>
      </c>
      <c r="G15" s="466">
        <f>PGL_Requirements!R10/1000</f>
        <v>0.72</v>
      </c>
      <c r="H15" s="466">
        <f>PGL_Requirements!R11/1000</f>
        <v>0.72</v>
      </c>
      <c r="I15" s="467">
        <f>PGL_Requirements!R12/1000</f>
        <v>0.72</v>
      </c>
    </row>
    <row r="16" spans="1:256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>
      <c r="A18" s="841"/>
      <c r="B18" s="832" t="s">
        <v>141</v>
      </c>
      <c r="C18" s="832" t="s">
        <v>89</v>
      </c>
      <c r="D18" s="466">
        <f>PGL_Requirements!U7/1000</f>
        <v>0.2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>
      <c r="A19" s="841"/>
      <c r="B19" s="832" t="s">
        <v>139</v>
      </c>
      <c r="C19" s="832" t="s">
        <v>89</v>
      </c>
      <c r="D19" s="466">
        <f>PGL_Requirements!O7/1000</f>
        <v>10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>
      <c r="A24" s="844" t="s">
        <v>147</v>
      </c>
      <c r="B24" s="832"/>
      <c r="C24" s="832"/>
      <c r="D24" s="466">
        <f>PGL_Requirements!G7/1000</f>
        <v>3.5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>
      <c r="A25" s="841" t="s">
        <v>148</v>
      </c>
      <c r="B25" s="832" t="s">
        <v>735</v>
      </c>
      <c r="C25" s="832"/>
      <c r="D25" s="466">
        <f>PGL_Requirements!J7/1000</f>
        <v>0.3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>
      <c r="A26" s="841"/>
      <c r="B26" s="832" t="s">
        <v>67</v>
      </c>
      <c r="C26" s="832"/>
      <c r="D26" s="466">
        <f>PGL_Requirements!C7/1000</f>
        <v>0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>
      <c r="A28" s="841"/>
      <c r="B28" s="832" t="s">
        <v>414</v>
      </c>
      <c r="C28" s="832"/>
      <c r="D28" s="466">
        <f>PGL_Requirements!E7/1000</f>
        <v>0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0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5.6" thickBot="1">
      <c r="A30" s="849" t="s">
        <v>149</v>
      </c>
      <c r="B30" s="850"/>
      <c r="C30" s="850"/>
      <c r="D30" s="470">
        <f t="shared" ref="D30:I30" si="1">SUM(D6:D29)</f>
        <v>368.04500000000002</v>
      </c>
      <c r="E30" s="470">
        <f t="shared" si="1"/>
        <v>377.745</v>
      </c>
      <c r="F30" s="470">
        <f t="shared" si="1"/>
        <v>357.745</v>
      </c>
      <c r="G30" s="470">
        <f t="shared" si="1"/>
        <v>357.745</v>
      </c>
      <c r="H30" s="470">
        <f t="shared" si="1"/>
        <v>367.745</v>
      </c>
      <c r="I30" s="1116">
        <f t="shared" si="1"/>
        <v>347.745</v>
      </c>
    </row>
    <row r="31" spans="1:10" ht="16.2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8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5.6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>
      <c r="A34" s="841"/>
      <c r="B34" s="832"/>
      <c r="C34" s="832" t="s">
        <v>92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>
      <c r="A37" s="841"/>
      <c r="B37" s="832" t="s">
        <v>139</v>
      </c>
      <c r="C37" s="832" t="s">
        <v>89</v>
      </c>
      <c r="D37" s="466">
        <f>PGL_Supplies!L7/1000</f>
        <v>0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>
      <c r="A43" s="844" t="s">
        <v>612</v>
      </c>
      <c r="B43" s="832" t="s">
        <v>414</v>
      </c>
      <c r="C43" s="832"/>
      <c r="D43" s="466">
        <f>PGL_Supplies!T7/1000</f>
        <v>17.167000000000002</v>
      </c>
      <c r="E43" s="466">
        <f>PGL_Supplies!T8/1000</f>
        <v>34.334000000000003</v>
      </c>
      <c r="F43" s="466">
        <f>PGL_Supplies!T9/1000</f>
        <v>0</v>
      </c>
      <c r="G43" s="466">
        <f>PGL_Supplies!T10/1000</f>
        <v>0</v>
      </c>
      <c r="H43" s="466">
        <f>PGL_Supplies!T11/1000</f>
        <v>0</v>
      </c>
      <c r="I43" s="467">
        <f>PGL_Supplies!T12/1000</f>
        <v>0</v>
      </c>
    </row>
    <row r="44" spans="1:9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>
      <c r="A47" s="858" t="s">
        <v>745</v>
      </c>
      <c r="B47" s="832" t="s">
        <v>726</v>
      </c>
      <c r="C47" s="832"/>
      <c r="D47" s="466">
        <f>PGL_Supplies!Y7/1000</f>
        <v>106.16</v>
      </c>
      <c r="E47" s="466">
        <f>PGL_Supplies!Y8/1000</f>
        <v>106.16</v>
      </c>
      <c r="F47" s="466">
        <f>PGL_Supplies!Y9/1000</f>
        <v>96.16</v>
      </c>
      <c r="G47" s="466">
        <f>PGL_Supplies!Y10/1000</f>
        <v>96.16</v>
      </c>
      <c r="H47" s="466">
        <f>PGL_Supplies!Y11/1000</f>
        <v>96.16</v>
      </c>
      <c r="I47" s="467">
        <f>PGL_Supplies!Y12/1000</f>
        <v>96.16</v>
      </c>
    </row>
    <row r="48" spans="1:9">
      <c r="A48" s="844"/>
      <c r="B48" s="832" t="s">
        <v>141</v>
      </c>
      <c r="C48" s="845"/>
      <c r="D48" s="466">
        <f>PGL_Supplies!Z7/1000</f>
        <v>0.2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>
      <c r="A50" s="844"/>
      <c r="B50" s="832" t="s">
        <v>414</v>
      </c>
      <c r="C50" s="845"/>
      <c r="D50" s="466">
        <f>PGL_Supplies!AB7/1000</f>
        <v>168.27500000000001</v>
      </c>
      <c r="E50" s="466">
        <f>PGL_Supplies!AB8/1000</f>
        <v>168.27500000000001</v>
      </c>
      <c r="F50" s="466">
        <f>PGL_Supplies!AB9/1000</f>
        <v>168.27500000000001</v>
      </c>
      <c r="G50" s="466">
        <f>PGL_Supplies!AB10/1000</f>
        <v>168.27500000000001</v>
      </c>
      <c r="H50" s="466">
        <f>PGL_Supplies!AB11/1000</f>
        <v>168.27500000000001</v>
      </c>
      <c r="I50" s="467">
        <f>PGL_Supplies!AB12/1000</f>
        <v>168.27500000000001</v>
      </c>
    </row>
    <row r="51" spans="1:10">
      <c r="A51" s="844"/>
      <c r="B51" s="832" t="s">
        <v>139</v>
      </c>
      <c r="C51" s="832"/>
      <c r="D51" s="466">
        <f>PGL_Supplies!AC7/1000</f>
        <v>51.445</v>
      </c>
      <c r="E51" s="466">
        <f>PGL_Supplies!AC8/1000</f>
        <v>50.984999999999999</v>
      </c>
      <c r="F51" s="466">
        <f>PGL_Supplies!AC9/1000</f>
        <v>41.445</v>
      </c>
      <c r="G51" s="466">
        <f>PGL_Supplies!AC10/1000</f>
        <v>41.445</v>
      </c>
      <c r="H51" s="466">
        <f>PGL_Supplies!AC11/1000</f>
        <v>41.445</v>
      </c>
      <c r="I51" s="467">
        <f>PGL_Supplies!AC12/1000</f>
        <v>41.445</v>
      </c>
    </row>
    <row r="52" spans="1:10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>
      <c r="A53" s="858"/>
      <c r="B53" s="832" t="s">
        <v>156</v>
      </c>
      <c r="C53" s="832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>
      <c r="A55" s="844" t="s">
        <v>759</v>
      </c>
      <c r="B55" s="832"/>
      <c r="C55" s="832"/>
      <c r="D55" s="466">
        <f>PGL_Supplies!B7/1000</f>
        <v>0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>
      <c r="A56" s="841" t="s">
        <v>734</v>
      </c>
      <c r="B56" s="832" t="s">
        <v>726</v>
      </c>
      <c r="C56" s="832"/>
      <c r="D56" s="466">
        <f>PGL_Supplies!X7/1000</f>
        <v>0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>
      <c r="A59" s="841"/>
      <c r="B59" s="832" t="s">
        <v>414</v>
      </c>
      <c r="C59" s="832"/>
      <c r="D59" s="466">
        <f>PGL_Supplies!E7/1000</f>
        <v>4.8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12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5.6" thickBot="1">
      <c r="A61" s="862" t="s">
        <v>158</v>
      </c>
      <c r="B61" s="863"/>
      <c r="C61" s="863"/>
      <c r="D61" s="476">
        <f t="shared" ref="D61:I61" si="2">SUM(D33:D60)</f>
        <v>368.04700000000003</v>
      </c>
      <c r="E61" s="476">
        <f t="shared" si="2"/>
        <v>391.95400000000001</v>
      </c>
      <c r="F61" s="476">
        <f t="shared" si="2"/>
        <v>326.08</v>
      </c>
      <c r="G61" s="476">
        <f t="shared" si="2"/>
        <v>326.08</v>
      </c>
      <c r="H61" s="476">
        <f t="shared" si="2"/>
        <v>326.08</v>
      </c>
      <c r="I61" s="1118">
        <f t="shared" si="2"/>
        <v>326.08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2.0000000000095497E-3</v>
      </c>
      <c r="E62" s="477">
        <f t="shared" si="3"/>
        <v>14.209000000000003</v>
      </c>
      <c r="F62" s="477">
        <f t="shared" si="3"/>
        <v>0</v>
      </c>
      <c r="G62" s="477">
        <f t="shared" si="3"/>
        <v>0</v>
      </c>
      <c r="H62" s="477">
        <f t="shared" si="3"/>
        <v>0</v>
      </c>
      <c r="I62" s="1119">
        <f t="shared" si="3"/>
        <v>0</v>
      </c>
    </row>
    <row r="63" spans="1:10" ht="15.6" thickBot="1">
      <c r="A63" s="866" t="s">
        <v>160</v>
      </c>
      <c r="B63" s="850"/>
      <c r="C63" s="867"/>
      <c r="D63" s="478">
        <f t="shared" ref="D63:I63" si="4">IF(D30-D61&lt;0,0,D30-D61)</f>
        <v>0</v>
      </c>
      <c r="E63" s="478">
        <f t="shared" si="4"/>
        <v>0</v>
      </c>
      <c r="F63" s="478">
        <f t="shared" si="4"/>
        <v>31.66500000000002</v>
      </c>
      <c r="G63" s="478">
        <f t="shared" si="4"/>
        <v>31.66500000000002</v>
      </c>
      <c r="H63" s="478">
        <f t="shared" si="4"/>
        <v>41.66500000000002</v>
      </c>
      <c r="I63" s="1120">
        <f t="shared" si="4"/>
        <v>21.66500000000002</v>
      </c>
    </row>
    <row r="64" spans="1:10" ht="16.2" thickTop="1" thickBot="1">
      <c r="A64" s="1107" t="s">
        <v>749</v>
      </c>
      <c r="B64" s="1108"/>
      <c r="C64" s="1108"/>
      <c r="D64" s="1109">
        <f>PGL_Supplies!V7/1000</f>
        <v>146.85599999999999</v>
      </c>
      <c r="E64" s="1109">
        <f>PGL_Supplies!V8/1000</f>
        <v>146.85599999999999</v>
      </c>
      <c r="F64" s="1109">
        <f>PGL_Supplies!V9/1000</f>
        <v>146.85599999999999</v>
      </c>
      <c r="G64" s="1109">
        <f>PGL_Supplies!V10/1000</f>
        <v>146.85599999999999</v>
      </c>
      <c r="H64" s="1109">
        <f>PGL_Supplies!V11/1000</f>
        <v>146.85599999999999</v>
      </c>
      <c r="I64" s="1110">
        <f>PGL_Supplies!V12/1000</f>
        <v>146.85599999999999</v>
      </c>
    </row>
    <row r="65" spans="3:3" ht="15.6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2001-06-10T16:33:46Z</cp:lastPrinted>
  <dcterms:created xsi:type="dcterms:W3CDTF">1997-07-16T16:14:22Z</dcterms:created>
  <dcterms:modified xsi:type="dcterms:W3CDTF">2023-09-10T11:13:31Z</dcterms:modified>
</cp:coreProperties>
</file>