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firstSheet="2" activeTab="4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4" i="11"/>
  <c r="I65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<sst xmlns="http://schemas.openxmlformats.org/spreadsheetml/2006/main" count="2146" uniqueCount="800">
  <si>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</si>
  <si>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</si>
  <si>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</si>
  <si>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</si>
  <si>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</si>
  <si>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</si>
  <si>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</si>
  <si>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</si>
  <si>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</si>
  <si>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</si>
  <si>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</si>
  <si>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</si>
  <si>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</si>
  <si>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</si>
  <si>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</si>
  <si>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</si>
  <si>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</si>
  <si>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</si>
  <si>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</si>
  <si>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</si>
  <si>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</si>
  <si>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</si>
  <si>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</si>
  <si>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</si>
  <si>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</si>
  <si>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</si>
  <si>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</si>
  <si>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</si>
  <si>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</si>
  <si>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</si>
  <si>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</si>
  <si>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</si>
  <si>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</si>
  <si>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</si>
  <si>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</si>
  <si>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</si>
  <si>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</si>
  <si>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</si>
  <si>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</si>
  <si>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</si>
  <si>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</si>
  <si>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</si>
  <si>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</si>
  <si>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</si>
  <si>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</si>
  <si>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</si>
  <si>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</si>
  <si>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</si>
  <si>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</si>
  <si>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</si>
  <si>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</si>
  <si>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</si>
  <si>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</si>
  <si>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</si>
  <si>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</si>
  <si>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</si>
  <si>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</si>
  <si>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</si>
  <si>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</si>
  <si>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</si>
  <si>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</si>
  <si>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</si>
  <si>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</si>
  <si>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</si>
  <si>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</si>
  <si>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</si>
  <si>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</si>
  <si>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</si>
  <si>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</si>
  <si>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</si>
  <si>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</si>
  <si>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</si>
  <si>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</si>
  <si>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</si>
  <si>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</si>
  <si>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</si>
  <si>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</si>
  <si>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</si>
  <si>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</si>
  <si>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</si>
  <si>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</si>
  <si>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</si>
  <si>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</si>
  <si>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</si>
  <si>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</si>
  <si>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</si>
  <si>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</si>
  <si>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</si>
  <si>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</si>
  <si>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</si>
  <si>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</si>
  <si>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</si>
  <si>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</si>
  <si>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</si>
  <si>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</si>
  <si>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</si>
  <si>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</si>
  <si>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</si>
  <si>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</si>
  <si>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</si>
  <si>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</si>
  <si>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</si>
  <si>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</si>
  <si>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</si>
  <si>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</si>
  <si>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</si>
  <si>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</si>
  <si>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</si>
  <si>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</si>
  <si>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</si>
  <si>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</si>
  <si>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</si>
  <si>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</si>
  <si>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</si>
  <si>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</si>
  <si>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</si>
  <si>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</si>
  <si>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</si>
  <si>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</si>
  <si>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</si>
  <si>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</si>
  <si>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</si>
  <si>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</si>
  <si>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</si>
  <si>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</si>
  <si>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</si>
  <si>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</si>
  <si>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</si>
  <si>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</si>
  <si>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</si>
  <si>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</si>
  <si>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</si>
  <si>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</si>
  <si>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</si>
  <si>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</si>
  <si>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</si>
  <si>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</si>
  <si>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</si>
  <si>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</si>
  <si>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</si>
  <si>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</si>
  <si>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</si>
  <si>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</si>
  <si>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</si>
  <si>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</si>
  <si>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</si>
  <si>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</si>
  <si>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</si>
  <si>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</si>
  <si>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</si>
  <si>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</si>
  <si>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</si>
  <si>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</si>
  <si>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</si>
  <si>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</si>
  <si>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</si>
  <si>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</si>
  <si>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</si>
  <si>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</si>
  <si>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</si>
  <si>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</si>
  <si>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</si>
  <si>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</si>
  <si>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</si>
  <si>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</si>
  <si>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</si>
  <si>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</si>
  <si>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</si>
  <si>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</si>
  <si>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</si>
  <si>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</si>
  <si>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</si>
  <si>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</si>
  <si>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</si>
  <si>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</si>
  <si>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</si>
  <si>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</si>
  <si>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</si>
  <si>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</si>
  <si>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</si>
  <si>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</si>
  <si>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</si>
  <si>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</si>
  <si>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</si>
  <si>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</si>
  <si>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</si>
  <si>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</si>
  <si>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</si>
  <si>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</si>
  <si>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</si>
  <si>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</si>
  <si>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</si>
  <si>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</si>
  <si>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</si>
  <si>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</si>
  <si>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</si>
  <si>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</si>
  <si>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</si>
  <si>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</si>
  <si>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</si>
  <si>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</si>
  <si>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</si>
  <si>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</si>
  <si>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</si>
  <si>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</si>
  <si>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</si>
  <si>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</si>
  <si>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</si>
  <si>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</si>
  <si>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</si>
  <si>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</si>
  <si>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</si>
  <si>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</si>
  <si>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</si>
  <si>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</si>
  <si>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</si>
  <si>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</si>
  <si>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</si>
  <si>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</si>
  <si>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</si>
  <si>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</si>
  <si>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</si>
  <si>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</si>
  <si>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</si>
  <si>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</si>
  <si>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</si>
  <si>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</si>
  <si>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</si>
  <si>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</si>
  <si>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</si>
  <si>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</si>
  <si>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</si>
  <si>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</si>
  <si>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</si>
  <si>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</si>
  <si>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</si>
  <si>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</si>
  <si>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</si>
  <si>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</si>
  <si>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</si>
  <si>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</si>
  <si>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</si>
  <si>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</si>
  <si>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</si>
  <si>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</si>
  <si>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</si>
  <si>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</si>
  <si>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</si>
  <si>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</si>
  <si>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</si>
  <si>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</si>
  <si>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</si>
  <si>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</si>
  <si>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</si>
  <si>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</si>
  <si>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</si>
  <si>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</si>
  <si>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</si>
  <si>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</si>
  <si>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</si>
  <si>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</si>
  <si>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</si>
  <si>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</si>
  <si>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</si>
  <si>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</si>
  <si>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</si>
  <si>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</si>
  <si>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</si>
  <si>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</si>
  <si>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</si>
  <si>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</si>
  <si>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</si>
  <si>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</si>
  <si>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</si>
  <si>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</si>
  <si>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</si>
  <si>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</si>
  <si>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</si>
  <si>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</si>
  <si>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</si>
  <si>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</si>
  <si>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</si>
  <si>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</si>
  <si>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</si>
  <si>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</si>
  <si>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</si>
  <si>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</si>
  <si>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</si>
  <si>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</si>
  <si>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</si>
  <si>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</si>
  <si>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</si>
  <si>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</si>
  <si>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</si>
  <si>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</si>
  <si>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</si>
  <si>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</si>
  <si>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</si>
  <si>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</si>
  <si>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</si>
  <si>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</si>
  <si>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</si>
  <si>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</si>
  <si>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</si>
  <si>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</si>
  <si>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</si>
  <si>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</si>
  <si>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</si>
  <si>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</si>
  <si>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</si>
  <si>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</si>
  <si>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</si>
  <si>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</si>
  <si>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</si>
  <si>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</si>
  <si>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</si>
  <si>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</si>
  <si>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</si>
  <si>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</si>
  <si>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</si>
  <si>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</si>
  <si>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</si>
  <si>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</si>
  <si>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</si>
  <si>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</si>
  <si>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</si>
  <si>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</si>
  <si>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</si>
  <si>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</si>
  <si>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</si>
  <si>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</si>
  <si>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</si>
  <si>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</si>
  <si>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</si>
  <si>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</si>
  <si>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</si>
  <si>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</si>
  <si>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</si>
  <si>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</si>
  <si>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</si>
  <si>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</si>
  <si>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</si>
  <si>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</si>
  <si>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</si>
  <si>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</si>
  <si>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</si>
  <si>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</si>
  <si>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</si>
  <si>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</si>
  <si>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</si>
  <si>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</si>
  <si>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</si>
  <si>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</si>
  <si>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</si>
  <si>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</si>
  <si>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</si>
  <si>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</si>
  <si>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</si>
  <si>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</si>
  <si>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</si>
  <si>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</si>
  <si>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</si>
  <si>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</si>
  <si>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</si>
  <si>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</si>
  <si>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</si>
  <si>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</si>
  <si>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</si>
  <si>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</si>
  <si>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</si>
  <si>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</si>
  <si>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</si>
  <si>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</si>
  <si>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</si>
  <si>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</si>
  <si>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</si>
  <si>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</si>
  <si>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</si>
  <si>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</si>
  <si>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</si>
  <si>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</si>
  <si>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</si>
  <si>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</si>
  <si>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</si>
  <si>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</si>
  <si>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</si>
  <si>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</si>
  <si>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</si>
  <si>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</si>
  <si>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</si>
  <si>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</si>
  <si>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</si>
  <si>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</si>
  <si>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</si>
  <si>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</si>
  <si>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</si>
  <si>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</si>
  <si>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</si>
  <si>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</si>
  <si>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</si>
  <si>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</si>
  <si>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</si>
  <si>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</si>
  <si>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</si>
  <si>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</si>
  <si>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</si>
  <si>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</si>
  <si>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</si>
  <si>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</si>
  <si>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</si>
  <si>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</si>
  <si>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</si>
  <si>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</si>
  <si>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</si>
  <si>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</si>
  <si>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</si>
  <si>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</si>
  <si>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</si>
  <si>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</si>
  <si>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</si>
  <si>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</si>
  <si>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</si>
  <si>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</si>
  <si>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</si>
  <si>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</si>
  <si>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</si>
  <si>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</si>
  <si>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</si>
  <si>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</si>
  <si>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</si>
  <si>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</si>
  <si>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</si>
  <si>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</si>
  <si>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</si>
  <si>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</si>
  <si>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</si>
  <si>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</si>
  <si>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</si>
  <si>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</si>
  <si>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</si>
  <si>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</si>
  <si>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</si>
  <si>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</si>
  <si>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</si>
  <si>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</si>
  <si>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</si>
  <si>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</si>
  <si>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</si>
  <si>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</si>
  <si>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</si>
  <si>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</si>
  <si>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</si>
  <si>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</si>
  <si>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</si>
  <si>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</si>
  <si>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</si>
  <si>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</si>
  <si>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</si>
  <si>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</si>
  <si>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</si>
  <si>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</si>
  <si>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</si>
  <si>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</si>
  <si>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</si>
  <si>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</si>
  <si>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</si>
  <si>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</si>
  <si>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</si>
  <si>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</si>
  <si>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</si>
  <si>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</si>
  <si>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</si>
  <si>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</si>
  <si>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</si>
  <si>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</si>
  <si>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</si>
  <si>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</si>
  <si>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</si>
  <si>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</si>
  <si>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</si>
  <si>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</si>
  <si>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</si>
  <si>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</si>
  <si>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</si>
  <si>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</si>
  <si>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</si>
  <si>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</si>
  <si>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</si>
  <si>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</si>
  <si>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</si>
  <si>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</si>
  <si>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</si>
  <si>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</si>
  <si>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</si>
  <si>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</si>
  <si>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</si>
  <si>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</si>
  <si>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</si>
  <si>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</si>
  <si>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</si>
  <si>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</si>
  <si>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</si>
  <si>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</si>
  <si>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</si>
  <si>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</si>
  <si>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</si>
  <si>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</si>
  <si>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</si>
  <si>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</si>
  <si>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</si>
  <si>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</si>
  <si>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</si>
  <si>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</si>
  <si>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</si>
  <si>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</si>
  <si>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</si>
  <si>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</si>
  <si>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</si>
  <si>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</si>
  <si>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</si>
  <si>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</si>
  <si>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</si>
  <si>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</si>
  <si>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</si>
  <si>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</si>
  <si>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</si>
  <si>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</si>
  <si>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</si>
  <si>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</si>
  <si>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</si>
  <si>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</si>
  <si>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</si>
  <si>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</si>
  <si>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</si>
  <si>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</si>
  <si>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</si>
  <si>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</si>
  <si>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</si>
  <si>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</si>
  <si>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</si>
  <si>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</si>
  <si>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</si>
  <si>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</si>
  <si>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</si>
  <si>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</si>
  <si>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</si>
  <si>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</si>
  <si>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</si>
  <si>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</si>
  <si>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</si>
  <si>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</si>
  <si>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</si>
  <si>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</si>
  <si>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</si>
  <si>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</si>
  <si>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</si>
  <si>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</si>
  <si>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</si>
  <si>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</si>
  <si>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</si>
  <si>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</si>
  <si>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</si>
  <si>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</si>
  <si>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</si>
  <si>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</si>
  <si>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</si>
  <si>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</si>
  <si>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</si>
  <si>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</si>
  <si>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</si>
  <si>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</si>
  <si>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</si>
  <si>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</si>
  <si>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</si>
  <si>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</si>
  <si>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</si>
  <si>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</si>
  <si>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</si>
  <si>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</si>
  <si>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</si>
  <si>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</si>
  <si>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</si>
  <si>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</si>
  <si>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</si>
  <si>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</si>
  <si>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</si>
  <si>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</si>
  <si>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</si>
  <si>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</si>
  <si>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</si>
  <si>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</si>
  <si>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</si>
  <si>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</si>
  <si>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</si>
  <si>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</si>
  <si>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</si>
  <si>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</si>
  <si>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</si>
  <si>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</si>
  <si>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</si>
  <si>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</si>
  <si>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</si>
  <si>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</si>
  <si>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</si>
  <si>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</si>
  <si>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</si>
  <si>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</si>
  <si>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</si>
  <si>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</si>
  <si>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</si>
  <si>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</si>
  <si>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</si>
  <si>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</si>
  <si>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</si>
  <si>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</si>
  <si>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</si>
  <si>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</si>
  <si>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</si>
  <si>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</si>
  <si>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</si>
  <si>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</si>
  <si>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</si>
  <si>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</si>
  <si>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</si>
  <si>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</si>
  <si>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</si>
  <si>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</si>
  <si>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</si>
  <si>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</si>
  <si>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</si>
  <si>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</si>
  <si>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</si>
  <si>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</si>
  <si>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</si>
  <si>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</si>
  <si>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</si>
  <si>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</si>
  <si>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</si>
  <si>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</si>
  <si>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</si>
  <si>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</si>
  <si>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</si>
  <si>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</si>
  <si>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</si>
  <si>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</si>
  <si>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</si>
  <si>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</si>
  <si>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</si>
  <si>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</si>
  <si>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</si>
  <si>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</si>
  <si>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</si>
  <si>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</si>
  <si>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</si>
  <si>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</si>
  <si>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</si>
  <si>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</si>
  <si>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</si>
  <si>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</si>
  <si>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</si>
  <si>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</si>
  <si>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</si>
  <si>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</si>
  <si>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</si>
  <si>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</si>
  <si>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</si>
  <si>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</si>
  <si>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</si>
  <si>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</si>
  <si>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</si>
  <si>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</si>
  <si>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</si>
  <si>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</si>
  <si>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</si>
  <si>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</si>
  <si>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</si>
  <si>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</si>
  <si>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</si>
  <si>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</si>
  <si>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</si>
  <si>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</si>
  <si>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</si>
  <si>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</si>
  <si>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</si>
  <si>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</si>
  <si>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</si>
  <si>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</si>
  <si>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</si>
  <si>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</si>
  <si>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</si>
  <si>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</si>
  <si>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</si>
  <si>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</si>
  <si>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</si>
  <si>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</si>
  <si>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</si>
  <si>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</si>
  <si>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</si>
  <si>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</si>
  <si>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</si>
  <si>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</si>
  <si>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</si>
  <si>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</si>
  <si>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</si>
  <si>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</si>
  <si>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</si>
  <si>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</si>
  <si>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</si>
  <si>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</si>
  <si>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</si>
  <si>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</si>
  <si>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</si>
  <si>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</si>
  <si>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</si>
  <si>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</si>
  <si>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</si>
  <si>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</si>
  <si>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</si>
  <si>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</si>
  <si>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</si>
  <si>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</si>
  <si>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</si>
  <si>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</si>
  <si>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</si>
  <si>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</si>
  <si>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</si>
  <si>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</si>
  <si>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</si>
  <si>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</si>
  <si>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</si>
  <si>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</si>
  <si>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</si>
  <si>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</si>
  <si>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</si>
  <si>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</si>
  <si>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</si>
  <si>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</si>
  <si>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</si>
  <si>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</si>
  <si>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</si>
  <si>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</si>
  <si>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</si>
  <si>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</si>
  <si>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</si>
  <si>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</si>
  <si>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</si>
  <si>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</si>
  <si>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</si>
  <si>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</si>
  <si>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</si>
  <si>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</si>
  <si>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</si>
  <si>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</si>
  <si>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</si>
  <si>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</si>
  <si>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</si>
  <si>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</si>
  <si>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</si>
  <si>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</si>
  <si>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</si>
  <si>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</si>
  <si>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</si>
  <si>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</si>
  <si>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</si>
  <si>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</si>
  <si>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</si>
  <si>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</si>
  <si>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</si>
  <si>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</si>
  <si>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</si>
  <si>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</si>
  <si>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</si>
  <si>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</si>
  <si>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</si>
  <si>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</si>
  <si>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</si>
  <si>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</si>
  <si>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</si>
  <si>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</si>
  <si>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</si>
  <si>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</si>
  <si>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</si>
  <si>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</si>
  <si>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</si>
  <si>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</si>
  <si>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</si>
  <si>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</si>
  <si>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</si>
  <si>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</si>
  <si>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</si>
  <si>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</si>
  <si>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</si>
  <si>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</si>
  <si>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 xml:space="preserve">  SEVERAL HOURS OF SUNSHINE.</t>
  </si>
  <si>
    <t xml:space="preserve">  PARTLY CLOUDY.</t>
  </si>
  <si>
    <t xml:space="preserve">  TODAY - MOSTLY SUNNY WITH A WARM BREEZE.</t>
  </si>
  <si>
    <t xml:space="preserve">  TONIGHT - MAINLY CLEAR AND COOL.</t>
  </si>
  <si>
    <t xml:space="preserve">  INTERVALS OF CLOUDS AND SUN.</t>
  </si>
  <si>
    <t xml:space="preserve">  SOME SUNSHINE WITH A CHANCE OF A THUNDERSTORM IN THE AFTERNOON.</t>
  </si>
  <si>
    <t xml:space="preserve">  PARTLY SUNNY.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</si>
</sst>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8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trike/>
      <sz val="12"/>
      <color indexed="5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72" fontId="0" fillId="0" borderId="52" xfId="0" applyNumberFormat="1" applyBorder="1"/>
    <xf numFmtId="0" fontId="6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79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79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79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79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79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79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>
      <selection activeCell="A2" sqref="A2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93" t="s">
        <v>11</v>
      </c>
      <c r="B1" s="812"/>
    </row>
    <row r="2" spans="1:88">
      <c r="A2" s="1111" t="s">
        <v>11</v>
      </c>
      <c r="B2" t="s">
        <v>11</v>
      </c>
    </row>
    <row r="3" spans="1:88" ht="15.6" thickBot="1">
      <c r="A3" s="1110" t="s">
        <v>706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2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724</v>
      </c>
      <c r="B5" s="778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9" t="s">
        <v>706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637</v>
      </c>
    </row>
    <row r="11" spans="1:88">
      <c r="A11" t="s">
        <v>11</v>
      </c>
      <c r="B11" s="812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637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790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634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634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8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637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637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8" t="s">
        <v>656</v>
      </c>
      <c r="B1" s="836"/>
      <c r="C1" s="836"/>
      <c r="D1" s="836"/>
      <c r="E1" s="836"/>
      <c r="F1" s="836"/>
      <c r="G1" s="836" t="s">
        <v>135</v>
      </c>
      <c r="H1" s="879" t="str">
        <f>D3</f>
        <v>THU</v>
      </c>
      <c r="I1" s="880">
        <f>D4</f>
        <v>37007</v>
      </c>
      <c r="J1" s="112"/>
    </row>
    <row r="2" spans="1:10" ht="20.100000000000001" customHeight="1">
      <c r="A2" s="839" t="s">
        <v>163</v>
      </c>
      <c r="B2" s="840"/>
      <c r="C2" s="840"/>
      <c r="D2" s="840"/>
      <c r="E2" s="840"/>
      <c r="F2" s="840"/>
      <c r="G2" s="840"/>
      <c r="H2" s="840"/>
      <c r="I2" s="841"/>
      <c r="J2" s="112"/>
    </row>
    <row r="3" spans="1:10" ht="20.100000000000001" customHeight="1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  <c r="J3" s="112"/>
    </row>
    <row r="4" spans="1:10" ht="20.100000000000001" customHeight="1" thickBot="1">
      <c r="A4" s="845" t="s">
        <v>164</v>
      </c>
      <c r="B4" s="846"/>
      <c r="C4" s="846"/>
      <c r="D4" s="847">
        <f>Weather_Input!A5</f>
        <v>37007</v>
      </c>
      <c r="E4" s="847">
        <f>Weather_Input!A6</f>
        <v>37008</v>
      </c>
      <c r="F4" s="847">
        <f>Weather_Input!A7</f>
        <v>37009</v>
      </c>
      <c r="G4" s="847">
        <f>Weather_Input!A8</f>
        <v>37010</v>
      </c>
      <c r="H4" s="847">
        <f>Weather_Input!A9</f>
        <v>37011</v>
      </c>
      <c r="I4" s="848">
        <f>Weather_Input!A10</f>
        <v>37012</v>
      </c>
      <c r="J4" s="112"/>
    </row>
    <row r="5" spans="1:10" s="113" customFormat="1" ht="20.100000000000001" customHeight="1" thickTop="1">
      <c r="A5" s="849" t="s">
        <v>137</v>
      </c>
      <c r="B5" s="840"/>
      <c r="C5" s="840" t="s">
        <v>138</v>
      </c>
      <c r="D5" s="881" t="str">
        <f>TEXT(Weather_Input!B5,"0")&amp;"/"&amp;TEXT(Weather_Input!C5,"0") &amp; "/" &amp; TEXT((Weather_Input!B5+Weather_Input!C5)/2,"0")</f>
        <v>75/52/64</v>
      </c>
      <c r="E5" s="881" t="str">
        <f>TEXT(Weather_Input!B6,"0")&amp;"/"&amp;TEXT(Weather_Input!C6,"0") &amp; "/" &amp; TEXT((Weather_Input!B6+Weather_Input!C6)/2,"0")</f>
        <v>64/42/53</v>
      </c>
      <c r="F5" s="881" t="str">
        <f>TEXT(Weather_Input!B7,"0")&amp;"/"&amp;TEXT(Weather_Input!C7,"0") &amp; "/" &amp; TEXT((Weather_Input!B7+Weather_Input!C7)/2,"0")</f>
        <v>67/47/57</v>
      </c>
      <c r="G5" s="881" t="str">
        <f>TEXT(Weather_Input!B8,"0")&amp;"/"&amp;TEXT(Weather_Input!C8,"0") &amp; "/" &amp; TEXT((Weather_Input!B8+Weather_Input!C8)/2,"0")</f>
        <v>78/56/67</v>
      </c>
      <c r="H5" s="881" t="str">
        <f>TEXT(Weather_Input!B9,"0")&amp;"/"&amp;TEXT(Weather_Input!C9,"0") &amp; "/" &amp; TEXT((Weather_Input!B9+Weather_Input!C9)/2,"0")</f>
        <v>80/58/69</v>
      </c>
      <c r="I5" s="882" t="str">
        <f>TEXT(Weather_Input!B10,"0")&amp;"/"&amp;TEXT(Weather_Input!C10,"0") &amp; "/" &amp; TEXT((Weather_Input!B10+Weather_Input!C10)/2,"0")</f>
        <v>80/58/69</v>
      </c>
      <c r="J5" s="112"/>
    </row>
    <row r="6" spans="1:10" ht="20.100000000000001" customHeight="1">
      <c r="A6" s="852" t="s">
        <v>139</v>
      </c>
      <c r="B6" s="840"/>
      <c r="C6" s="840"/>
      <c r="D6" s="850">
        <f ca="1">VLOOKUP(D4,NSG_Sendouts,CELL("Col",NSG_Deliveries!C5),FALSE)/1000</f>
        <v>43</v>
      </c>
      <c r="E6" s="850">
        <f ca="1">VLOOKUP(E4,NSG_Sendouts,CELL("Col",NSG_Deliveries!C6),FALSE)/1000</f>
        <v>56</v>
      </c>
      <c r="F6" s="850">
        <f ca="1">VLOOKUP(F4,NSG_Sendouts,CELL("Col",NSG_Deliveries!C7),FALSE)/1000</f>
        <v>53</v>
      </c>
      <c r="G6" s="850">
        <f ca="1">VLOOKUP(G4,NSG_Sendouts,CELL("Col",NSG_Deliveries!C8),FALSE)/1000</f>
        <v>44</v>
      </c>
      <c r="H6" s="850">
        <f ca="1">VLOOKUP(H4,NSG_Sendouts,CELL("Col",NSG_Deliveries!C9),FALSE)/1000</f>
        <v>46</v>
      </c>
      <c r="I6" s="855">
        <f ca="1">VLOOKUP(I4,NSG_Sendouts,CELL("Col",NSG_Deliveries!C10),FALSE)/1000</f>
        <v>46</v>
      </c>
      <c r="J6" s="113"/>
    </row>
    <row r="7" spans="1:10" ht="20.100000000000001" customHeight="1">
      <c r="A7" s="849" t="s">
        <v>140</v>
      </c>
      <c r="B7" s="840" t="s">
        <v>141</v>
      </c>
      <c r="C7" s="840"/>
      <c r="D7" s="850">
        <f>NSG_Requirements!C7/1000</f>
        <v>0</v>
      </c>
      <c r="E7" s="850">
        <f>NSG_Requirements!C8/1000</f>
        <v>0</v>
      </c>
      <c r="F7" s="850">
        <f>NSG_Requirements!C9/1000</f>
        <v>0</v>
      </c>
      <c r="G7" s="850">
        <f>NSG_Requirements!C10/1000</f>
        <v>0</v>
      </c>
      <c r="H7" s="850">
        <f>NSG_Requirements!C11/1000</f>
        <v>0</v>
      </c>
      <c r="I7" s="851">
        <f>NSG_Requirements!C12/1000</f>
        <v>0</v>
      </c>
      <c r="J7" s="112"/>
    </row>
    <row r="8" spans="1:10" ht="20.100000000000001" customHeight="1">
      <c r="A8" s="849"/>
      <c r="B8" s="840" t="s">
        <v>143</v>
      </c>
      <c r="C8" s="840"/>
      <c r="D8" s="850">
        <f>NSG_Requirements!D7/1000</f>
        <v>0</v>
      </c>
      <c r="E8" s="850">
        <f>NSG_Requirements!D8/1000</f>
        <v>0</v>
      </c>
      <c r="F8" s="850">
        <f>NSG_Requirements!D9/1000</f>
        <v>0</v>
      </c>
      <c r="G8" s="850">
        <f>NSG_Requirements!D10/1000</f>
        <v>0</v>
      </c>
      <c r="H8" s="850">
        <f>NSG_Requirements!D11/1000</f>
        <v>0</v>
      </c>
      <c r="I8" s="855">
        <f>NSG_Requirements!D11/1000</f>
        <v>0</v>
      </c>
      <c r="J8" s="113"/>
    </row>
    <row r="9" spans="1:10" ht="20.100000000000001" customHeight="1">
      <c r="A9" s="849"/>
      <c r="B9" s="840" t="s">
        <v>147</v>
      </c>
      <c r="C9" s="840"/>
      <c r="D9" s="850">
        <f>NSG_Requirements!E7/1000</f>
        <v>0</v>
      </c>
      <c r="E9" s="850">
        <f>NSG_Requirements!E8/1000</f>
        <v>0</v>
      </c>
      <c r="F9" s="850">
        <f>NSG_Requirements!E9/1000</f>
        <v>0</v>
      </c>
      <c r="G9" s="850">
        <f>NSG_Requirements!E10/1000</f>
        <v>0</v>
      </c>
      <c r="H9" s="850">
        <f>NSG_Requirements!E11/1000</f>
        <v>0</v>
      </c>
      <c r="I9" s="855">
        <f>NSG_Requirements!E12/1000</f>
        <v>0</v>
      </c>
      <c r="J9" s="113"/>
    </row>
    <row r="10" spans="1:10" ht="20.100000000000001" customHeight="1">
      <c r="A10" s="849"/>
      <c r="B10" s="840" t="s">
        <v>421</v>
      </c>
      <c r="C10" s="840"/>
      <c r="D10" s="850">
        <f>NSG_Requirements!F7/1000</f>
        <v>0</v>
      </c>
      <c r="E10" s="850">
        <f>NSG_Requirements!F8/1000</f>
        <v>0</v>
      </c>
      <c r="F10" s="850">
        <f>NSG_Requirements!F9/1000</f>
        <v>0</v>
      </c>
      <c r="G10" s="850">
        <f>NSG_Requirements!F10/1000</f>
        <v>0</v>
      </c>
      <c r="H10" s="850">
        <f>NSG_Requirements!F11/1000</f>
        <v>0</v>
      </c>
      <c r="I10" s="855">
        <f>NSG_Requirements!F12/1000</f>
        <v>0</v>
      </c>
      <c r="J10" s="113"/>
    </row>
    <row r="11" spans="1:10" ht="20.100000000000001" customHeight="1">
      <c r="A11" s="849" t="s">
        <v>144</v>
      </c>
      <c r="B11" s="840" t="s">
        <v>145</v>
      </c>
      <c r="C11" s="840" t="s">
        <v>60</v>
      </c>
      <c r="D11" s="850">
        <f>(NSG_Requirements!$K$7+NSG_Requirements!$L$7+NSG_Requirements!$M$7+NSG_Requirements!$N$7)/1000</f>
        <v>0</v>
      </c>
      <c r="E11" s="850">
        <f>(NSG_Requirements!$K$8+NSG_Requirements!$L$8+NSG_Requirements!$M$8+NSG_Requirements!$N$8)/1000</f>
        <v>0</v>
      </c>
      <c r="F11" s="850">
        <f>(NSG_Requirements!$K$9+NSG_Requirements!$L$9+NSG_Requirements!$M$9+NSG_Requirements!$N$9)/1000</f>
        <v>0</v>
      </c>
      <c r="G11" s="850">
        <f>(NSG_Requirements!$K$10+NSG_Requirements!$L$10+NSG_Requirements!$M$10+NSG_Requirements!$N$10)/1000</f>
        <v>0</v>
      </c>
      <c r="H11" s="850">
        <f>(NSG_Requirements!$K$11+NSG_Requirements!$L$11+NSG_Requirements!$M$11+NSG_Requirements!$N$11)/1000</f>
        <v>0</v>
      </c>
      <c r="I11" s="855">
        <f>(NSG_Requirements!$K$12+NSG_Requirements!$L$12+NSG_Requirements!$M$12+NSG_Requirements!$N$12)/1000</f>
        <v>0</v>
      </c>
      <c r="J11" s="113"/>
    </row>
    <row r="12" spans="1:10" ht="20.100000000000001" customHeight="1">
      <c r="A12" s="849"/>
      <c r="B12" s="840" t="s">
        <v>143</v>
      </c>
      <c r="C12" s="854" t="s">
        <v>90</v>
      </c>
      <c r="D12" s="850">
        <f>NSG_Requirements!J7/1000</f>
        <v>20</v>
      </c>
      <c r="E12" s="850">
        <f>NSG_Requirements!J8/1000</f>
        <v>20</v>
      </c>
      <c r="F12" s="850">
        <f>NSG_Requirements!J9/1000</f>
        <v>20</v>
      </c>
      <c r="G12" s="850">
        <f>NSG_Requirements!J10/1000</f>
        <v>20</v>
      </c>
      <c r="H12" s="850">
        <f>NSG_Requirements!J11/1000</f>
        <v>20</v>
      </c>
      <c r="I12" s="851">
        <f>NSG_Requirements!J12/1000</f>
        <v>20</v>
      </c>
      <c r="J12" s="112"/>
    </row>
    <row r="13" spans="1:10" ht="20.100000000000001" customHeight="1">
      <c r="A13" s="849"/>
      <c r="B13" s="840" t="s">
        <v>141</v>
      </c>
      <c r="C13" s="854" t="s">
        <v>90</v>
      </c>
      <c r="D13" s="850">
        <f>NSG_Requirements!H7/1000</f>
        <v>9.91</v>
      </c>
      <c r="E13" s="850">
        <f>NSG_Requirements!H8/1000</f>
        <v>0</v>
      </c>
      <c r="F13" s="850">
        <f>NSG_Requirements!H9/1000</f>
        <v>0</v>
      </c>
      <c r="G13" s="850">
        <f>NSG_Requirements!H10/1000</f>
        <v>0</v>
      </c>
      <c r="H13" s="850">
        <f>NSG_Requirements!H11/1000</f>
        <v>0</v>
      </c>
      <c r="I13" s="851">
        <f>NSG_Requirements!H12/1000</f>
        <v>0</v>
      </c>
      <c r="J13" s="112"/>
    </row>
    <row r="14" spans="1:10" ht="20.100000000000001" customHeight="1">
      <c r="A14" s="849"/>
      <c r="B14" s="840" t="s">
        <v>143</v>
      </c>
      <c r="C14" s="840"/>
      <c r="D14" s="850">
        <f>(NSG_Requirements!$S$7+NSG_Requirements!$T$7+NSG_Requirements!$U$7)/1000</f>
        <v>0</v>
      </c>
      <c r="E14" s="850">
        <f>(NSG_Requirements!$S$8+NSG_Requirements!$T$8+NSG_Requirements!$U$8)/1000</f>
        <v>0</v>
      </c>
      <c r="F14" s="850">
        <f>(NSG_Requirements!$S$9+NSG_Requirements!$T$9+NSG_Requirements!$U$9)/1000</f>
        <v>0</v>
      </c>
      <c r="G14" s="850">
        <f>(NSG_Requirements!$S$10+NSG_Requirements!$T$10+NSG_Requirements!$U$10)/1000</f>
        <v>0</v>
      </c>
      <c r="H14" s="850">
        <f>(NSG_Requirements!$S$11+NSG_Requirements!$T$11+NSG_Requirements!$U$11)/1000</f>
        <v>0</v>
      </c>
      <c r="I14" s="855">
        <f>(NSG_Requirements!$S$12+NSG_Requirements!$T$12+NSG_Requirements!$U$12)/1000</f>
        <v>0</v>
      </c>
      <c r="J14" s="112"/>
    </row>
    <row r="15" spans="1:10" ht="20.100000000000001" customHeight="1">
      <c r="A15" s="849"/>
      <c r="B15" s="840" t="s">
        <v>141</v>
      </c>
      <c r="C15" s="840"/>
      <c r="D15" s="850">
        <f>(NSG_Requirements!$Y$7+NSG_Requirements!$Z$7+NSG_Requirements!$AA$7)/1000</f>
        <v>0</v>
      </c>
      <c r="E15" s="850">
        <f>(NSG_Requirements!$Y$8+NSG_Requirements!$Z$8+NSG_Requirements!$AA$8)/1000</f>
        <v>0</v>
      </c>
      <c r="F15" s="850">
        <f>(NSG_Requirements!$Y$9+NSG_Requirements!$Z$9+NSG_Requirements!$AA$9)/1000</f>
        <v>0</v>
      </c>
      <c r="G15" s="850">
        <f>(NSG_Requirements!$Y$10+NSG_Requirements!$Z$10+NSG_Requirements!$AA$10)/1000</f>
        <v>0</v>
      </c>
      <c r="H15" s="850">
        <f>(NSG_Requirements!$Y$11+NSG_Requirements!$Z$11+NSG_Requirements!$AA$11)/1000</f>
        <v>0</v>
      </c>
      <c r="I15" s="855">
        <f>(NSG_Requirements!$Y$12+NSG_Requirements!$Z$12+NSG_Requirements!$AA$12)/1000</f>
        <v>0</v>
      </c>
      <c r="J15" s="113"/>
    </row>
    <row r="16" spans="1:10" ht="20.100000000000001" customHeight="1">
      <c r="A16" s="849"/>
      <c r="B16" s="840" t="s">
        <v>147</v>
      </c>
      <c r="C16" s="854"/>
      <c r="D16" s="850">
        <f>(NSG_Requirements!$V$7+NSG_Requirements!$W$7+NSG_Requirements!$X$7)/1000</f>
        <v>0</v>
      </c>
      <c r="E16" s="850">
        <f>(NSG_Requirements!$V$8+NSG_Requirements!$W$8+NSG_Requirements!$X$8)/1000</f>
        <v>0</v>
      </c>
      <c r="F16" s="850">
        <f>(NSG_Requirements!$V$9+NSG_Requirements!$W$9+NSG_Requirements!$X$9)/1000</f>
        <v>0</v>
      </c>
      <c r="G16" s="850">
        <f>(NSG_Requirements!$V$10+NSG_Requirements!$W$10+NSG_Requirements!$X$10)/1000</f>
        <v>0</v>
      </c>
      <c r="H16" s="850">
        <f>(NSG_Requirements!$V$11+NSG_Requirements!$W$11+NSG_Requirements!$X$11)/1000</f>
        <v>0</v>
      </c>
      <c r="I16" s="855">
        <f>(NSG_Requirements!$V$12+NSG_Requirements!$W$12+NSG_Requirements!$X$12)/1000</f>
        <v>0</v>
      </c>
      <c r="J16" s="113"/>
    </row>
    <row r="17" spans="1:10" ht="20.100000000000001" customHeight="1">
      <c r="A17" s="849"/>
      <c r="B17" s="840" t="s">
        <v>421</v>
      </c>
      <c r="C17" s="840"/>
      <c r="D17" s="850">
        <f>(NSG_Requirements!$AB$7+NSG_Requirements!$AC$7+NSG_Requirements!$AD$7+NSG_Requirements!$AE$7)/1000</f>
        <v>0</v>
      </c>
      <c r="E17" s="850">
        <f>(NSG_Requirements!$AB$8+NSG_Requirements!$AC$8+NSG_Requirements!$AD$8+NSG_Requirements!$AE$8)/1000</f>
        <v>0</v>
      </c>
      <c r="F17" s="850">
        <f>(NSG_Requirements!$AB$9+NSG_Requirements!$AC9+NSG_Requirements!$AD$9+NSG_Requirements!$AE$9)/1000</f>
        <v>0</v>
      </c>
      <c r="G17" s="850">
        <f>(NSG_Requirements!$AB$10+NSG_Requirements!$AC$10+NSG_Requirements!$AD$10+NSG_Requirements!$AE$10)/1000</f>
        <v>0</v>
      </c>
      <c r="H17" s="850">
        <f>(NSG_Requirements!$Y$11+NSG_Requirements!$Z$11+NSG_Requirements!$AA$11+NSG_Requirements!$AE$11)/1000</f>
        <v>0</v>
      </c>
      <c r="I17" s="855">
        <f>(NSG_Requirements!$Y$12+NSG_Requirements!$Z$12+NSG_Requirements!$AA$12+NSG_Requirements!$AE$12)/1000</f>
        <v>0</v>
      </c>
      <c r="J17" s="113"/>
    </row>
    <row r="18" spans="1:10" ht="20.100000000000001" customHeight="1">
      <c r="A18" s="867" t="s">
        <v>165</v>
      </c>
      <c r="B18" s="868" t="s">
        <v>406</v>
      </c>
      <c r="C18" s="868"/>
      <c r="D18" s="883">
        <f>NSG_Requirements!B7/1000</f>
        <v>0</v>
      </c>
      <c r="E18" s="883">
        <f>NSG_Requirements!B8/1000</f>
        <v>0</v>
      </c>
      <c r="F18" s="883">
        <f>NSG_Requirements!B9/1000</f>
        <v>0</v>
      </c>
      <c r="G18" s="883">
        <f>NSG_Requirements!B10/1000</f>
        <v>0</v>
      </c>
      <c r="H18" s="883">
        <f>NSG_Requirements!B11/1000</f>
        <v>0</v>
      </c>
      <c r="I18" s="884">
        <f>NSG_Requirements!B12/1000</f>
        <v>0</v>
      </c>
      <c r="J18" s="112"/>
    </row>
    <row r="19" spans="1:10" ht="20.100000000000001" customHeight="1" thickBot="1">
      <c r="A19" s="885" t="s">
        <v>151</v>
      </c>
      <c r="B19" s="875"/>
      <c r="C19" s="875"/>
      <c r="D19" s="859">
        <f t="shared" ref="D19:I19" ca="1" si="1">SUM(D6:D18)</f>
        <v>72.91</v>
      </c>
      <c r="E19" s="859">
        <f t="shared" ca="1" si="1"/>
        <v>76</v>
      </c>
      <c r="F19" s="859">
        <f t="shared" ca="1" si="1"/>
        <v>73</v>
      </c>
      <c r="G19" s="859">
        <f t="shared" ca="1" si="1"/>
        <v>64</v>
      </c>
      <c r="H19" s="859">
        <f t="shared" ca="1" si="1"/>
        <v>66</v>
      </c>
      <c r="I19" s="860">
        <f t="shared" ca="1" si="1"/>
        <v>66</v>
      </c>
      <c r="J19" s="112"/>
    </row>
    <row r="20" spans="1:10" ht="20.100000000000001" customHeight="1" thickTop="1" thickBot="1">
      <c r="A20" s="886"/>
      <c r="B20" s="887"/>
      <c r="C20" s="887"/>
      <c r="D20" s="888"/>
      <c r="E20" s="888"/>
      <c r="F20" s="888"/>
      <c r="G20" s="888"/>
      <c r="H20" s="888"/>
      <c r="I20" s="888"/>
      <c r="J20" s="113"/>
    </row>
    <row r="21" spans="1:10" ht="20.100000000000001" customHeight="1" thickTop="1" thickBot="1">
      <c r="A21" s="889" t="s">
        <v>152</v>
      </c>
      <c r="B21" s="863"/>
      <c r="C21" s="863"/>
      <c r="D21" s="864"/>
      <c r="E21" s="864"/>
      <c r="F21" s="864"/>
      <c r="G21" s="864"/>
      <c r="H21" s="864"/>
      <c r="I21" s="865"/>
      <c r="J21" s="112"/>
    </row>
    <row r="22" spans="1:10" ht="20.100000000000001" customHeight="1" thickTop="1">
      <c r="A22" s="849" t="s">
        <v>780</v>
      </c>
      <c r="B22" s="840" t="s">
        <v>145</v>
      </c>
      <c r="C22" s="840" t="s">
        <v>166</v>
      </c>
      <c r="D22" s="850">
        <f>NSG_Supplies!H7/1000</f>
        <v>0</v>
      </c>
      <c r="E22" s="850">
        <f>NSG_Supplies!H8/1000</f>
        <v>0</v>
      </c>
      <c r="F22" s="850">
        <f>NSG_Supplies!H9/1000</f>
        <v>0</v>
      </c>
      <c r="G22" s="850">
        <f>NSG_Supplies!H10/1000</f>
        <v>0</v>
      </c>
      <c r="H22" s="850">
        <f>NSG_Supplies!H11/1000</f>
        <v>0</v>
      </c>
      <c r="I22" s="851">
        <f>NSG_Supplies!H12/1000</f>
        <v>0</v>
      </c>
      <c r="J22" s="112"/>
    </row>
    <row r="23" spans="1:10" ht="20.100000000000001" customHeight="1">
      <c r="A23" s="849"/>
      <c r="B23" s="840" t="s">
        <v>143</v>
      </c>
      <c r="C23" s="840" t="s">
        <v>154</v>
      </c>
      <c r="D23" s="850">
        <f>NSG_Supplies!L7/1000</f>
        <v>0</v>
      </c>
      <c r="E23" s="850">
        <f>NSG_Supplies!L8/1000</f>
        <v>0</v>
      </c>
      <c r="F23" s="850">
        <f>NSG_Supplies!L9/1000</f>
        <v>0</v>
      </c>
      <c r="G23" s="850">
        <f>NSG_Supplies!L10/1000</f>
        <v>0</v>
      </c>
      <c r="H23" s="850">
        <f>NSG_Supplies!L11/1000</f>
        <v>0</v>
      </c>
      <c r="I23" s="851">
        <f>NSG_Supplies!L12/1000</f>
        <v>0</v>
      </c>
      <c r="J23" s="112"/>
    </row>
    <row r="24" spans="1:10" ht="20.100000000000001" customHeight="1">
      <c r="A24" s="849"/>
      <c r="B24" s="840"/>
      <c r="C24" s="840" t="s">
        <v>10</v>
      </c>
      <c r="D24" s="850">
        <f>NSG_Supplies!E7/1000</f>
        <v>0</v>
      </c>
      <c r="E24" s="850">
        <f>NSG_Supplies!E8/1000</f>
        <v>0</v>
      </c>
      <c r="F24" s="850">
        <f>NSG_Supplies!E9/1000</f>
        <v>0</v>
      </c>
      <c r="G24" s="850">
        <f>NSG_Supplies!E10/1000</f>
        <v>0</v>
      </c>
      <c r="H24" s="850">
        <f>NSG_Supplies!E11/1000</f>
        <v>0</v>
      </c>
      <c r="I24" s="855">
        <f>NSG_Supplies!E12/1000</f>
        <v>0</v>
      </c>
      <c r="J24" s="113"/>
    </row>
    <row r="25" spans="1:10" ht="20.100000000000001" customHeight="1">
      <c r="A25" s="849"/>
      <c r="B25" s="840" t="s">
        <v>141</v>
      </c>
      <c r="C25" s="854" t="s">
        <v>90</v>
      </c>
      <c r="D25" s="850">
        <f>NSG_Supplies!F7/1000</f>
        <v>0</v>
      </c>
      <c r="E25" s="850">
        <f>NSG_Supplies!F8/1000</f>
        <v>3.1</v>
      </c>
      <c r="F25" s="850">
        <f>NSG_Supplies!F9/1000</f>
        <v>0</v>
      </c>
      <c r="G25" s="850">
        <f>NSG_Supplies!F10/1000</f>
        <v>0</v>
      </c>
      <c r="H25" s="850">
        <f>NSG_Supplies!F11/1000</f>
        <v>0</v>
      </c>
      <c r="I25" s="855">
        <f>NSG_Supplies!F12/1000</f>
        <v>0</v>
      </c>
      <c r="J25" s="113"/>
    </row>
    <row r="26" spans="1:10" ht="20.100000000000001" customHeight="1">
      <c r="A26" s="849"/>
      <c r="B26" s="840" t="s">
        <v>83</v>
      </c>
      <c r="C26" s="840" t="s">
        <v>781</v>
      </c>
      <c r="D26" s="850">
        <f>NSG_Supplies!U7/1000</f>
        <v>0</v>
      </c>
      <c r="E26" s="850">
        <f>NSG_Supplies!U8/1000</f>
        <v>0</v>
      </c>
      <c r="F26" s="850">
        <f>NSG_Supplies!U9/1000</f>
        <v>0</v>
      </c>
      <c r="G26" s="850">
        <f>NSG_Supplies!U10/1000</f>
        <v>0</v>
      </c>
      <c r="H26" s="850">
        <f>NSG_Supplies!U11/1000</f>
        <v>0</v>
      </c>
      <c r="I26" s="855">
        <f>NSG_Supplies!U12/1000</f>
        <v>0</v>
      </c>
      <c r="J26" s="113"/>
    </row>
    <row r="27" spans="1:10" ht="20.100000000000001" customHeight="1">
      <c r="A27" s="852" t="s">
        <v>167</v>
      </c>
      <c r="B27" s="856" t="s">
        <v>143</v>
      </c>
      <c r="C27" s="856"/>
      <c r="D27" s="850">
        <f>(PGL_Requirements!$V$7+PGL_Requirements!$W$7+PGL_Requirements!$X$7)/1000</f>
        <v>0</v>
      </c>
      <c r="E27" s="850">
        <f>(PGL_Requirements!$V$8+PGL_Requirements!$W$8+PGL_Requirements!$X$8)/1000</f>
        <v>0</v>
      </c>
      <c r="F27" s="850">
        <f>(PGL_Requirements!$V$9+PGL_Requirements!$W$9+PGL_Requirements!$X$9)/1000</f>
        <v>0</v>
      </c>
      <c r="G27" s="850">
        <f>(PGL_Requirements!$V$10+PGL_Requirements!$W$10+PGL_Requirements!$X$10)/1000</f>
        <v>0</v>
      </c>
      <c r="H27" s="850">
        <f>(PGL_Requirements!$V$11+PGL_Requirements!$W$11+PGL_Requirements!$X$11)/1000</f>
        <v>0</v>
      </c>
      <c r="I27" s="851">
        <f>(PGL_Requirements!$V$12+PGL_Requirements!$W$12+PGL_Requirements!$X$12)/1000</f>
        <v>0</v>
      </c>
      <c r="J27" s="112"/>
    </row>
    <row r="28" spans="1:10" ht="20.100000000000001" customHeight="1">
      <c r="A28" s="849"/>
      <c r="B28" s="856" t="s">
        <v>141</v>
      </c>
      <c r="C28" s="856"/>
      <c r="D28" s="850">
        <f>(PGL_Requirements!$Y$7+PGL_Requirements!$AA$7+PGL_Requirements!$Z$7+PGL_Requirements!$AB$7)/1000</f>
        <v>0</v>
      </c>
      <c r="E28" s="850">
        <f>(PGL_Requirements!$Y$8+PGL_Requirements!$AA$8+PGL_Requirements!$Z$8+PGL_Requirements!$AB$8)/1000</f>
        <v>0</v>
      </c>
      <c r="F28" s="850">
        <f>(PGL_Requirements!$Y$9+PGL_Requirements!$AA$9+PGL_Requirements!$Z$9+PGL_Requirements!$AB$9)/1000</f>
        <v>0</v>
      </c>
      <c r="G28" s="850">
        <f>(PGL_Requirements!$Y$10+PGL_Requirements!$AA$10+PGL_Requirements!$Z$10+PGL_Requirements!$AB$10)/1000</f>
        <v>0</v>
      </c>
      <c r="H28" s="850">
        <f>(PGL_Requirements!$Y$11+PGL_Requirements!$AA$11+PGL_Requirements!$Z$11+PGL_Requirements!$AB$11)/1000</f>
        <v>0</v>
      </c>
      <c r="I28" s="851">
        <f>(PGL_Requirements!$Y$12+PGL_Requirements!$AA$12+PGL_Requirements!$Z$12+PGL_Requirements!$AB$12)/1000</f>
        <v>0</v>
      </c>
      <c r="J28" s="112"/>
    </row>
    <row r="29" spans="1:10" ht="20.100000000000001" customHeight="1">
      <c r="A29" s="849"/>
      <c r="B29" s="856" t="s">
        <v>147</v>
      </c>
      <c r="C29" s="840"/>
      <c r="D29" s="850">
        <f>(PGL_Requirements!$AC$7+PGL_Requirements!$AD$7+PGL_Requirements!$AE$7)/1000</f>
        <v>0</v>
      </c>
      <c r="E29" s="850">
        <f>(PGL_Requirements!$AC$8+PGL_Requirements!$AD$8+PGL_Requirements!$AE$8)/1000</f>
        <v>0</v>
      </c>
      <c r="F29" s="850">
        <f>(PGL_Requirements!$AC$9+PGL_Requirements!$AD$9+PGL_Requirements!$AE$9)/1000</f>
        <v>0</v>
      </c>
      <c r="G29" s="850">
        <f>(PGL_Requirements!$AC$10+PGL_Requirements!$AD$10+PGL_Requirements!$AE$10)/1000</f>
        <v>0</v>
      </c>
      <c r="H29" s="850">
        <f>(PGL_Requirements!$AC$11+PGL_Requirements!$AD$11+PGL_Requirements!$AE$11)/1000</f>
        <v>0</v>
      </c>
      <c r="I29" s="851">
        <f>(PGL_Requirements!$AC$12+PGL_Requirements!$AD$12+PGL_Requirements!$AE$12)/1000</f>
        <v>0</v>
      </c>
      <c r="J29" s="112"/>
    </row>
    <row r="30" spans="1:10" ht="20.100000000000001" customHeight="1">
      <c r="A30" s="849"/>
      <c r="B30" s="840" t="s">
        <v>421</v>
      </c>
      <c r="C30" s="840"/>
      <c r="D30" s="850">
        <v>0</v>
      </c>
      <c r="E30" s="850">
        <v>0</v>
      </c>
      <c r="F30" s="850">
        <v>0</v>
      </c>
      <c r="G30" s="850">
        <v>0</v>
      </c>
      <c r="H30" s="850">
        <v>0</v>
      </c>
      <c r="I30" s="851">
        <v>0</v>
      </c>
      <c r="J30" s="112"/>
    </row>
    <row r="31" spans="1:10" ht="20.100000000000001" customHeight="1">
      <c r="A31" s="849" t="s">
        <v>168</v>
      </c>
      <c r="B31" s="840" t="s">
        <v>143</v>
      </c>
      <c r="C31" s="840" t="s">
        <v>169</v>
      </c>
      <c r="D31" s="850">
        <f>NSG_Supplies!P7/1000</f>
        <v>0</v>
      </c>
      <c r="E31" s="850">
        <f>NSG_Supplies!P8/1000</f>
        <v>0</v>
      </c>
      <c r="F31" s="850">
        <f>NSG_Supplies!P9/1000</f>
        <v>0</v>
      </c>
      <c r="G31" s="850">
        <f>NSG_Supplies!P10/1000</f>
        <v>0</v>
      </c>
      <c r="H31" s="850">
        <f>NSG_Supplies!P11/1000</f>
        <v>0</v>
      </c>
      <c r="I31" s="851">
        <f>NSG_Supplies!P12/1000</f>
        <v>0</v>
      </c>
      <c r="J31" s="112"/>
    </row>
    <row r="32" spans="1:10" ht="20.100000000000001" customHeight="1">
      <c r="A32" s="849"/>
      <c r="B32" s="840" t="s">
        <v>141</v>
      </c>
      <c r="C32" s="1170" t="s">
        <v>782</v>
      </c>
      <c r="D32" s="850">
        <f>NSG_Supplies!R7/1000</f>
        <v>52.905000000000001</v>
      </c>
      <c r="E32" s="850">
        <f>NSG_Supplies!R8/1000</f>
        <v>52.905000000000001</v>
      </c>
      <c r="F32" s="850">
        <f>NSG_Supplies!R9/1000</f>
        <v>52.905000000000001</v>
      </c>
      <c r="G32" s="850">
        <f>NSG_Supplies!R10/1000</f>
        <v>52.905000000000001</v>
      </c>
      <c r="H32" s="850">
        <f>NSG_Supplies!R11/1000</f>
        <v>52.905000000000001</v>
      </c>
      <c r="I32" s="851">
        <f>NSG_Supplies!R12/1000</f>
        <v>52.905000000000001</v>
      </c>
      <c r="J32" s="112"/>
    </row>
    <row r="33" spans="1:13" ht="20.100000000000001" customHeight="1">
      <c r="A33" s="849"/>
      <c r="B33" s="840" t="s">
        <v>143</v>
      </c>
      <c r="C33" s="840" t="s">
        <v>645</v>
      </c>
      <c r="D33" s="850">
        <f>NSG_Supplies!Q7/1000</f>
        <v>20</v>
      </c>
      <c r="E33" s="850">
        <f>NSG_Supplies!Q8/1000</f>
        <v>20</v>
      </c>
      <c r="F33" s="850">
        <f>NSG_Supplies!Q9/1000</f>
        <v>20</v>
      </c>
      <c r="G33" s="850">
        <f>NSG_Supplies!Q10/1000</f>
        <v>20</v>
      </c>
      <c r="H33" s="850">
        <f>NSG_Supplies!Q11/1000</f>
        <v>20</v>
      </c>
      <c r="I33" s="851">
        <f>NSG_Supplies!Q12/1000</f>
        <v>20</v>
      </c>
      <c r="J33" s="112"/>
    </row>
    <row r="34" spans="1:13" ht="20.100000000000001" customHeight="1">
      <c r="A34" s="849" t="s">
        <v>160</v>
      </c>
      <c r="B34" s="840" t="s">
        <v>147</v>
      </c>
      <c r="C34" s="840" t="s">
        <v>170</v>
      </c>
      <c r="D34" s="850">
        <f>NSG_Supplies!O7/1000</f>
        <v>0</v>
      </c>
      <c r="E34" s="850">
        <f>NSG_Supplies!O8/1000</f>
        <v>0</v>
      </c>
      <c r="F34" s="850">
        <f>NSG_Supplies!O9/1000</f>
        <v>0</v>
      </c>
      <c r="G34" s="850">
        <f>NSG_Supplies!O10/1000</f>
        <v>0</v>
      </c>
      <c r="H34" s="850">
        <f>NSG_Supplies!O11/1000</f>
        <v>0</v>
      </c>
      <c r="I34" s="855">
        <f>NSG_Supplies!O12/1000</f>
        <v>0</v>
      </c>
      <c r="J34" s="112"/>
    </row>
    <row r="35" spans="1:13" ht="20.100000000000001" customHeight="1">
      <c r="A35" s="849"/>
      <c r="B35" s="840" t="s">
        <v>421</v>
      </c>
      <c r="C35" s="854" t="s">
        <v>529</v>
      </c>
      <c r="D35" s="850">
        <f>NSG_Supplies!N7/1000</f>
        <v>0</v>
      </c>
      <c r="E35" s="850">
        <f>NSG_Supplies!N8/1000</f>
        <v>0</v>
      </c>
      <c r="F35" s="850">
        <f>NSG_Supplies!N9/1000</f>
        <v>0</v>
      </c>
      <c r="G35" s="850">
        <f>NSG_Supplies!N10/1000</f>
        <v>0</v>
      </c>
      <c r="H35" s="850">
        <f>NSG_Supplies!N11/1000</f>
        <v>0</v>
      </c>
      <c r="I35" s="855">
        <f>NSG_Supplies!N12/1000</f>
        <v>0</v>
      </c>
      <c r="J35" s="112"/>
    </row>
    <row r="36" spans="1:13" ht="20.100000000000001" customHeight="1">
      <c r="A36" s="867"/>
      <c r="B36" s="868" t="s">
        <v>406</v>
      </c>
      <c r="C36" s="868"/>
      <c r="D36" s="883">
        <f>NSG_Supplies!B7/1000</f>
        <v>0</v>
      </c>
      <c r="E36" s="883">
        <f>NSG_Supplies!B8/1000</f>
        <v>0</v>
      </c>
      <c r="F36" s="883">
        <f>NSG_Supplies!B9/1000</f>
        <v>0</v>
      </c>
      <c r="G36" s="883">
        <f>NSG_Supplies!B10/1000</f>
        <v>0</v>
      </c>
      <c r="H36" s="883">
        <f>NSG_Supplies!B11/1000</f>
        <v>0</v>
      </c>
      <c r="I36" s="869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0" t="s">
        <v>160</v>
      </c>
      <c r="B37" s="871"/>
      <c r="C37" s="871"/>
      <c r="D37" s="890">
        <f t="shared" ref="D37:I37" si="2">SUM(D22:D36)</f>
        <v>72.905000000000001</v>
      </c>
      <c r="E37" s="890">
        <f t="shared" si="2"/>
        <v>76.004999999999995</v>
      </c>
      <c r="F37" s="890">
        <f t="shared" si="2"/>
        <v>72.905000000000001</v>
      </c>
      <c r="G37" s="890">
        <f t="shared" si="2"/>
        <v>72.905000000000001</v>
      </c>
      <c r="H37" s="890">
        <f t="shared" si="2"/>
        <v>72.905000000000001</v>
      </c>
      <c r="I37" s="891">
        <f t="shared" si="2"/>
        <v>72.905000000000001</v>
      </c>
      <c r="J37" s="112"/>
      <c r="K37" s="113"/>
      <c r="L37" s="95"/>
      <c r="M37" s="113"/>
    </row>
    <row r="38" spans="1:13" ht="20.100000000000001" customHeight="1">
      <c r="A38" s="892" t="s">
        <v>161</v>
      </c>
      <c r="B38" s="893"/>
      <c r="C38" s="893"/>
      <c r="D38" s="894">
        <f t="shared" ref="D38:I38" ca="1" si="3">IF(D37-D19&lt;0,0,D37-D19)</f>
        <v>0</v>
      </c>
      <c r="E38" s="894">
        <f t="shared" ca="1" si="3"/>
        <v>4.9999999999954525E-3</v>
      </c>
      <c r="F38" s="894">
        <f t="shared" ca="1" si="3"/>
        <v>0</v>
      </c>
      <c r="G38" s="894">
        <f t="shared" ca="1" si="3"/>
        <v>8.9050000000000011</v>
      </c>
      <c r="H38" s="894">
        <f t="shared" ca="1" si="3"/>
        <v>6.9050000000000011</v>
      </c>
      <c r="I38" s="895">
        <f t="shared" ca="1" si="3"/>
        <v>6.9050000000000011</v>
      </c>
      <c r="J38" s="112"/>
      <c r="K38" s="113"/>
      <c r="L38" s="95"/>
      <c r="M38" s="113"/>
    </row>
    <row r="39" spans="1:13" ht="20.100000000000001" customHeight="1" thickBot="1">
      <c r="A39" s="896" t="s">
        <v>162</v>
      </c>
      <c r="B39" s="875"/>
      <c r="C39" s="875"/>
      <c r="D39" s="876">
        <f t="shared" ref="D39:I39" ca="1" si="4">IF(D19-D37&lt;0,0,D19-D37)</f>
        <v>4.9999999999954525E-3</v>
      </c>
      <c r="E39" s="876">
        <f t="shared" ca="1" si="4"/>
        <v>0</v>
      </c>
      <c r="F39" s="876">
        <f t="shared" ca="1" si="4"/>
        <v>9.4999999999998863E-2</v>
      </c>
      <c r="G39" s="876">
        <f t="shared" ca="1" si="4"/>
        <v>0</v>
      </c>
      <c r="H39" s="876">
        <f t="shared" ca="1" si="4"/>
        <v>0</v>
      </c>
      <c r="I39" s="877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1" t="s">
        <v>783</v>
      </c>
      <c r="B40" s="1172"/>
      <c r="C40" s="1172"/>
      <c r="D40" s="1173">
        <f>NSG_Supplies!S7/1000</f>
        <v>27.905000000000001</v>
      </c>
      <c r="E40" s="1173">
        <f>NSG_Supplies!S8/1000</f>
        <v>27.905000000000001</v>
      </c>
      <c r="F40" s="1173">
        <f>NSG_Supplies!S9/1000</f>
        <v>27.905000000000001</v>
      </c>
      <c r="G40" s="1173">
        <f>NSG_Supplies!S10/1000</f>
        <v>27.905000000000001</v>
      </c>
      <c r="H40" s="1173">
        <f>NSG_Supplies!S11/1000</f>
        <v>27.905000000000001</v>
      </c>
      <c r="I40" s="1174">
        <f>NSG_Supplies!S12/1000</f>
        <v>27.905000000000001</v>
      </c>
    </row>
    <row r="41" spans="1:13" ht="20.100000000000001" customHeight="1" thickTop="1" thickBot="1">
      <c r="B41" s="898"/>
      <c r="C41" s="898"/>
      <c r="D41" s="898"/>
      <c r="E41" s="898"/>
      <c r="F41" s="898"/>
      <c r="G41" s="897"/>
      <c r="H41" s="897"/>
      <c r="I41" s="897"/>
    </row>
    <row r="42" spans="1:13" ht="20.100000000000001" customHeight="1" thickTop="1" thickBot="1">
      <c r="A42" s="899" t="s">
        <v>171</v>
      </c>
      <c r="B42" s="900"/>
      <c r="C42" s="900"/>
      <c r="D42" s="901">
        <f>Weather_Input!D5</f>
        <v>15</v>
      </c>
      <c r="E42" s="901">
        <f>Weather_Input!D6</f>
        <v>11</v>
      </c>
      <c r="F42" s="901">
        <f>Weather_Input!D7</f>
        <v>12</v>
      </c>
      <c r="G42" s="902"/>
      <c r="H42" s="897"/>
      <c r="I42" s="897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7" t="s">
        <v>172</v>
      </c>
      <c r="B1" s="588"/>
      <c r="C1" s="588"/>
      <c r="D1" s="588"/>
      <c r="E1" s="589" t="s">
        <v>173</v>
      </c>
      <c r="F1" s="590">
        <f>Weather_Input!A5</f>
        <v>37007</v>
      </c>
      <c r="G1" s="770" t="str">
        <f>CHOOSE(WEEKDAY(F1),"SUN","MON","TUE","WED","THU","FRI","SAT")</f>
        <v>THU</v>
      </c>
      <c r="H1" s="592" t="s">
        <v>258</v>
      </c>
      <c r="I1" s="593"/>
    </row>
    <row r="2" spans="1:9" ht="15.6">
      <c r="A2" s="258" t="s">
        <v>11</v>
      </c>
      <c r="B2" s="609" t="s">
        <v>696</v>
      </c>
      <c r="C2" s="962"/>
      <c r="D2" s="601" t="s">
        <v>562</v>
      </c>
      <c r="E2" s="608"/>
      <c r="F2" s="606" t="s">
        <v>563</v>
      </c>
      <c r="G2" s="607" t="s">
        <v>11</v>
      </c>
      <c r="H2" s="605" t="s">
        <v>174</v>
      </c>
      <c r="I2" s="260"/>
    </row>
    <row r="3" spans="1:9">
      <c r="A3" s="787" t="s">
        <v>540</v>
      </c>
      <c r="B3" s="600" t="s">
        <v>414</v>
      </c>
      <c r="C3" s="259" t="s">
        <v>11</v>
      </c>
      <c r="D3" s="600" t="s">
        <v>23</v>
      </c>
      <c r="E3" s="261" t="s">
        <v>176</v>
      </c>
      <c r="F3" s="603" t="s">
        <v>23</v>
      </c>
      <c r="G3" s="261" t="s">
        <v>176</v>
      </c>
      <c r="H3" s="600" t="s">
        <v>23</v>
      </c>
      <c r="I3" s="494" t="s">
        <v>176</v>
      </c>
    </row>
    <row r="4" spans="1:9" ht="15.6">
      <c r="A4" s="258" t="s">
        <v>11</v>
      </c>
      <c r="B4" s="963">
        <f>Weather_Input!B5</f>
        <v>75</v>
      </c>
      <c r="C4" s="964">
        <f>Weather_Input!C5</f>
        <v>52</v>
      </c>
      <c r="D4" s="602"/>
      <c r="E4" s="602"/>
      <c r="F4" s="604" t="s">
        <v>11</v>
      </c>
      <c r="G4" s="269" t="s">
        <v>11</v>
      </c>
      <c r="H4" s="269"/>
      <c r="I4" s="267"/>
    </row>
    <row r="5" spans="1:9" ht="15.6">
      <c r="A5" s="258" t="s">
        <v>635</v>
      </c>
      <c r="B5" s="965"/>
      <c r="C5" s="966">
        <f>PGL_Requirements!H7/1000</f>
        <v>0</v>
      </c>
      <c r="D5" s="620"/>
      <c r="E5" s="302"/>
      <c r="F5" s="620"/>
      <c r="G5" s="607"/>
      <c r="H5" s="302"/>
      <c r="I5" s="296"/>
    </row>
    <row r="6" spans="1:9" ht="15.6">
      <c r="A6" s="262" t="s">
        <v>424</v>
      </c>
      <c r="B6" s="1163" t="s">
        <v>11</v>
      </c>
      <c r="C6" s="967">
        <f>PGL_Deliveries!C5/1000</f>
        <v>268</v>
      </c>
      <c r="D6" s="1163" t="s">
        <v>11</v>
      </c>
      <c r="E6" s="269"/>
      <c r="F6" s="602"/>
      <c r="G6" s="269"/>
      <c r="H6" s="602"/>
      <c r="I6" s="267"/>
    </row>
    <row r="7" spans="1:9" ht="15.6" thickBot="1">
      <c r="A7" s="249" t="s">
        <v>777</v>
      </c>
      <c r="B7" s="1164"/>
      <c r="C7" s="1136">
        <f>PGL_Requirements!I7/1000</f>
        <v>0</v>
      </c>
      <c r="D7" s="122"/>
      <c r="E7" s="122"/>
      <c r="F7" s="1164"/>
      <c r="G7" s="1165"/>
      <c r="H7" s="122"/>
      <c r="I7" s="118"/>
    </row>
    <row r="8" spans="1:9" ht="16.2" thickBot="1">
      <c r="A8" s="496"/>
      <c r="B8" s="497" t="s">
        <v>11</v>
      </c>
      <c r="C8" s="497" t="s">
        <v>11</v>
      </c>
      <c r="D8" s="498"/>
      <c r="E8" s="498"/>
      <c r="F8" s="498"/>
      <c r="G8" s="498"/>
      <c r="H8" s="498"/>
      <c r="I8" s="499"/>
    </row>
    <row r="9" spans="1:9">
      <c r="A9" s="493" t="s">
        <v>566</v>
      </c>
      <c r="B9" s="293" t="s">
        <v>11</v>
      </c>
      <c r="C9" s="614">
        <f>I53</f>
        <v>0</v>
      </c>
      <c r="D9" s="619"/>
      <c r="E9" s="269"/>
      <c r="F9" s="619"/>
      <c r="G9" s="269"/>
      <c r="H9" s="619"/>
      <c r="I9" s="267" t="s">
        <v>11</v>
      </c>
    </row>
    <row r="10" spans="1:9">
      <c r="A10" s="249" t="s">
        <v>751</v>
      </c>
      <c r="B10" s="1115"/>
      <c r="C10" s="1132">
        <f>+B34</f>
        <v>142.405</v>
      </c>
      <c r="D10" s="1115"/>
      <c r="E10" s="434"/>
      <c r="F10" s="1115"/>
      <c r="G10" s="1119"/>
      <c r="H10" s="434"/>
      <c r="I10" s="285" t="s">
        <v>11</v>
      </c>
    </row>
    <row r="11" spans="1:9">
      <c r="A11" s="493" t="s">
        <v>567</v>
      </c>
      <c r="B11" s="282" t="s">
        <v>11</v>
      </c>
      <c r="C11" s="614">
        <f>B41</f>
        <v>-3.3306690738754696E-15</v>
      </c>
      <c r="D11" s="602"/>
      <c r="E11" s="614" t="s">
        <v>11</v>
      </c>
      <c r="F11" s="602"/>
      <c r="G11" s="614" t="s">
        <v>11</v>
      </c>
      <c r="H11" s="602"/>
      <c r="I11" s="285" t="s">
        <v>11</v>
      </c>
    </row>
    <row r="12" spans="1:9">
      <c r="A12" s="493" t="s">
        <v>568</v>
      </c>
      <c r="B12" s="282" t="s">
        <v>11</v>
      </c>
      <c r="C12" s="614">
        <f>B55</f>
        <v>-169.03600000000003</v>
      </c>
      <c r="D12" s="602"/>
      <c r="E12" s="269"/>
      <c r="F12" s="602"/>
      <c r="G12" s="269" t="s">
        <v>11</v>
      </c>
      <c r="H12" s="602"/>
      <c r="I12" s="267"/>
    </row>
    <row r="13" spans="1:9">
      <c r="A13" s="493" t="s">
        <v>569</v>
      </c>
      <c r="B13" s="282" t="s">
        <v>11</v>
      </c>
      <c r="C13" s="614">
        <f>B47</f>
        <v>0</v>
      </c>
      <c r="D13" s="620"/>
      <c r="E13" s="269"/>
      <c r="F13" s="602"/>
      <c r="G13" s="269" t="s">
        <v>11</v>
      </c>
      <c r="H13" s="602"/>
      <c r="I13" s="267"/>
    </row>
    <row r="14" spans="1:9">
      <c r="A14" s="493" t="s">
        <v>570</v>
      </c>
      <c r="B14" s="286" t="s">
        <v>11</v>
      </c>
      <c r="C14" s="614">
        <f>I60</f>
        <v>266.01800000000003</v>
      </c>
      <c r="D14" s="602"/>
      <c r="E14" s="269"/>
      <c r="F14" s="602"/>
      <c r="G14" s="269" t="s">
        <v>11</v>
      </c>
      <c r="H14" s="602"/>
      <c r="I14" s="267"/>
    </row>
    <row r="15" spans="1:9">
      <c r="A15" s="493" t="s">
        <v>427</v>
      </c>
      <c r="B15" s="282" t="s">
        <v>11</v>
      </c>
      <c r="C15" s="968">
        <f>PGL_Supplies!I7/1000</f>
        <v>15.007999999999999</v>
      </c>
      <c r="D15" s="602" t="s">
        <v>11</v>
      </c>
      <c r="E15" s="269"/>
      <c r="F15" s="602"/>
      <c r="G15" s="269" t="s">
        <v>11</v>
      </c>
      <c r="H15" s="602"/>
      <c r="I15" s="267"/>
    </row>
    <row r="16" spans="1:9">
      <c r="A16" s="493" t="s">
        <v>571</v>
      </c>
      <c r="B16" s="282" t="s">
        <v>172</v>
      </c>
      <c r="C16" s="614">
        <f>+B63</f>
        <v>0</v>
      </c>
      <c r="D16" s="602"/>
      <c r="E16" s="269"/>
      <c r="F16" s="602"/>
      <c r="G16" s="269" t="s">
        <v>11</v>
      </c>
      <c r="H16" s="602"/>
      <c r="I16" s="267"/>
    </row>
    <row r="17" spans="1:12" ht="15" customHeight="1">
      <c r="A17" s="493" t="s">
        <v>572</v>
      </c>
      <c r="B17" s="282" t="s">
        <v>172</v>
      </c>
      <c r="C17" s="968">
        <f>PGL_Supplies!B7/1000</f>
        <v>0</v>
      </c>
      <c r="D17" s="620"/>
      <c r="E17" s="269"/>
      <c r="F17" s="602"/>
      <c r="G17" s="269" t="s">
        <v>11</v>
      </c>
      <c r="H17" s="602"/>
      <c r="I17" s="267"/>
    </row>
    <row r="18" spans="1:12" ht="15.6" thickBot="1">
      <c r="A18" s="292" t="s">
        <v>573</v>
      </c>
      <c r="B18" s="615" t="s">
        <v>11</v>
      </c>
      <c r="C18" s="1136">
        <f>PGL_Requirements!G7/1000</f>
        <v>34.404000000000003</v>
      </c>
      <c r="D18" s="601"/>
      <c r="E18" s="269"/>
      <c r="F18" s="602"/>
      <c r="G18" s="269"/>
      <c r="H18" s="602"/>
      <c r="I18" s="267"/>
    </row>
    <row r="19" spans="1:12" ht="16.2" thickBot="1">
      <c r="A19" s="616" t="s">
        <v>705</v>
      </c>
      <c r="B19" s="617" t="s">
        <v>11</v>
      </c>
      <c r="C19" s="511">
        <f>SUM(C9:C17)-C18</f>
        <v>219.99100000000001</v>
      </c>
      <c r="D19" s="621" t="s">
        <v>11</v>
      </c>
      <c r="E19" s="618" t="s">
        <v>11</v>
      </c>
      <c r="F19" s="621" t="s">
        <v>11</v>
      </c>
      <c r="G19" s="511" t="s">
        <v>11</v>
      </c>
      <c r="H19" s="621" t="s">
        <v>11</v>
      </c>
      <c r="I19" s="622"/>
    </row>
    <row r="20" spans="1:12" ht="16.2" thickBot="1">
      <c r="A20" s="504" t="s">
        <v>38</v>
      </c>
      <c r="B20" s="505" t="s">
        <v>11</v>
      </c>
      <c r="C20" s="969"/>
      <c r="D20" s="507"/>
      <c r="E20" s="509"/>
      <c r="F20" s="507"/>
      <c r="G20" s="507" t="s">
        <v>650</v>
      </c>
      <c r="H20" s="507"/>
      <c r="I20" s="970"/>
    </row>
    <row r="21" spans="1:12">
      <c r="A21" s="493" t="s">
        <v>636</v>
      </c>
      <c r="B21" s="282" t="s">
        <v>11</v>
      </c>
      <c r="C21" s="971">
        <f>-PGL_Supplies!J7/1000</f>
        <v>-2.46</v>
      </c>
      <c r="D21" s="266"/>
      <c r="E21" s="269"/>
      <c r="F21" s="266"/>
      <c r="G21" s="269"/>
      <c r="H21" s="266"/>
      <c r="I21" s="260"/>
    </row>
    <row r="22" spans="1:12">
      <c r="A22" s="493" t="s">
        <v>430</v>
      </c>
      <c r="B22" s="282" t="s">
        <v>11</v>
      </c>
      <c r="C22" s="614">
        <f>C6+C7-C19</f>
        <v>48.008999999999986</v>
      </c>
      <c r="D22" s="266"/>
      <c r="E22" s="269"/>
      <c r="F22" s="266"/>
      <c r="G22" s="614" t="s">
        <v>11</v>
      </c>
      <c r="H22" s="266"/>
      <c r="I22" s="296"/>
    </row>
    <row r="23" spans="1:12" ht="18" customHeight="1">
      <c r="A23" s="636" t="s">
        <v>431</v>
      </c>
      <c r="B23" s="282" t="s">
        <v>11</v>
      </c>
      <c r="C23" s="614"/>
      <c r="D23" s="266"/>
      <c r="E23" s="269"/>
      <c r="F23" s="297" t="s">
        <v>11</v>
      </c>
      <c r="G23" s="972"/>
      <c r="H23" s="297" t="s">
        <v>11</v>
      </c>
      <c r="I23" s="260"/>
    </row>
    <row r="24" spans="1:12" ht="16.2" thickBot="1">
      <c r="A24" s="493" t="s">
        <v>432</v>
      </c>
      <c r="B24" s="973" t="s">
        <v>11</v>
      </c>
      <c r="C24" s="974">
        <f>SUM(B54+B56+B57)</f>
        <v>2.5451999999999999</v>
      </c>
      <c r="D24" s="259"/>
      <c r="E24" s="271"/>
      <c r="F24" s="975"/>
      <c r="G24" s="271"/>
      <c r="H24" s="976" t="s">
        <v>11</v>
      </c>
      <c r="I24" s="977" t="s">
        <v>11</v>
      </c>
      <c r="K24" t="s">
        <v>11</v>
      </c>
    </row>
    <row r="25" spans="1:12" ht="16.8" thickTop="1" thickBot="1">
      <c r="A25" s="637" t="s">
        <v>433</v>
      </c>
      <c r="B25" s="978" t="s">
        <v>11</v>
      </c>
      <c r="C25" s="979">
        <f>SUM(C22:C24)</f>
        <v>50.554199999999987</v>
      </c>
      <c r="D25" s="978" t="str">
        <f>B25</f>
        <v xml:space="preserve"> </v>
      </c>
      <c r="E25" s="979" t="s">
        <v>11</v>
      </c>
      <c r="F25" s="978" t="s">
        <v>11</v>
      </c>
      <c r="G25" s="979" t="s">
        <v>11</v>
      </c>
      <c r="H25" s="980" t="s">
        <v>11</v>
      </c>
      <c r="I25" s="981" t="s">
        <v>11</v>
      </c>
    </row>
    <row r="26" spans="1:12" ht="15.6" thickTop="1">
      <c r="A26" s="332" t="s">
        <v>742</v>
      </c>
      <c r="B26" s="982"/>
      <c r="C26" s="971">
        <f>SUM(-PGL_Supplies!M7/1000)</f>
        <v>0</v>
      </c>
      <c r="D26" s="1104" t="s">
        <v>11</v>
      </c>
      <c r="E26" s="1103" t="s">
        <v>11</v>
      </c>
      <c r="F26" s="1105"/>
      <c r="G26" s="1106"/>
      <c r="H26" s="514"/>
      <c r="I26" s="987"/>
    </row>
    <row r="27" spans="1:12" ht="15" customHeight="1">
      <c r="A27" s="493" t="s">
        <v>441</v>
      </c>
      <c r="B27" s="988"/>
      <c r="C27" s="989">
        <f>PGL_Requirements!O7/1000</f>
        <v>56.058</v>
      </c>
      <c r="D27" s="983" t="s">
        <v>11</v>
      </c>
      <c r="E27" s="966" t="s">
        <v>11</v>
      </c>
      <c r="F27" s="307"/>
      <c r="G27" s="966" t="s">
        <v>11</v>
      </c>
      <c r="H27" s="514"/>
      <c r="I27" s="984" t="s">
        <v>11</v>
      </c>
      <c r="L27" s="122"/>
    </row>
    <row r="28" spans="1:12">
      <c r="A28" s="493" t="s">
        <v>442</v>
      </c>
      <c r="B28" s="990"/>
      <c r="C28" s="985">
        <f>-PGL_Supplies!L7/1000</f>
        <v>0</v>
      </c>
      <c r="D28" s="986" t="s">
        <v>11</v>
      </c>
      <c r="E28" s="985" t="s">
        <v>11</v>
      </c>
      <c r="F28" s="307"/>
      <c r="G28" s="985" t="s">
        <v>11</v>
      </c>
      <c r="H28" s="514"/>
      <c r="I28" s="991" t="s">
        <v>11</v>
      </c>
      <c r="L28" s="1102"/>
    </row>
    <row r="29" spans="1:12">
      <c r="A29" s="425" t="s">
        <v>197</v>
      </c>
      <c r="B29" s="992"/>
      <c r="C29" s="985">
        <f>-PGL_Supplies!AC7/1000</f>
        <v>-124.58799999999999</v>
      </c>
      <c r="D29" s="986" t="s">
        <v>11</v>
      </c>
      <c r="E29" s="985">
        <f>-PGL_Supplies!AC7/1000</f>
        <v>-124.58799999999999</v>
      </c>
      <c r="F29" s="307"/>
      <c r="G29" s="985">
        <f>-PGL_Supplies!AC7/1000</f>
        <v>-124.58799999999999</v>
      </c>
      <c r="H29" s="514"/>
      <c r="I29" s="987">
        <f>-PGL_Supplies!AC7/1000</f>
        <v>-124.58799999999999</v>
      </c>
      <c r="L29" s="1102"/>
    </row>
    <row r="30" spans="1:12" ht="16.2" thickBot="1">
      <c r="A30" s="326" t="s">
        <v>11</v>
      </c>
      <c r="B30" s="487" t="s">
        <v>11</v>
      </c>
      <c r="C30" s="1186" t="s">
        <v>751</v>
      </c>
      <c r="D30" s="486"/>
      <c r="E30" s="328"/>
      <c r="F30" s="329" t="s">
        <v>202</v>
      </c>
      <c r="G30" s="328"/>
      <c r="H30" s="993"/>
      <c r="I30" s="331"/>
      <c r="L30" s="594"/>
    </row>
    <row r="31" spans="1:12">
      <c r="A31" s="425" t="s">
        <v>755</v>
      </c>
      <c r="B31" s="324">
        <f>PGL_Requirements!J7/1000</f>
        <v>0</v>
      </c>
      <c r="C31" s="8"/>
      <c r="D31" s="613"/>
      <c r="E31" s="8"/>
      <c r="F31" s="332" t="s">
        <v>465</v>
      </c>
      <c r="G31" s="544"/>
      <c r="H31" s="523"/>
      <c r="I31" s="336"/>
      <c r="L31" s="1102"/>
    </row>
    <row r="32" spans="1:12">
      <c r="A32" s="425" t="s">
        <v>756</v>
      </c>
      <c r="B32" s="324">
        <f>PGL_Supplies!X7/1000</f>
        <v>5</v>
      </c>
      <c r="C32" s="315" t="s">
        <v>11</v>
      </c>
      <c r="D32" s="313"/>
      <c r="E32" s="333"/>
      <c r="F32" s="425" t="s">
        <v>466</v>
      </c>
      <c r="G32" s="544"/>
      <c r="H32" s="317"/>
      <c r="I32" s="336"/>
      <c r="L32" s="594"/>
    </row>
    <row r="33" spans="1:12" ht="15.6" thickBot="1">
      <c r="A33" s="1133" t="s">
        <v>4</v>
      </c>
      <c r="B33" s="324">
        <f>PGL_Supplies!Y7/1000</f>
        <v>137.405</v>
      </c>
      <c r="C33" s="1120" t="s">
        <v>11</v>
      </c>
      <c r="D33" s="349"/>
      <c r="E33" s="554"/>
      <c r="F33" s="425" t="s">
        <v>467</v>
      </c>
      <c r="G33" s="544"/>
      <c r="H33" s="317"/>
      <c r="I33" s="336"/>
      <c r="L33" s="1102"/>
    </row>
    <row r="34" spans="1:12" ht="16.2" thickBot="1">
      <c r="A34" s="559" t="s">
        <v>448</v>
      </c>
      <c r="B34" s="1124">
        <f>+B33+B32-B31</f>
        <v>142.405</v>
      </c>
      <c r="C34" s="1125" t="s">
        <v>11</v>
      </c>
      <c r="D34" s="531"/>
      <c r="E34" s="521"/>
      <c r="F34" s="425" t="s">
        <v>468</v>
      </c>
      <c r="G34" s="544"/>
      <c r="H34" s="317"/>
      <c r="I34" s="336"/>
      <c r="L34" s="1102"/>
    </row>
    <row r="35" spans="1:12" ht="16.2" thickBot="1">
      <c r="A35" s="326" t="s">
        <v>11</v>
      </c>
      <c r="B35" s="1121" t="s">
        <v>11</v>
      </c>
      <c r="C35" s="997" t="s">
        <v>68</v>
      </c>
      <c r="D35" s="1122"/>
      <c r="E35" s="1123"/>
      <c r="F35" s="425" t="s">
        <v>469</v>
      </c>
      <c r="G35" s="544"/>
      <c r="H35" s="317"/>
      <c r="I35" s="994" t="s">
        <v>697</v>
      </c>
      <c r="L35" s="1102"/>
    </row>
    <row r="36" spans="1:12">
      <c r="A36" s="425" t="s">
        <v>638</v>
      </c>
      <c r="B36" s="324">
        <f>PGL_Requirements!U7/1000</f>
        <v>40</v>
      </c>
      <c r="C36" s="594"/>
      <c r="D36" s="313"/>
      <c r="E36" s="333"/>
      <c r="F36" s="370" t="s">
        <v>470</v>
      </c>
      <c r="G36" s="544"/>
      <c r="H36" s="317"/>
      <c r="I36" s="995"/>
      <c r="L36" s="1102"/>
    </row>
    <row r="37" spans="1:12">
      <c r="A37" s="425" t="s">
        <v>721</v>
      </c>
      <c r="B37" s="324">
        <f>PGL_Supplies!R7/1000</f>
        <v>0</v>
      </c>
      <c r="C37" s="313"/>
      <c r="D37" s="313"/>
      <c r="E37" s="333"/>
      <c r="F37" s="425" t="s">
        <v>471</v>
      </c>
      <c r="G37" s="544"/>
      <c r="H37" s="317"/>
      <c r="I37" s="336"/>
      <c r="L37" s="1102"/>
    </row>
    <row r="38" spans="1:12">
      <c r="A38" s="425" t="s">
        <v>446</v>
      </c>
      <c r="B38" s="324">
        <f>PGL_Requirements!C7/1000</f>
        <v>1.1599999999999999</v>
      </c>
      <c r="C38" s="1115"/>
      <c r="D38" s="1116"/>
      <c r="E38" s="1011"/>
      <c r="F38" s="425" t="s">
        <v>472</v>
      </c>
      <c r="G38" s="544"/>
      <c r="H38" s="317"/>
      <c r="I38" s="336"/>
      <c r="L38" s="1102"/>
    </row>
    <row r="39" spans="1:12">
      <c r="A39" s="425" t="s">
        <v>447</v>
      </c>
      <c r="B39" s="324">
        <f>PGL_Supplies!C7/1000</f>
        <v>0</v>
      </c>
      <c r="C39" s="1115"/>
      <c r="D39" s="1116"/>
      <c r="E39" s="813"/>
      <c r="F39" s="996" t="s">
        <v>473</v>
      </c>
      <c r="G39" s="122"/>
      <c r="H39" s="549"/>
      <c r="I39" s="336"/>
      <c r="L39" s="1102"/>
    </row>
    <row r="40" spans="1:12" ht="15.6" thickBot="1">
      <c r="A40" s="638" t="s">
        <v>703</v>
      </c>
      <c r="B40" s="324">
        <f>PGL_Supplies!Z7/1000</f>
        <v>41.16</v>
      </c>
      <c r="C40" s="122"/>
      <c r="D40" s="1114"/>
      <c r="E40" s="122"/>
      <c r="F40" s="547" t="s">
        <v>474</v>
      </c>
      <c r="G40" s="544"/>
      <c r="H40" s="350"/>
      <c r="I40" s="336"/>
      <c r="L40" s="594"/>
    </row>
    <row r="41" spans="1:12" ht="16.2" thickBot="1">
      <c r="A41" s="559" t="s">
        <v>448</v>
      </c>
      <c r="B41" s="566">
        <f>B40+B37-B36-B38+B39</f>
        <v>-3.3306690738754696E-15</v>
      </c>
      <c r="C41" s="531"/>
      <c r="D41" s="531"/>
      <c r="E41" s="521"/>
      <c r="F41" s="425" t="s">
        <v>475</v>
      </c>
      <c r="G41" s="544"/>
      <c r="H41" s="352"/>
      <c r="I41" s="336"/>
      <c r="L41" s="594"/>
    </row>
    <row r="42" spans="1:12" ht="16.2" thickBot="1">
      <c r="A42" s="555" t="s">
        <v>11</v>
      </c>
      <c r="B42" s="556" t="s">
        <v>11</v>
      </c>
      <c r="C42" s="997" t="s">
        <v>69</v>
      </c>
      <c r="D42" s="558"/>
      <c r="E42" s="998" t="s">
        <v>11</v>
      </c>
      <c r="F42" s="425" t="s">
        <v>476</v>
      </c>
      <c r="G42" s="544"/>
      <c r="H42" s="317"/>
      <c r="I42" s="336"/>
    </row>
    <row r="43" spans="1:12">
      <c r="A43" s="425" t="s">
        <v>523</v>
      </c>
      <c r="B43" s="324">
        <f>NSG_Supplies!O7/1000+PGL_Supplies!AA7/1000</f>
        <v>0</v>
      </c>
      <c r="C43" s="352"/>
      <c r="D43" s="313"/>
      <c r="E43" s="351"/>
      <c r="F43" s="425" t="s">
        <v>408</v>
      </c>
      <c r="G43" s="544"/>
      <c r="H43" s="352"/>
      <c r="I43" s="336"/>
    </row>
    <row r="44" spans="1:12">
      <c r="A44" s="771" t="s">
        <v>524</v>
      </c>
      <c r="B44" s="324">
        <v>0</v>
      </c>
      <c r="C44" s="594"/>
      <c r="D44" s="313"/>
      <c r="E44" s="351"/>
      <c r="F44" s="370" t="s">
        <v>477</v>
      </c>
      <c r="G44" s="548"/>
      <c r="H44" s="539"/>
      <c r="I44" s="336"/>
    </row>
    <row r="45" spans="1:12" ht="15.6" thickBot="1">
      <c r="A45" s="425" t="s">
        <v>451</v>
      </c>
      <c r="B45" s="999">
        <f>PGL_Requirements!D7/1000</f>
        <v>0</v>
      </c>
      <c r="C45" s="352"/>
      <c r="D45" s="313"/>
      <c r="E45" s="351"/>
      <c r="F45" s="370" t="s">
        <v>478</v>
      </c>
      <c r="G45" s="548"/>
      <c r="H45" s="550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1" t="s">
        <v>224</v>
      </c>
      <c r="G46" s="552"/>
      <c r="H46" s="553"/>
      <c r="I46" s="336"/>
    </row>
    <row r="47" spans="1:12" ht="16.2" thickBot="1">
      <c r="A47" s="559" t="s">
        <v>448</v>
      </c>
      <c r="B47" s="1000">
        <f>B43+B44-B45+B46</f>
        <v>0</v>
      </c>
      <c r="C47" s="1001"/>
      <c r="D47" s="531"/>
      <c r="E47" s="1002"/>
      <c r="F47" s="528" t="s">
        <v>11</v>
      </c>
      <c r="G47" s="529" t="s">
        <v>479</v>
      </c>
      <c r="H47" s="529" t="s">
        <v>11</v>
      </c>
      <c r="I47" s="360"/>
    </row>
    <row r="48" spans="1:12" ht="16.2" thickBot="1">
      <c r="A48" s="555" t="s">
        <v>11</v>
      </c>
      <c r="B48" s="560" t="s">
        <v>11</v>
      </c>
      <c r="C48" s="997" t="s">
        <v>60</v>
      </c>
      <c r="D48" s="558"/>
      <c r="E48" s="558"/>
      <c r="F48" s="568" t="s">
        <v>431</v>
      </c>
      <c r="G48" s="541"/>
      <c r="H48" s="563" t="s">
        <v>11</v>
      </c>
      <c r="I48" s="366" t="s">
        <v>11</v>
      </c>
    </row>
    <row r="49" spans="1:9">
      <c r="A49" s="425" t="s">
        <v>72</v>
      </c>
      <c r="B49" s="324">
        <f>PGL_Requirements!P7/1000</f>
        <v>169.68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7" t="s">
        <v>481</v>
      </c>
      <c r="G50" s="355"/>
      <c r="H50" s="526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5" t="s">
        <v>457</v>
      </c>
      <c r="G51" s="531"/>
      <c r="H51" s="566" t="s">
        <v>11</v>
      </c>
      <c r="I51" s="1003" t="s">
        <v>11</v>
      </c>
    </row>
    <row r="52" spans="1:9" ht="16.2" thickBot="1">
      <c r="A52" s="425" t="s">
        <v>455</v>
      </c>
      <c r="B52" s="324">
        <f>PGL_Supplies!H7/1000</f>
        <v>1.254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747</v>
      </c>
      <c r="B53" s="324">
        <f>PGL_Requirements!R7/1000</f>
        <v>0.61</v>
      </c>
      <c r="C53" s="313"/>
      <c r="D53" s="313"/>
      <c r="E53" s="313"/>
      <c r="F53" s="542" t="s">
        <v>483</v>
      </c>
      <c r="G53" s="543"/>
      <c r="H53" s="569" t="s">
        <v>11</v>
      </c>
      <c r="I53" s="570">
        <f>+PGL_Supplies!K7/1000</f>
        <v>0</v>
      </c>
    </row>
    <row r="54" spans="1:9" ht="16.2" thickBot="1">
      <c r="A54" s="425" t="s">
        <v>748</v>
      </c>
      <c r="B54" s="324">
        <f>PGL_Requirements!Q7/1000</f>
        <v>2.5451999999999999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8" t="s">
        <v>457</v>
      </c>
      <c r="B55" s="519">
        <f>-B49+B50+B52+B56+B57-B53-B51</f>
        <v>-169.03600000000003</v>
      </c>
      <c r="C55" s="520"/>
      <c r="D55" s="520"/>
      <c r="E55" s="521"/>
      <c r="F55" s="547" t="s">
        <v>485</v>
      </c>
      <c r="G55" s="545"/>
      <c r="H55" s="540"/>
      <c r="I55" s="1004">
        <f>PGL_Requirements!E7/1000</f>
        <v>0</v>
      </c>
    </row>
    <row r="56" spans="1:9">
      <c r="A56" s="332" t="s">
        <v>218</v>
      </c>
      <c r="B56" s="324">
        <v>0</v>
      </c>
      <c r="C56" s="523"/>
      <c r="D56" s="523"/>
      <c r="E56" s="524"/>
      <c r="F56" s="370" t="s">
        <v>486</v>
      </c>
      <c r="G56" s="544"/>
      <c r="H56" s="1006">
        <f>PGL_Supplies!E7/1000</f>
        <v>0</v>
      </c>
      <c r="I56" s="1007" t="s">
        <v>11</v>
      </c>
    </row>
    <row r="57" spans="1:9" ht="15.6" thickBot="1">
      <c r="A57" s="425" t="s">
        <v>216</v>
      </c>
      <c r="B57" s="1005">
        <v>0</v>
      </c>
      <c r="C57" s="377"/>
      <c r="D57" s="377"/>
      <c r="E57" s="1118"/>
      <c r="F57" s="425" t="s">
        <v>109</v>
      </c>
      <c r="G57" s="573"/>
      <c r="H57" s="1006">
        <f>PGL_Supplies!AB7/1000+NSG_Supplies!N7/1000</f>
        <v>258.97000000000003</v>
      </c>
      <c r="I57" s="1007" t="s">
        <v>11</v>
      </c>
    </row>
    <row r="58" spans="1:9" ht="16.2" thickBot="1">
      <c r="A58" s="639" t="s">
        <v>11</v>
      </c>
      <c r="B58" s="1008"/>
      <c r="C58" s="1009" t="s">
        <v>37</v>
      </c>
      <c r="D58" s="1010"/>
      <c r="E58" s="1117"/>
      <c r="F58" s="122" t="s">
        <v>630</v>
      </c>
      <c r="G58" s="122"/>
      <c r="H58" s="1006">
        <f>PGL_Supplies!T7/1000</f>
        <v>7.048</v>
      </c>
      <c r="I58" s="1011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629</v>
      </c>
      <c r="G59" s="122"/>
      <c r="H59" s="1012"/>
      <c r="I59" s="1013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1" t="s">
        <v>698</v>
      </c>
      <c r="G60" s="430"/>
      <c r="H60" s="430"/>
      <c r="I60" s="1083">
        <f>SUM(H55:H59)-SUM(I55:I59)</f>
        <v>266.01800000000003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4" t="s">
        <v>699</v>
      </c>
      <c r="G61" s="1015"/>
      <c r="H61" s="1086"/>
      <c r="I61" s="1084">
        <v>0</v>
      </c>
    </row>
    <row r="62" spans="1:9" ht="15.6" thickBot="1">
      <c r="A62" s="425" t="s">
        <v>109</v>
      </c>
      <c r="B62" s="1017">
        <f>PGL_Supplies!AD7/1000</f>
        <v>0</v>
      </c>
      <c r="C62" s="527"/>
      <c r="D62" s="349"/>
      <c r="E62" s="525"/>
      <c r="F62" s="1016" t="s">
        <v>700</v>
      </c>
      <c r="G62" s="594"/>
      <c r="H62" s="1087" t="s">
        <v>11</v>
      </c>
      <c r="I62" s="1085">
        <f>H57-I59-I61</f>
        <v>258.97000000000003</v>
      </c>
    </row>
    <row r="63" spans="1:9" ht="16.2" thickBot="1">
      <c r="A63" s="799" t="s">
        <v>565</v>
      </c>
      <c r="B63" s="1019">
        <f>+B62+B61-B60+B59</f>
        <v>0</v>
      </c>
      <c r="C63" s="1000" t="s">
        <v>11</v>
      </c>
      <c r="D63" s="531"/>
      <c r="E63" s="521"/>
      <c r="F63" s="1018" t="s">
        <v>785</v>
      </c>
      <c r="G63" s="225"/>
      <c r="H63" s="1115"/>
      <c r="I63" s="1182">
        <v>7.048</v>
      </c>
    </row>
    <row r="64" spans="1:9" ht="15.6">
      <c r="A64" s="542" t="s">
        <v>738</v>
      </c>
      <c r="B64" s="1026"/>
      <c r="C64" s="1036" t="s">
        <v>11</v>
      </c>
      <c r="D64" s="1036" t="s">
        <v>11</v>
      </c>
      <c r="E64" s="1037" t="s">
        <v>11</v>
      </c>
      <c r="F64" s="1185" t="s">
        <v>787</v>
      </c>
      <c r="G64" s="434"/>
      <c r="H64" s="1116"/>
      <c r="I64" s="1182">
        <f>PGL_Requirements!H7/1000</f>
        <v>0</v>
      </c>
    </row>
    <row r="65" spans="1:9" ht="15.6">
      <c r="A65" s="370" t="s">
        <v>739</v>
      </c>
      <c r="B65" s="1029"/>
      <c r="C65" s="1035" t="s">
        <v>11</v>
      </c>
      <c r="D65" s="1035" t="s">
        <v>11</v>
      </c>
      <c r="E65" s="1183" t="s">
        <v>11</v>
      </c>
      <c r="F65" s="1184" t="s">
        <v>3</v>
      </c>
      <c r="H65" s="240"/>
      <c r="I65" s="1192">
        <f>I62+I63</f>
        <v>266.01800000000003</v>
      </c>
    </row>
    <row r="66" spans="1:9" ht="16.2" thickBot="1">
      <c r="A66" s="1188" t="s">
        <v>789</v>
      </c>
      <c r="B66" s="1027"/>
      <c r="C66" s="1038" t="s">
        <v>11</v>
      </c>
      <c r="D66" s="1038" t="s">
        <v>11</v>
      </c>
      <c r="E66" s="1039" t="s">
        <v>11</v>
      </c>
      <c r="F66" s="358" t="s">
        <v>754</v>
      </c>
      <c r="G66" s="359"/>
      <c r="H66" s="359"/>
      <c r="I66" s="360"/>
    </row>
    <row r="67" spans="1:9" ht="16.2" thickBot="1">
      <c r="A67" s="1024" t="s">
        <v>704</v>
      </c>
      <c r="B67" s="1031" t="s">
        <v>11</v>
      </c>
      <c r="C67" s="1098" t="s">
        <v>11</v>
      </c>
      <c r="D67" s="1098" t="s">
        <v>11</v>
      </c>
      <c r="E67" s="1099" t="s">
        <v>11</v>
      </c>
      <c r="F67" s="581" t="s">
        <v>489</v>
      </c>
      <c r="G67" s="541" t="s">
        <v>11</v>
      </c>
      <c r="H67" s="574" t="s">
        <v>11</v>
      </c>
      <c r="I67" s="586" t="s">
        <v>11</v>
      </c>
    </row>
    <row r="68" spans="1:9" ht="16.2" thickBot="1">
      <c r="A68" s="1107" t="s">
        <v>757</v>
      </c>
      <c r="B68" s="1100"/>
      <c r="C68" s="122"/>
      <c r="D68" s="1100"/>
      <c r="E68" s="122"/>
      <c r="F68" s="361" t="s">
        <v>490</v>
      </c>
      <c r="G68" s="313"/>
      <c r="H68" s="540"/>
      <c r="I68" s="1023"/>
    </row>
    <row r="69" spans="1:9" ht="16.2" thickBot="1">
      <c r="A69" s="518" t="s">
        <v>740</v>
      </c>
      <c r="B69" s="1030" t="s">
        <v>11</v>
      </c>
      <c r="C69" s="1032" t="s">
        <v>11</v>
      </c>
      <c r="D69" s="1032" t="s">
        <v>11</v>
      </c>
      <c r="E69" s="1032" t="s">
        <v>11</v>
      </c>
      <c r="F69" s="425"/>
      <c r="G69" s="350"/>
      <c r="H69" s="594"/>
      <c r="I69" s="1021"/>
    </row>
    <row r="70" spans="1:9" ht="16.2" thickBot="1">
      <c r="A70" s="1187" t="s">
        <v>788</v>
      </c>
      <c r="B70" s="1028" t="s">
        <v>11</v>
      </c>
      <c r="C70" s="1033" t="s">
        <v>11</v>
      </c>
      <c r="D70" s="1033" t="s">
        <v>11</v>
      </c>
      <c r="E70" s="1034" t="s">
        <v>11</v>
      </c>
      <c r="F70" s="1025" t="s">
        <v>491</v>
      </c>
      <c r="G70" s="120"/>
      <c r="H70" s="1022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1" t="s">
        <v>11</v>
      </c>
      <c r="B1" s="640"/>
      <c r="C1" s="640" t="s">
        <v>11</v>
      </c>
      <c r="D1" s="641"/>
      <c r="E1" s="770" t="s">
        <v>173</v>
      </c>
      <c r="F1" s="770" t="str">
        <f>CHOOSE(WEEKDAY(G1),"SUN","MON","TUE","WED","THU","FRI","SAT")</f>
        <v>THU</v>
      </c>
      <c r="G1" s="1082">
        <f>Weather_Input!A5</f>
        <v>37007</v>
      </c>
      <c r="H1" s="589" t="s">
        <v>258</v>
      </c>
      <c r="I1" s="593"/>
    </row>
    <row r="2" spans="1:9" ht="20.399999999999999">
      <c r="A2" s="642" t="s">
        <v>11</v>
      </c>
      <c r="B2" s="793" t="s">
        <v>561</v>
      </c>
      <c r="C2" s="953"/>
      <c r="D2" s="795" t="s">
        <v>562</v>
      </c>
      <c r="E2" s="794"/>
      <c r="F2" s="795" t="s">
        <v>563</v>
      </c>
      <c r="G2" s="794"/>
      <c r="H2" s="796" t="s">
        <v>501</v>
      </c>
      <c r="I2" s="645"/>
    </row>
    <row r="3" spans="1:9" ht="21">
      <c r="A3" s="1091" t="s">
        <v>502</v>
      </c>
      <c r="B3" s="646" t="s">
        <v>23</v>
      </c>
      <c r="C3" s="647"/>
      <c r="D3" s="648" t="s">
        <v>23</v>
      </c>
      <c r="E3" s="647" t="s">
        <v>24</v>
      </c>
      <c r="F3" s="648" t="s">
        <v>23</v>
      </c>
      <c r="G3" s="648" t="s">
        <v>24</v>
      </c>
      <c r="H3" s="646" t="s">
        <v>23</v>
      </c>
      <c r="I3" s="649" t="s">
        <v>24</v>
      </c>
    </row>
    <row r="4" spans="1:9" ht="21" thickBot="1">
      <c r="A4" s="650"/>
      <c r="B4" s="651">
        <f>Weather_Input!B5</f>
        <v>75</v>
      </c>
      <c r="C4" s="758">
        <f>Weather_Input!C5</f>
        <v>52</v>
      </c>
      <c r="D4" s="652"/>
      <c r="E4" s="653"/>
      <c r="F4" s="652"/>
      <c r="G4" s="653"/>
      <c r="H4" s="654"/>
      <c r="I4" s="655"/>
    </row>
    <row r="5" spans="1:9" ht="23.4" thickBot="1">
      <c r="A5" s="656" t="s">
        <v>139</v>
      </c>
      <c r="B5" s="657"/>
      <c r="C5" s="658">
        <f>NSG_Deliveries!C5/1000</f>
        <v>43</v>
      </c>
      <c r="D5" s="657"/>
      <c r="E5" s="659"/>
      <c r="F5" s="657"/>
      <c r="G5" s="659" t="s">
        <v>11</v>
      </c>
      <c r="H5" s="657"/>
      <c r="I5" s="660"/>
    </row>
    <row r="6" spans="1:9" ht="12" customHeight="1" thickBot="1">
      <c r="A6" s="661" t="s">
        <v>11</v>
      </c>
      <c r="B6" s="662"/>
      <c r="C6" s="663"/>
      <c r="D6" s="664"/>
      <c r="E6" s="663"/>
      <c r="F6" s="664"/>
      <c r="G6" s="664"/>
      <c r="H6" s="662"/>
      <c r="I6" s="665"/>
    </row>
    <row r="7" spans="1:9" ht="23.4" thickBot="1">
      <c r="A7" s="666" t="s">
        <v>86</v>
      </c>
      <c r="B7" s="657"/>
      <c r="C7" s="763">
        <f>C5-C9-C11-C12</f>
        <v>43</v>
      </c>
      <c r="D7" s="667"/>
      <c r="E7" s="659"/>
      <c r="F7" s="667"/>
      <c r="G7" s="667" t="s">
        <v>11</v>
      </c>
      <c r="H7" s="657"/>
      <c r="I7" s="660"/>
    </row>
    <row r="8" spans="1:9" ht="12" customHeight="1" thickBot="1">
      <c r="A8" s="661"/>
      <c r="B8" s="668"/>
      <c r="C8" s="663"/>
      <c r="D8" s="664"/>
      <c r="E8" s="663"/>
      <c r="F8" s="664"/>
      <c r="G8" s="664"/>
      <c r="H8" s="662"/>
      <c r="I8" s="665"/>
    </row>
    <row r="9" spans="1:9" s="114" customFormat="1" ht="21" customHeight="1" thickBot="1">
      <c r="A9" s="829" t="s">
        <v>646</v>
      </c>
      <c r="B9" s="675"/>
      <c r="C9" s="1113">
        <f>B46</f>
        <v>0</v>
      </c>
      <c r="D9" s="673"/>
      <c r="E9" s="674"/>
      <c r="F9" s="673"/>
      <c r="G9" s="673"/>
      <c r="H9" s="675"/>
      <c r="I9" s="676"/>
    </row>
    <row r="10" spans="1:9" ht="12" customHeight="1" thickBot="1">
      <c r="A10" s="825"/>
      <c r="B10" s="668"/>
      <c r="C10" s="663"/>
      <c r="D10" s="826"/>
      <c r="E10" s="669"/>
      <c r="F10" s="826"/>
      <c r="G10" s="826"/>
      <c r="H10" s="668"/>
      <c r="I10" s="827"/>
    </row>
    <row r="11" spans="1:9" ht="22.8">
      <c r="A11" s="670" t="s">
        <v>503</v>
      </c>
      <c r="B11" s="671"/>
      <c r="C11" s="672">
        <f>B38</f>
        <v>0</v>
      </c>
      <c r="D11" s="673"/>
      <c r="E11" s="674"/>
      <c r="F11" s="673"/>
      <c r="G11" s="673" t="s">
        <v>11</v>
      </c>
      <c r="H11" s="675"/>
      <c r="I11" s="676"/>
    </row>
    <row r="12" spans="1:9" ht="22.8">
      <c r="A12" s="677" t="s">
        <v>504</v>
      </c>
      <c r="B12" s="678"/>
      <c r="C12" s="679">
        <v>0</v>
      </c>
      <c r="D12" s="680"/>
      <c r="E12" s="681"/>
      <c r="F12" s="680"/>
      <c r="G12" s="680"/>
      <c r="H12" s="678"/>
      <c r="I12" s="682"/>
    </row>
    <row r="13" spans="1:9" ht="21" thickBot="1">
      <c r="A13" s="685" t="s">
        <v>99</v>
      </c>
      <c r="B13" s="683"/>
      <c r="C13" s="684"/>
      <c r="D13" s="680"/>
      <c r="E13" s="681"/>
      <c r="F13" s="680"/>
      <c r="G13" s="680"/>
      <c r="H13" s="678"/>
      <c r="I13" s="682"/>
    </row>
    <row r="14" spans="1:9" ht="21" thickBot="1">
      <c r="A14" s="685" t="s">
        <v>110</v>
      </c>
      <c r="B14" s="686"/>
      <c r="C14" s="687"/>
      <c r="D14" s="686"/>
      <c r="E14" s="687"/>
      <c r="F14" s="686"/>
      <c r="G14" s="686"/>
      <c r="H14" s="688"/>
      <c r="I14" s="689"/>
    </row>
    <row r="15" spans="1:9" ht="23.4" thickBot="1">
      <c r="A15" s="690" t="s">
        <v>505</v>
      </c>
      <c r="B15" s="691"/>
      <c r="C15" s="763">
        <v>0</v>
      </c>
      <c r="D15" s="693"/>
      <c r="E15" s="692"/>
      <c r="F15" s="693"/>
      <c r="G15" s="693" t="s">
        <v>11</v>
      </c>
      <c r="H15" s="691"/>
      <c r="I15" s="694"/>
    </row>
    <row r="16" spans="1:9" ht="21.6" thickBot="1">
      <c r="A16" s="695" t="s">
        <v>11</v>
      </c>
      <c r="B16" s="662"/>
      <c r="C16" s="663"/>
      <c r="D16" s="664"/>
      <c r="E16" s="663"/>
      <c r="F16" s="664"/>
      <c r="G16" s="664"/>
      <c r="H16" s="662"/>
      <c r="I16" s="665"/>
    </row>
    <row r="17" spans="1:9" ht="23.4" thickBot="1">
      <c r="A17" s="696" t="s">
        <v>506</v>
      </c>
      <c r="B17" s="697"/>
      <c r="C17" s="698" t="s">
        <v>11</v>
      </c>
      <c r="D17" s="699"/>
      <c r="E17" s="700"/>
      <c r="F17" s="699"/>
      <c r="G17" s="699"/>
      <c r="H17" s="697"/>
      <c r="I17" s="701"/>
    </row>
    <row r="18" spans="1:9" ht="21.6" thickBot="1">
      <c r="A18" s="702" t="s">
        <v>507</v>
      </c>
      <c r="B18" s="662"/>
      <c r="C18" s="663" t="s">
        <v>11</v>
      </c>
      <c r="D18" s="664"/>
      <c r="E18" s="663"/>
      <c r="F18" s="664"/>
      <c r="G18" s="507" t="s">
        <v>650</v>
      </c>
      <c r="H18" s="662"/>
      <c r="I18" s="830"/>
    </row>
    <row r="19" spans="1:9" ht="23.4" thickBot="1">
      <c r="A19" s="703" t="s">
        <v>433</v>
      </c>
      <c r="B19" s="704"/>
      <c r="C19" s="705">
        <f>C7+C12</f>
        <v>43</v>
      </c>
      <c r="D19" s="706"/>
      <c r="E19" s="707"/>
      <c r="F19" s="706"/>
      <c r="G19" s="706" t="s">
        <v>11</v>
      </c>
      <c r="H19" s="704"/>
      <c r="I19" s="708"/>
    </row>
    <row r="20" spans="1:9" ht="20.399999999999999">
      <c r="A20" s="709" t="s">
        <v>435</v>
      </c>
      <c r="B20" s="710"/>
      <c r="C20" s="711">
        <f>NSG_Requirements!C7/1000</f>
        <v>0</v>
      </c>
      <c r="D20" s="712"/>
      <c r="E20" s="711">
        <f>NSG_Requirements!C7/1000</f>
        <v>0</v>
      </c>
      <c r="F20" s="712"/>
      <c r="G20" s="711">
        <f>NSG_Requirements!C7/1000</f>
        <v>0</v>
      </c>
      <c r="H20" s="710"/>
      <c r="I20" s="774">
        <f>NSG_Requirements!C7/1000</f>
        <v>0</v>
      </c>
    </row>
    <row r="21" spans="1:9" ht="20.399999999999999">
      <c r="A21" s="713" t="s">
        <v>438</v>
      </c>
      <c r="B21" s="714"/>
      <c r="C21" s="711">
        <f>NSG_Requirements!R7/1000</f>
        <v>0</v>
      </c>
      <c r="D21" s="715"/>
      <c r="E21" s="711">
        <f>NSG_Requirements!R7/1000</f>
        <v>0</v>
      </c>
      <c r="F21" s="715"/>
      <c r="G21" s="711">
        <f>NSG_Requirements!R7/1000</f>
        <v>0</v>
      </c>
      <c r="H21" s="714"/>
      <c r="I21" s="775">
        <f>NSG_Requirements!R7/1000</f>
        <v>0</v>
      </c>
    </row>
    <row r="22" spans="1:9" ht="20.399999999999999">
      <c r="A22" s="713" t="s">
        <v>508</v>
      </c>
      <c r="B22" s="717"/>
      <c r="C22" s="711">
        <f>NSG_Supplies!K7/1000</f>
        <v>0</v>
      </c>
      <c r="D22" s="718"/>
      <c r="E22" s="711">
        <f>NSG_Supplies!K7/1000</f>
        <v>0</v>
      </c>
      <c r="F22" s="718"/>
      <c r="G22" s="711">
        <f>NSG_Supplies!K7/1000</f>
        <v>0</v>
      </c>
      <c r="H22" s="717"/>
      <c r="I22" s="776">
        <f>NSG_Supplies!K7/1000</f>
        <v>0</v>
      </c>
    </row>
    <row r="23" spans="1:9" ht="20.399999999999999">
      <c r="A23" s="709" t="s">
        <v>439</v>
      </c>
      <c r="B23" s="717"/>
      <c r="C23" s="792">
        <f>-(PGL_Requirements!$Y$7+PGL_Requirements!$Z$7+PGL_Requirements!$AA$7+PGL_Requirements!$AB$7)/1000+(NSG_Requirements!$Y$7+NSG_Requirements!$Z$7+NSG_Requirements!$AA$7)/1000</f>
        <v>0</v>
      </c>
      <c r="D23" s="643"/>
      <c r="E23" s="792">
        <f>-(PGL_Requirements!$Y$7+PGL_Requirements!$Z$7+PGL_Requirements!$AA$7+PGL_Requirements!$AB$7)/1000+(NSG_Requirements!$Y$7+NSG_Requirements!$Z$7+NSG_Requirements!$AA$7)/1000</f>
        <v>0</v>
      </c>
      <c r="F23" s="643"/>
      <c r="G23" s="792">
        <f>-(PGL_Requirements!$Y$7+PGL_Requirements!$Z$7+PGL_Requirements!$AA$7+PGL_Requirements!$AB$7)/1000+(NSG_Requirements!$Y$7+NSG_Requirements!$Z$7+NSG_Requirements!$AA$7)/1000</f>
        <v>0</v>
      </c>
      <c r="H23" s="714"/>
      <c r="I23" s="791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9" t="s">
        <v>441</v>
      </c>
      <c r="B24" s="717"/>
      <c r="C24" s="711">
        <f>NSG_Requirements!H7/1000</f>
        <v>9.91</v>
      </c>
      <c r="D24" s="718"/>
      <c r="E24" s="711" t="s">
        <v>11</v>
      </c>
      <c r="F24" s="718"/>
      <c r="G24" s="711" t="s">
        <v>11</v>
      </c>
      <c r="H24" s="717"/>
      <c r="I24" s="711" t="s">
        <v>11</v>
      </c>
    </row>
    <row r="25" spans="1:9" ht="20.399999999999999">
      <c r="A25" s="709" t="s">
        <v>442</v>
      </c>
      <c r="B25" s="714"/>
      <c r="C25" s="711">
        <f>-NSG_Supplies!F7/1000</f>
        <v>0</v>
      </c>
      <c r="D25" s="715"/>
      <c r="E25" s="711" t="s">
        <v>11</v>
      </c>
      <c r="F25" s="715"/>
      <c r="G25" s="711" t="s">
        <v>11</v>
      </c>
      <c r="H25" s="714"/>
      <c r="I25" s="711" t="s">
        <v>11</v>
      </c>
    </row>
    <row r="26" spans="1:9" ht="20.399999999999999">
      <c r="A26" s="709" t="s">
        <v>197</v>
      </c>
      <c r="B26" s="717"/>
      <c r="C26" s="711">
        <f>-NSG_Supplies!R7/1000</f>
        <v>-52.905000000000001</v>
      </c>
      <c r="D26" s="718"/>
      <c r="E26" s="711">
        <f>-NSG_Supplies!R7/1000</f>
        <v>-52.905000000000001</v>
      </c>
      <c r="F26" s="718"/>
      <c r="G26" s="711">
        <f>-NSG_Supplies!R7/1000</f>
        <v>-52.905000000000001</v>
      </c>
      <c r="H26" s="717"/>
      <c r="I26" s="776">
        <f>-NSG_Supplies!R7/1000</f>
        <v>-52.905000000000001</v>
      </c>
    </row>
    <row r="27" spans="1:9" ht="20.399999999999999">
      <c r="A27" s="709" t="s">
        <v>440</v>
      </c>
      <c r="B27" s="717"/>
      <c r="C27" s="711">
        <v>0</v>
      </c>
      <c r="D27" s="718"/>
      <c r="E27" s="711">
        <v>0</v>
      </c>
      <c r="F27" s="718"/>
      <c r="G27" s="711">
        <v>0</v>
      </c>
      <c r="H27" s="717"/>
      <c r="I27" s="776">
        <v>0</v>
      </c>
    </row>
    <row r="28" spans="1:9" ht="21" thickBot="1">
      <c r="A28" s="764" t="s">
        <v>537</v>
      </c>
      <c r="B28" s="720"/>
      <c r="C28" s="711">
        <f>-NSG_Supplies!H7/1000+NSG_Requirements!L7/1000</f>
        <v>0</v>
      </c>
      <c r="D28" s="715"/>
      <c r="E28" s="711">
        <f>-NSG_Supplies!H7/1000+NSG_Requirements!L7/1000</f>
        <v>0</v>
      </c>
      <c r="F28" s="715"/>
      <c r="G28" s="711">
        <f>-NSG_Supplies!H7/1000+NSG_Requirements!L7/1000</f>
        <v>0</v>
      </c>
      <c r="H28" s="720"/>
      <c r="I28" s="785">
        <f>-NSG_Supplies!H7/1000+NSG_Requirements!L7/1000</f>
        <v>0</v>
      </c>
    </row>
    <row r="29" spans="1:9" ht="23.4" thickBot="1">
      <c r="A29" s="722"/>
      <c r="B29" s="723"/>
      <c r="C29" s="724" t="s">
        <v>503</v>
      </c>
      <c r="D29" s="723"/>
      <c r="E29" s="725"/>
      <c r="F29" s="723"/>
      <c r="G29" s="726" t="s">
        <v>11</v>
      </c>
      <c r="H29" s="723"/>
      <c r="I29" s="727"/>
    </row>
    <row r="30" spans="1:9" ht="21">
      <c r="A30" s="783" t="s">
        <v>445</v>
      </c>
      <c r="B30" s="760">
        <f>NSG_Requirements!O7/1000</f>
        <v>0</v>
      </c>
      <c r="C30" s="729" t="s">
        <v>11</v>
      </c>
      <c r="D30" s="730"/>
      <c r="E30" s="731"/>
      <c r="F30" s="732" t="s">
        <v>284</v>
      </c>
      <c r="G30" s="733"/>
      <c r="H30" s="733"/>
      <c r="I30" s="734"/>
    </row>
    <row r="31" spans="1:9" ht="20.399999999999999">
      <c r="A31" s="784" t="s">
        <v>538</v>
      </c>
      <c r="B31" s="759">
        <f>NSG_Supplies!L7/1000+PGL_Requirements!V7/1000</f>
        <v>0</v>
      </c>
      <c r="C31" s="718"/>
      <c r="D31" s="736"/>
      <c r="E31" s="719"/>
      <c r="F31" s="643"/>
      <c r="G31" s="715"/>
      <c r="H31" s="715"/>
      <c r="I31" s="734"/>
    </row>
    <row r="32" spans="1:9" ht="20.399999999999999">
      <c r="A32" s="784" t="s">
        <v>539</v>
      </c>
      <c r="B32" s="759">
        <f>NSG_Supplies!M7/1000</f>
        <v>0</v>
      </c>
      <c r="C32" s="715"/>
      <c r="D32" s="737"/>
      <c r="E32" s="716"/>
      <c r="F32" s="643"/>
      <c r="G32" s="715"/>
      <c r="H32" s="715"/>
      <c r="I32" s="734"/>
    </row>
    <row r="33" spans="1:9" ht="20.399999999999999">
      <c r="A33" s="783" t="s">
        <v>509</v>
      </c>
      <c r="B33" s="761">
        <f>(NSG_Requirements!S7+NSG_Requirements!T7+NSG_Requirements!U7)/1000</f>
        <v>0</v>
      </c>
      <c r="C33" s="718"/>
      <c r="D33" s="736"/>
      <c r="E33" s="719"/>
      <c r="F33" s="643"/>
      <c r="G33" s="715"/>
      <c r="H33" s="715"/>
      <c r="I33" s="734"/>
    </row>
    <row r="34" spans="1:9" ht="20.399999999999999">
      <c r="A34" s="783" t="s">
        <v>89</v>
      </c>
      <c r="B34" s="759">
        <f>NSG_Requirements!D7/1000</f>
        <v>0</v>
      </c>
      <c r="C34" s="718"/>
      <c r="D34" s="736"/>
      <c r="E34" s="719"/>
      <c r="F34" s="643"/>
      <c r="G34" s="715"/>
      <c r="H34" s="715"/>
      <c r="I34" s="734"/>
    </row>
    <row r="35" spans="1:9" ht="20.399999999999999">
      <c r="A35" s="784" t="s">
        <v>521</v>
      </c>
      <c r="B35" s="761">
        <f>NSG_Requirements!B7/1000</f>
        <v>0</v>
      </c>
      <c r="C35" s="718"/>
      <c r="D35" s="736"/>
      <c r="E35" s="719"/>
      <c r="F35" s="643"/>
      <c r="G35" s="715"/>
      <c r="H35" s="715"/>
      <c r="I35" s="734"/>
    </row>
    <row r="36" spans="1:9" ht="20.399999999999999">
      <c r="A36" s="784" t="s">
        <v>522</v>
      </c>
      <c r="B36" s="761">
        <f>NSG_Supplies!B7/1000</f>
        <v>0</v>
      </c>
      <c r="C36" s="718"/>
      <c r="D36" s="736"/>
      <c r="E36" s="719"/>
      <c r="F36" s="643"/>
      <c r="G36" s="715"/>
      <c r="H36" s="715"/>
      <c r="I36" s="734"/>
    </row>
    <row r="37" spans="1:9" ht="21" thickBot="1">
      <c r="A37" s="783" t="s">
        <v>109</v>
      </c>
      <c r="B37" s="759">
        <f>NSG_Supplies!P7/1000</f>
        <v>0</v>
      </c>
      <c r="C37" s="739"/>
      <c r="D37" s="740"/>
      <c r="E37" s="721"/>
      <c r="F37" s="643"/>
      <c r="G37" s="715"/>
      <c r="H37" s="715"/>
      <c r="I37" s="734"/>
    </row>
    <row r="38" spans="1:9" ht="21.6" thickBot="1">
      <c r="A38" s="741" t="s">
        <v>510</v>
      </c>
      <c r="B38" s="762">
        <f>-B30+B31+B32-B33-B34-B35+B36+B37</f>
        <v>0</v>
      </c>
      <c r="C38" s="643"/>
      <c r="D38" s="742"/>
      <c r="E38" s="743"/>
      <c r="F38" s="643"/>
      <c r="G38" s="715"/>
      <c r="H38" s="715"/>
      <c r="I38" s="734"/>
    </row>
    <row r="39" spans="1:9" ht="23.4" thickBot="1">
      <c r="A39" s="722"/>
      <c r="B39" s="723"/>
      <c r="C39" s="831" t="s">
        <v>651</v>
      </c>
      <c r="D39" s="723"/>
      <c r="E39" s="725"/>
      <c r="F39" s="643"/>
      <c r="G39" s="715"/>
      <c r="H39" s="715"/>
      <c r="I39" s="734"/>
    </row>
    <row r="40" spans="1:9" ht="20.399999999999999">
      <c r="A40" s="709" t="s">
        <v>511</v>
      </c>
      <c r="B40" s="821">
        <v>0</v>
      </c>
      <c r="C40" s="643"/>
      <c r="D40" s="744"/>
      <c r="E40" s="745"/>
      <c r="F40" s="643"/>
      <c r="G40" s="715"/>
      <c r="H40" s="715"/>
      <c r="I40" s="734"/>
    </row>
    <row r="41" spans="1:9" ht="20.399999999999999">
      <c r="A41" s="709" t="s">
        <v>512</v>
      </c>
      <c r="B41" s="822">
        <f>NSG_Requirements!J7/1000</f>
        <v>20</v>
      </c>
      <c r="C41" s="718"/>
      <c r="D41" s="736"/>
      <c r="E41" s="719"/>
      <c r="F41" s="643"/>
      <c r="G41" s="715"/>
      <c r="H41" s="715"/>
      <c r="I41" s="734"/>
    </row>
    <row r="42" spans="1:9" ht="20.399999999999999">
      <c r="A42" s="709" t="s">
        <v>513</v>
      </c>
      <c r="B42" s="823">
        <f>NSG_Supplies!E7/1000</f>
        <v>0</v>
      </c>
      <c r="C42" s="643"/>
      <c r="D42" s="746"/>
      <c r="E42" s="747"/>
      <c r="F42" s="643"/>
      <c r="G42" s="715"/>
      <c r="H42" s="715"/>
      <c r="I42" s="734"/>
    </row>
    <row r="43" spans="1:9" ht="20.399999999999999">
      <c r="A43" s="709" t="s">
        <v>514</v>
      </c>
      <c r="B43" s="822">
        <v>0</v>
      </c>
      <c r="C43" s="718"/>
      <c r="D43" s="736"/>
      <c r="E43" s="719"/>
      <c r="F43" s="643"/>
      <c r="G43" s="715"/>
      <c r="H43" s="715"/>
      <c r="I43" s="734"/>
    </row>
    <row r="44" spans="1:9" ht="20.399999999999999">
      <c r="A44" s="709" t="s">
        <v>515</v>
      </c>
      <c r="B44" s="822">
        <v>0</v>
      </c>
      <c r="C44" s="718"/>
      <c r="D44" s="736"/>
      <c r="E44" s="719"/>
      <c r="F44" s="643"/>
      <c r="G44" s="715"/>
      <c r="H44" s="715"/>
      <c r="I44" s="734"/>
    </row>
    <row r="45" spans="1:9" ht="21" thickBot="1">
      <c r="A45" s="638" t="s">
        <v>647</v>
      </c>
      <c r="B45" s="823">
        <f>NSG_Supplies!Q7/1000</f>
        <v>20</v>
      </c>
      <c r="C45" s="643"/>
      <c r="D45" s="746"/>
      <c r="E45" s="747"/>
      <c r="F45" s="643"/>
      <c r="G45" s="715"/>
      <c r="H45" s="715"/>
      <c r="I45" s="734"/>
    </row>
    <row r="46" spans="1:9" ht="21.6" thickBot="1">
      <c r="A46" s="741" t="s">
        <v>510</v>
      </c>
      <c r="B46" s="824">
        <f>B45+B42-B41</f>
        <v>0</v>
      </c>
      <c r="C46" s="749"/>
      <c r="D46" s="748"/>
      <c r="E46" s="750"/>
      <c r="F46" s="643"/>
      <c r="G46" s="715"/>
      <c r="H46" s="715"/>
      <c r="I46" s="734"/>
    </row>
    <row r="47" spans="1:9" ht="23.4" thickBot="1">
      <c r="A47" s="722"/>
      <c r="B47" s="723"/>
      <c r="C47" s="724" t="s">
        <v>69</v>
      </c>
      <c r="D47" s="723"/>
      <c r="E47" s="725"/>
      <c r="F47" s="643"/>
      <c r="G47" s="715"/>
      <c r="H47" s="715"/>
      <c r="I47" s="734"/>
    </row>
    <row r="48" spans="1:9" ht="20.399999999999999">
      <c r="A48" s="709" t="s">
        <v>516</v>
      </c>
      <c r="B48" s="728">
        <f>(NSG_Requirements!V7+NSG_Requirements!W7+NSG_Requirements!X7)/1000</f>
        <v>0</v>
      </c>
      <c r="C48" s="751"/>
      <c r="D48" s="736"/>
      <c r="E48" s="719"/>
      <c r="F48" s="643"/>
      <c r="G48" s="715"/>
      <c r="H48" s="715"/>
      <c r="I48" s="734"/>
    </row>
    <row r="49" spans="1:9" ht="20.399999999999999">
      <c r="A49" s="709" t="s">
        <v>517</v>
      </c>
      <c r="B49" s="735">
        <f>NSG_Requirements!M7/1000</f>
        <v>0</v>
      </c>
      <c r="C49" s="755"/>
      <c r="D49" s="755"/>
      <c r="E49" s="644"/>
      <c r="F49" s="643"/>
      <c r="G49" s="715"/>
      <c r="H49" s="715"/>
      <c r="I49" s="734"/>
    </row>
    <row r="50" spans="1:9" ht="20.399999999999999">
      <c r="A50" s="709" t="s">
        <v>89</v>
      </c>
      <c r="B50" s="735">
        <f>NSG_Requirements!E7/1000</f>
        <v>0</v>
      </c>
      <c r="C50" s="752"/>
      <c r="D50" s="746"/>
      <c r="E50" s="747"/>
      <c r="F50" s="643"/>
      <c r="G50" s="715"/>
      <c r="H50" s="715"/>
      <c r="I50" s="734"/>
    </row>
    <row r="51" spans="1:9" ht="21" thickBot="1">
      <c r="A51" s="709" t="s">
        <v>109</v>
      </c>
      <c r="B51" s="738">
        <f>NSG_Supplies!O7/1000</f>
        <v>0</v>
      </c>
      <c r="C51" s="751"/>
      <c r="D51" s="736"/>
      <c r="E51" s="719"/>
      <c r="F51" s="643"/>
      <c r="G51" s="715"/>
      <c r="H51" s="715"/>
      <c r="I51" s="734"/>
    </row>
    <row r="52" spans="1:9" ht="23.4" thickBot="1">
      <c r="A52" s="722"/>
      <c r="B52" s="723"/>
      <c r="C52" s="724" t="s">
        <v>518</v>
      </c>
      <c r="D52" s="723"/>
      <c r="E52" s="725"/>
      <c r="F52" s="643"/>
      <c r="G52" s="715"/>
      <c r="H52" s="715"/>
      <c r="I52" s="734"/>
    </row>
    <row r="53" spans="1:9" ht="20.399999999999999">
      <c r="A53" s="753" t="s">
        <v>519</v>
      </c>
      <c r="B53" s="754"/>
      <c r="C53" s="643"/>
      <c r="D53" s="744"/>
      <c r="E53" s="745"/>
      <c r="F53" s="643"/>
      <c r="G53" s="715"/>
      <c r="H53" s="715"/>
      <c r="I53" s="734"/>
    </row>
    <row r="54" spans="1:9" ht="21.6" thickBot="1">
      <c r="A54" s="756" t="s">
        <v>520</v>
      </c>
      <c r="B54" s="765"/>
      <c r="C54" s="766"/>
      <c r="D54" s="767"/>
      <c r="E54" s="768"/>
      <c r="F54" s="757"/>
      <c r="G54" s="769"/>
      <c r="H54" s="1093"/>
      <c r="I54" s="1092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9" t="s">
        <v>11</v>
      </c>
      <c r="B1" s="254"/>
      <c r="C1" s="254"/>
      <c r="D1" s="254"/>
      <c r="E1" s="255" t="s">
        <v>173</v>
      </c>
      <c r="F1" s="462">
        <f>Weather_Input!A5</f>
        <v>37007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75</v>
      </c>
      <c r="C5" s="266">
        <f>Weather_Input!C5</f>
        <v>52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268</v>
      </c>
      <c r="C8" s="274">
        <f>NSG_Deliveries!C5/1000</f>
        <v>43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225.76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15.007999999999999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-32.275000000000006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1.254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34.404000000000003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-175.34299999999999</v>
      </c>
      <c r="C18" s="289">
        <f>-I63</f>
        <v>0</v>
      </c>
      <c r="D18" s="290" t="s">
        <v>11</v>
      </c>
      <c r="E18" s="289">
        <f>-I63</f>
        <v>0</v>
      </c>
      <c r="F18" s="290" t="s">
        <v>11</v>
      </c>
      <c r="G18" s="289">
        <f>-I63</f>
        <v>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-2.46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90.197000000000017</v>
      </c>
      <c r="C20" s="295">
        <f>C8+C18+C19</f>
        <v>43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2.5451999999999999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92.742200000000011</v>
      </c>
      <c r="C23" s="301">
        <f>C20</f>
        <v>43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0.61</v>
      </c>
      <c r="C27" s="310">
        <f>NSG_Requirements!P7/1000</f>
        <v>0</v>
      </c>
      <c r="D27" s="310">
        <f>PGL_Requirements!R7/1000</f>
        <v>0.61</v>
      </c>
      <c r="E27" s="310">
        <f>NSG_Requirements!P7/1000</f>
        <v>0</v>
      </c>
      <c r="F27" s="310">
        <f>PGL_Requirements!R7/1000</f>
        <v>0.61</v>
      </c>
      <c r="G27" s="310">
        <f>NSG_Requirements!P7/1000</f>
        <v>0</v>
      </c>
      <c r="H27" s="311">
        <f>+B27</f>
        <v>0.61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-124.58799999999999</v>
      </c>
      <c r="C32" s="315">
        <f>-NSG_Supplies!R7/1000</f>
        <v>-52.905000000000001</v>
      </c>
      <c r="D32" s="315">
        <f>B32</f>
        <v>-124.58799999999999</v>
      </c>
      <c r="E32" s="315">
        <f>C32</f>
        <v>-52.905000000000001</v>
      </c>
      <c r="F32" s="315">
        <f>B32</f>
        <v>-124.58799999999999</v>
      </c>
      <c r="G32" s="315">
        <f>C32</f>
        <v>-52.905000000000001</v>
      </c>
      <c r="H32" s="320">
        <f>B32</f>
        <v>-124.58799999999999</v>
      </c>
      <c r="I32" s="321">
        <f>C32</f>
        <v>-52.905000000000001</v>
      </c>
    </row>
    <row r="33" spans="1:9" ht="17.100000000000001" customHeight="1">
      <c r="A33" s="319" t="s">
        <v>394</v>
      </c>
      <c r="B33" s="315">
        <f>-PGL_Supplies!X7/1000</f>
        <v>-5</v>
      </c>
      <c r="C33" s="315">
        <f>-NSG_Supplies!S7/1000</f>
        <v>-27.905000000000001</v>
      </c>
      <c r="D33" s="315">
        <f>B33</f>
        <v>-5</v>
      </c>
      <c r="E33" s="315">
        <f>C33</f>
        <v>-27.905000000000001</v>
      </c>
      <c r="F33" s="315">
        <f>B33</f>
        <v>-5</v>
      </c>
      <c r="G33" s="315">
        <f>C33</f>
        <v>-27.905000000000001</v>
      </c>
      <c r="H33" s="320">
        <f>B33</f>
        <v>-5</v>
      </c>
      <c r="I33" s="321">
        <f>C33</f>
        <v>-27.905000000000001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56.058</v>
      </c>
      <c r="C35" s="310">
        <f>NSG_Requirements!H7/1000</f>
        <v>9.91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169.68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1.254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2.5451999999999999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2.5451999999999999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1.254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225.76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0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225.76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40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40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0</v>
      </c>
    </row>
    <row r="64" spans="1:9" ht="17.100000000000001" customHeight="1" thickBot="1">
      <c r="A64" s="425" t="s">
        <v>394</v>
      </c>
      <c r="B64" s="324">
        <f>PGL_Supplies!Y7/1000</f>
        <v>137.405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0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1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169.68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-32.275000000000006</v>
      </c>
      <c r="C72" s="400" t="s">
        <v>11</v>
      </c>
      <c r="D72" s="401"/>
      <c r="E72" s="402"/>
      <c r="F72" s="397"/>
      <c r="G72" s="492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THU</v>
      </c>
      <c r="H73" s="406">
        <f>Weather_Input!A5</f>
        <v>37007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7" t="s">
        <v>425</v>
      </c>
      <c r="B90" s="588"/>
      <c r="C90" s="588"/>
      <c r="D90" s="588"/>
      <c r="E90" s="589" t="s">
        <v>173</v>
      </c>
      <c r="F90" s="590">
        <f>Weather_Input!L5</f>
        <v>1</v>
      </c>
      <c r="G90" s="591" t="s">
        <v>11</v>
      </c>
      <c r="H90" s="592"/>
      <c r="I90" s="593"/>
    </row>
    <row r="91" spans="1:9" ht="15.6">
      <c r="A91" s="258"/>
      <c r="B91" s="609" t="s">
        <v>422</v>
      </c>
      <c r="C91" s="269" t="s">
        <v>11</v>
      </c>
      <c r="D91" s="601" t="s">
        <v>493</v>
      </c>
      <c r="E91" s="608"/>
      <c r="F91" s="606" t="s">
        <v>494</v>
      </c>
      <c r="G91" s="607"/>
      <c r="H91" s="605" t="s">
        <v>174</v>
      </c>
      <c r="I91" s="260"/>
    </row>
    <row r="92" spans="1:9" ht="15">
      <c r="A92" s="493" t="s">
        <v>423</v>
      </c>
      <c r="B92" s="600" t="s">
        <v>414</v>
      </c>
      <c r="C92" s="261" t="s">
        <v>176</v>
      </c>
      <c r="D92" s="600" t="s">
        <v>23</v>
      </c>
      <c r="E92" s="261" t="s">
        <v>176</v>
      </c>
      <c r="F92" s="603" t="s">
        <v>23</v>
      </c>
      <c r="G92" s="261" t="s">
        <v>176</v>
      </c>
      <c r="H92" s="600" t="s">
        <v>23</v>
      </c>
      <c r="I92" s="494" t="s">
        <v>176</v>
      </c>
    </row>
    <row r="93" spans="1:9" ht="15.6">
      <c r="A93" s="258" t="s">
        <v>11</v>
      </c>
      <c r="B93" s="268"/>
      <c r="C93" s="266"/>
      <c r="D93" s="602"/>
      <c r="E93" s="602"/>
      <c r="F93" s="604"/>
      <c r="G93" s="269"/>
      <c r="H93" s="269"/>
      <c r="I93" s="267"/>
    </row>
    <row r="94" spans="1:9" ht="16.2" thickBot="1">
      <c r="A94" s="258" t="s">
        <v>424</v>
      </c>
      <c r="B94" s="501" t="s">
        <v>11</v>
      </c>
      <c r="C94" s="500" t="s">
        <v>11</v>
      </c>
      <c r="D94" s="495" t="s">
        <v>11</v>
      </c>
      <c r="E94" s="502"/>
      <c r="F94" s="503"/>
      <c r="G94" s="271"/>
      <c r="H94" s="503"/>
      <c r="I94" s="260"/>
    </row>
    <row r="95" spans="1:9" ht="16.2" thickBot="1">
      <c r="A95" s="496"/>
      <c r="B95" s="497" t="s">
        <v>11</v>
      </c>
      <c r="C95" s="497" t="s">
        <v>11</v>
      </c>
      <c r="D95" s="498"/>
      <c r="E95" s="498"/>
      <c r="F95" s="498"/>
      <c r="G95" s="498"/>
      <c r="H95" s="498"/>
      <c r="I95" s="499"/>
    </row>
    <row r="96" spans="1:9" ht="15">
      <c r="A96" s="493" t="s">
        <v>182</v>
      </c>
      <c r="B96" s="293" t="s">
        <v>11</v>
      </c>
      <c r="C96" s="623" t="e">
        <f>I150</f>
        <v>#REF!</v>
      </c>
      <c r="D96" s="619"/>
      <c r="E96" s="269"/>
      <c r="F96" s="619"/>
      <c r="G96" s="269"/>
      <c r="H96" s="619"/>
      <c r="I96" s="267" t="s">
        <v>11</v>
      </c>
    </row>
    <row r="97" spans="1:9" ht="15">
      <c r="A97" s="493" t="s">
        <v>68</v>
      </c>
      <c r="B97" s="282" t="s">
        <v>11</v>
      </c>
      <c r="C97" s="623">
        <f>B133</f>
        <v>56.057999999999993</v>
      </c>
      <c r="D97" s="602"/>
      <c r="E97" s="614">
        <f>+C97</f>
        <v>56.057999999999993</v>
      </c>
      <c r="F97" s="602"/>
      <c r="G97" s="614">
        <f>+C97</f>
        <v>56.057999999999993</v>
      </c>
      <c r="H97" s="602"/>
      <c r="I97" s="285">
        <f>+C97</f>
        <v>56.057999999999993</v>
      </c>
    </row>
    <row r="98" spans="1:9" ht="15">
      <c r="A98" s="493" t="s">
        <v>60</v>
      </c>
      <c r="B98" s="282" t="s">
        <v>11</v>
      </c>
      <c r="C98" s="623">
        <f>B149</f>
        <v>1.254</v>
      </c>
      <c r="D98" s="602"/>
      <c r="E98" s="269"/>
      <c r="F98" s="602"/>
      <c r="G98" s="269"/>
      <c r="H98" s="602"/>
      <c r="I98" s="267"/>
    </row>
    <row r="99" spans="1:9" ht="15">
      <c r="A99" s="493" t="s">
        <v>69</v>
      </c>
      <c r="B99" s="282" t="s">
        <v>11</v>
      </c>
      <c r="C99" s="623">
        <f>B141</f>
        <v>225.76</v>
      </c>
      <c r="D99" s="620"/>
      <c r="E99" s="269"/>
      <c r="F99" s="602"/>
      <c r="G99" s="269"/>
      <c r="H99" s="602"/>
      <c r="I99" s="267"/>
    </row>
    <row r="100" spans="1:9" ht="15">
      <c r="A100" s="493" t="s">
        <v>426</v>
      </c>
      <c r="B100" s="286" t="s">
        <v>11</v>
      </c>
      <c r="C100" s="623">
        <f>I157+I158</f>
        <v>0</v>
      </c>
      <c r="D100" s="602"/>
      <c r="E100" s="269"/>
      <c r="F100" s="602"/>
      <c r="G100" s="269"/>
      <c r="H100" s="602"/>
      <c r="I100" s="267"/>
    </row>
    <row r="101" spans="1:9" ht="15">
      <c r="A101" s="493" t="s">
        <v>427</v>
      </c>
      <c r="B101" s="282" t="s">
        <v>11</v>
      </c>
      <c r="C101" s="623" t="e">
        <f>I146</f>
        <v>#REF!</v>
      </c>
      <c r="D101" s="602" t="s">
        <v>11</v>
      </c>
      <c r="E101" s="269"/>
      <c r="F101" s="602"/>
      <c r="G101" s="269"/>
      <c r="H101" s="602"/>
      <c r="I101" s="267"/>
    </row>
    <row r="102" spans="1:9" ht="15">
      <c r="A102" s="493" t="s">
        <v>37</v>
      </c>
      <c r="B102" s="282" t="s">
        <v>172</v>
      </c>
      <c r="C102" s="623">
        <f>B162</f>
        <v>137.405</v>
      </c>
      <c r="D102" s="602"/>
      <c r="E102" s="269"/>
      <c r="F102" s="602"/>
      <c r="G102" s="269"/>
      <c r="H102" s="602"/>
      <c r="I102" s="267"/>
    </row>
    <row r="103" spans="1:9" ht="15">
      <c r="A103" s="493" t="s">
        <v>99</v>
      </c>
      <c r="B103" s="282" t="s">
        <v>11</v>
      </c>
      <c r="C103" s="623">
        <f>PGL_Requirements!G7/1000</f>
        <v>34.404000000000003</v>
      </c>
      <c r="D103" s="620"/>
      <c r="E103" s="269"/>
      <c r="F103" s="602"/>
      <c r="G103" s="269"/>
      <c r="H103" s="602"/>
      <c r="I103" s="267"/>
    </row>
    <row r="104" spans="1:9" ht="15.6" thickBot="1">
      <c r="A104" s="292" t="s">
        <v>110</v>
      </c>
      <c r="B104" s="615" t="s">
        <v>11</v>
      </c>
      <c r="C104" s="623">
        <f>PGL_Supplies!B7/1000</f>
        <v>0</v>
      </c>
      <c r="D104" s="601"/>
      <c r="E104" s="269"/>
      <c r="F104" s="602"/>
      <c r="G104" s="269"/>
      <c r="H104" s="602"/>
      <c r="I104" s="267"/>
    </row>
    <row r="105" spans="1:9" ht="16.2" thickBot="1">
      <c r="A105" s="616" t="s">
        <v>428</v>
      </c>
      <c r="B105" s="617" t="s">
        <v>11</v>
      </c>
      <c r="C105" s="511" t="s">
        <v>11</v>
      </c>
      <c r="D105" s="621" t="s">
        <v>11</v>
      </c>
      <c r="E105" s="618" t="s">
        <v>11</v>
      </c>
      <c r="F105" s="621" t="s">
        <v>11</v>
      </c>
      <c r="G105" s="618" t="s">
        <v>11</v>
      </c>
      <c r="H105" s="621" t="s">
        <v>11</v>
      </c>
      <c r="I105" s="622"/>
    </row>
    <row r="106" spans="1:9" ht="16.2" thickBot="1">
      <c r="A106" s="504" t="s">
        <v>38</v>
      </c>
      <c r="B106" s="505">
        <f>-PGL_Supplies!U7/1000</f>
        <v>0</v>
      </c>
      <c r="C106" s="506">
        <f>-NSG_Supplies!AF7/1000</f>
        <v>0</v>
      </c>
      <c r="D106" s="507"/>
      <c r="E106" s="508"/>
      <c r="F106" s="507"/>
      <c r="G106" s="508"/>
      <c r="H106" s="509"/>
      <c r="I106" s="510"/>
    </row>
    <row r="107" spans="1:9" ht="15">
      <c r="A107" s="493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3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3" t="s">
        <v>431</v>
      </c>
      <c r="B109" s="282">
        <f>+B129</f>
        <v>1.1599999999999999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2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3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3" t="s">
        <v>434</v>
      </c>
      <c r="B112" s="306"/>
      <c r="C112" s="306"/>
      <c r="D112" s="307"/>
      <c r="E112" s="306"/>
      <c r="F112" s="307"/>
      <c r="G112" s="306"/>
      <c r="H112" s="514"/>
      <c r="I112" s="515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-41.16</v>
      </c>
      <c r="C116" s="419">
        <f>-NSG_Supplies!W7/1000</f>
        <v>0</v>
      </c>
      <c r="D116" s="315">
        <f>-PGL_Supplies!Z7/1000</f>
        <v>-41.16</v>
      </c>
      <c r="E116" s="315">
        <f>-NSG_Supplies!W7/1000</f>
        <v>0</v>
      </c>
      <c r="F116" s="315">
        <f>-PGL_Supplies!Z7/1000</f>
        <v>-41.16</v>
      </c>
      <c r="G116" s="315">
        <f>-NSG_Supplies!W7/1000</f>
        <v>0</v>
      </c>
      <c r="H116" s="320">
        <f>-PGL_Supplies!Z7/1000</f>
        <v>-41.16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0</v>
      </c>
      <c r="C117" s="315">
        <f>-NSG_Supplies!X7/1000</f>
        <v>0</v>
      </c>
      <c r="D117" s="315">
        <f>-PGL_Supplies!AA7/1000</f>
        <v>0</v>
      </c>
      <c r="E117" s="315">
        <f>-NSG_Supplies!X7/1000</f>
        <v>0</v>
      </c>
      <c r="F117" s="315">
        <f>-PGL_Supplies!AA7/1000</f>
        <v>0</v>
      </c>
      <c r="G117" s="315">
        <f>-NSG_Supplies!X7/1000</f>
        <v>0</v>
      </c>
      <c r="H117" s="320">
        <f>-PGL_Supplies!AA7/1000</f>
        <v>0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-5</v>
      </c>
      <c r="C123" s="315">
        <f>-NSG_Supplies!S7/1000</f>
        <v>-27.905000000000001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6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40</v>
      </c>
      <c r="F125" s="542" t="s">
        <v>11</v>
      </c>
      <c r="G125" s="543"/>
      <c r="H125" s="610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4"/>
      <c r="H126" s="549"/>
      <c r="I126" s="336"/>
    </row>
    <row r="127" spans="1:9" ht="15">
      <c r="A127" s="425" t="s">
        <v>495</v>
      </c>
      <c r="B127" s="315">
        <f>PGL_Requirements!O7/1000</f>
        <v>56.058</v>
      </c>
      <c r="C127" s="315" t="s">
        <v>11</v>
      </c>
      <c r="D127" s="313"/>
      <c r="E127" s="333"/>
      <c r="F127" s="425" t="s">
        <v>466</v>
      </c>
      <c r="G127" s="544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4"/>
      <c r="H128" s="317"/>
      <c r="I128" s="336"/>
    </row>
    <row r="129" spans="1:9" ht="15">
      <c r="A129" s="425" t="s">
        <v>446</v>
      </c>
      <c r="B129" s="315">
        <f>PGL_Requirements!C7/1000</f>
        <v>1.1599999999999999</v>
      </c>
      <c r="C129" s="313"/>
      <c r="D129" s="313"/>
      <c r="E129" s="333"/>
      <c r="F129" s="425" t="s">
        <v>468</v>
      </c>
      <c r="G129" s="544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4"/>
      <c r="D130" s="313"/>
      <c r="E130" s="333"/>
      <c r="F130" s="425" t="s">
        <v>469</v>
      </c>
      <c r="G130" s="544"/>
      <c r="H130" s="317"/>
      <c r="I130" s="336"/>
    </row>
    <row r="131" spans="1:9" ht="15">
      <c r="A131" s="417" t="s">
        <v>109</v>
      </c>
      <c r="B131" s="324">
        <f>PGL_Supplies!Z7/1000</f>
        <v>41.16</v>
      </c>
      <c r="C131" s="313"/>
      <c r="D131" s="313"/>
      <c r="E131" s="333"/>
      <c r="F131" s="370" t="s">
        <v>470</v>
      </c>
      <c r="G131" s="544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4"/>
      <c r="F132" s="425" t="s">
        <v>471</v>
      </c>
      <c r="G132" s="544"/>
      <c r="H132" s="317"/>
      <c r="I132" s="336"/>
    </row>
    <row r="133" spans="1:9" ht="16.2" thickBot="1">
      <c r="A133" s="559" t="s">
        <v>448</v>
      </c>
      <c r="B133" s="566">
        <f>B126+B127+B130+B131+B132-B125-B128-B129</f>
        <v>56.057999999999993</v>
      </c>
      <c r="C133" s="531"/>
      <c r="D133" s="531"/>
      <c r="E133" s="521"/>
      <c r="F133" s="425" t="s">
        <v>472</v>
      </c>
      <c r="G133" s="544"/>
      <c r="H133" s="317"/>
      <c r="I133" s="336"/>
    </row>
    <row r="134" spans="1:9" ht="16.2" thickBot="1">
      <c r="A134" s="555" t="s">
        <v>11</v>
      </c>
      <c r="B134" s="556" t="s">
        <v>11</v>
      </c>
      <c r="C134" s="557" t="s">
        <v>69</v>
      </c>
      <c r="D134" s="558"/>
      <c r="E134" s="558" t="s">
        <v>11</v>
      </c>
      <c r="F134" s="546" t="s">
        <v>473</v>
      </c>
      <c r="G134" s="545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7" t="s">
        <v>474</v>
      </c>
      <c r="G135" s="545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4"/>
      <c r="H136" s="352"/>
      <c r="I136" s="336"/>
    </row>
    <row r="137" spans="1:9" ht="15">
      <c r="A137" s="425" t="s">
        <v>450</v>
      </c>
      <c r="B137" s="324">
        <f>PGL_Supplies!AA7/1000</f>
        <v>0</v>
      </c>
      <c r="C137" s="594"/>
      <c r="D137" s="313"/>
      <c r="E137" s="313"/>
      <c r="F137" s="425" t="s">
        <v>476</v>
      </c>
      <c r="G137" s="544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4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8"/>
      <c r="H139" s="539"/>
      <c r="I139" s="336"/>
    </row>
    <row r="140" spans="1:9" ht="15.6" thickBot="1">
      <c r="A140" s="425" t="s">
        <v>394</v>
      </c>
      <c r="B140" s="324">
        <f>PGL_Supplies!V7/1000</f>
        <v>225.76</v>
      </c>
      <c r="C140" s="349"/>
      <c r="D140" s="349"/>
      <c r="E140" s="349"/>
      <c r="F140" s="370" t="s">
        <v>478</v>
      </c>
      <c r="G140" s="548"/>
      <c r="H140" s="550"/>
      <c r="I140" s="336"/>
    </row>
    <row r="141" spans="1:9" ht="16.2" thickBot="1">
      <c r="A141" s="559" t="s">
        <v>448</v>
      </c>
      <c r="B141" s="561">
        <f>-B135+B136+B137-B138+B139+B140</f>
        <v>225.76</v>
      </c>
      <c r="C141" s="562"/>
      <c r="D141" s="531"/>
      <c r="E141" s="532"/>
      <c r="F141" s="551" t="s">
        <v>224</v>
      </c>
      <c r="G141" s="552"/>
      <c r="H141" s="553"/>
      <c r="I141" s="336"/>
    </row>
    <row r="142" spans="1:9" ht="16.2" thickBot="1">
      <c r="A142" s="555" t="s">
        <v>11</v>
      </c>
      <c r="B142" s="560" t="s">
        <v>11</v>
      </c>
      <c r="C142" s="557" t="s">
        <v>60</v>
      </c>
      <c r="D142" s="558"/>
      <c r="E142" s="558"/>
      <c r="F142" s="528" t="s">
        <v>11</v>
      </c>
      <c r="G142" s="529" t="s">
        <v>479</v>
      </c>
      <c r="H142" s="529" t="s">
        <v>11</v>
      </c>
      <c r="I142" s="360"/>
    </row>
    <row r="143" spans="1:9" ht="15">
      <c r="A143" s="425" t="s">
        <v>72</v>
      </c>
      <c r="B143" s="324">
        <f>PGL_Requirements!P7/1000</f>
        <v>169.68</v>
      </c>
      <c r="C143" s="313"/>
      <c r="D143" s="313"/>
      <c r="E143" s="313"/>
      <c r="F143" s="568" t="s">
        <v>431</v>
      </c>
      <c r="G143" s="541"/>
      <c r="H143" s="563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7" t="s">
        <v>481</v>
      </c>
      <c r="G145" s="355"/>
      <c r="H145" s="526" t="s">
        <v>11</v>
      </c>
      <c r="I145" s="407"/>
    </row>
    <row r="146" spans="1:9" ht="15.6" thickBot="1">
      <c r="A146" s="425" t="s">
        <v>455</v>
      </c>
      <c r="B146" s="324">
        <f>PGL_Supplies!H7/1000</f>
        <v>1.254</v>
      </c>
      <c r="C146" s="313"/>
      <c r="D146" s="313"/>
      <c r="E146" s="313"/>
      <c r="F146" s="565" t="s">
        <v>457</v>
      </c>
      <c r="G146" s="531"/>
      <c r="H146" s="566" t="s">
        <v>11</v>
      </c>
      <c r="I146" s="567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2.5451999999999999</v>
      </c>
      <c r="C148" s="349"/>
      <c r="D148" s="349"/>
      <c r="E148" s="349"/>
      <c r="F148" s="542" t="s">
        <v>483</v>
      </c>
      <c r="G148" s="543"/>
      <c r="H148" s="569" t="s">
        <v>11</v>
      </c>
      <c r="I148" s="570">
        <f>+NSG_Supplies!Z7/1000</f>
        <v>0</v>
      </c>
    </row>
    <row r="149" spans="1:9" ht="16.2" thickBot="1">
      <c r="A149" s="518" t="s">
        <v>457</v>
      </c>
      <c r="B149" s="519">
        <f>B144+B146</f>
        <v>1.254</v>
      </c>
      <c r="C149" s="520"/>
      <c r="D149" s="520"/>
      <c r="E149" s="521"/>
      <c r="F149" s="425" t="s">
        <v>11</v>
      </c>
      <c r="G149" s="544"/>
      <c r="H149" s="571" t="s">
        <v>11</v>
      </c>
      <c r="I149" s="572">
        <f>NSG_Supplies!AA7/1000</f>
        <v>0</v>
      </c>
    </row>
    <row r="150" spans="1:9" ht="15.6" thickBot="1">
      <c r="A150" s="425" t="s">
        <v>218</v>
      </c>
      <c r="B150" s="522">
        <f>PGL_Deliveries!AE5</f>
        <v>0</v>
      </c>
      <c r="C150" s="523"/>
      <c r="D150" s="523"/>
      <c r="E150" s="524"/>
      <c r="F150" s="565" t="s">
        <v>457</v>
      </c>
      <c r="G150" s="531"/>
      <c r="H150" s="566" t="s">
        <v>11</v>
      </c>
      <c r="I150" s="567" t="e">
        <f>PGL_Requirements!#REF!/1000</f>
        <v>#REF!</v>
      </c>
    </row>
    <row r="151" spans="1:9" ht="16.2" thickBot="1">
      <c r="A151" s="425" t="s">
        <v>216</v>
      </c>
      <c r="B151" s="522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7" t="s">
        <v>37</v>
      </c>
      <c r="D152" s="347"/>
      <c r="E152" s="483" t="s">
        <v>11</v>
      </c>
      <c r="F152" s="542" t="s">
        <v>484</v>
      </c>
      <c r="G152" s="543"/>
      <c r="H152" s="574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8" t="s">
        <v>485</v>
      </c>
      <c r="G153" s="545"/>
      <c r="H153" s="540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7" t="s">
        <v>486</v>
      </c>
      <c r="G154" s="544"/>
      <c r="H154" s="540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3"/>
      <c r="H155" s="540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3"/>
      <c r="H156" s="550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5" t="s">
        <v>487</v>
      </c>
      <c r="G157" s="576"/>
      <c r="H157" s="574"/>
      <c r="I157" s="577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1"/>
      <c r="F158" s="578" t="s">
        <v>488</v>
      </c>
      <c r="G158" s="392"/>
      <c r="H158" s="579"/>
      <c r="I158" s="580">
        <v>0</v>
      </c>
    </row>
    <row r="159" spans="1:9" ht="16.2" thickBot="1">
      <c r="A159" s="425" t="s">
        <v>109</v>
      </c>
      <c r="B159" s="324">
        <f>PGL_Supplies!AD7/1000</f>
        <v>0</v>
      </c>
      <c r="C159" s="389" t="s">
        <v>11</v>
      </c>
      <c r="D159" s="313"/>
      <c r="E159" s="382"/>
      <c r="F159" s="528" t="s">
        <v>251</v>
      </c>
      <c r="G159" s="529"/>
      <c r="H159" s="530"/>
      <c r="I159" s="360"/>
    </row>
    <row r="160" spans="1:9" ht="15.6" thickBot="1">
      <c r="A160" s="425" t="s">
        <v>394</v>
      </c>
      <c r="B160" s="611">
        <f>PGL_Supplies!Y7/1000</f>
        <v>137.405</v>
      </c>
      <c r="C160" s="527" t="s">
        <v>11</v>
      </c>
      <c r="D160" s="349"/>
      <c r="E160" s="525"/>
      <c r="F160" s="581" t="s">
        <v>489</v>
      </c>
      <c r="G160" s="541" t="s">
        <v>11</v>
      </c>
      <c r="H160" s="523"/>
      <c r="I160" s="586"/>
    </row>
    <row r="161" spans="1:9" ht="16.2" thickBot="1">
      <c r="A161" s="595" t="s">
        <v>464</v>
      </c>
      <c r="B161" s="613"/>
      <c r="C161" s="533" t="s">
        <v>11</v>
      </c>
      <c r="D161" s="534"/>
      <c r="E161" s="535"/>
      <c r="F161" s="564" t="s">
        <v>490</v>
      </c>
      <c r="G161" s="349"/>
      <c r="H161" s="584"/>
      <c r="I161" s="585" t="s">
        <v>11</v>
      </c>
    </row>
    <row r="162" spans="1:9" ht="16.2" thickBot="1">
      <c r="A162" s="399" t="s">
        <v>457</v>
      </c>
      <c r="B162" s="612">
        <f>B154+B156+B158+B159+B160-B153-B155-B157-B161</f>
        <v>137.405</v>
      </c>
      <c r="C162" s="400"/>
      <c r="D162" s="401"/>
      <c r="E162" s="536"/>
      <c r="F162" s="582" t="s">
        <v>255</v>
      </c>
      <c r="G162" s="531"/>
      <c r="H162" s="520"/>
      <c r="I162" s="583"/>
    </row>
    <row r="163" spans="1:9" ht="12" thickBot="1">
      <c r="A163" s="596"/>
      <c r="B163" s="597" t="s">
        <v>491</v>
      </c>
      <c r="C163" s="597"/>
      <c r="D163" s="597" t="s">
        <v>492</v>
      </c>
      <c r="E163" s="597"/>
      <c r="F163" s="597"/>
      <c r="G163" s="597"/>
      <c r="H163" s="598" t="s">
        <v>258</v>
      </c>
      <c r="I163" s="599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37008.470119907404</v>
      </c>
      <c r="F22" s="164" t="s">
        <v>272</v>
      </c>
      <c r="G22" s="191">
        <f ca="1">NOW()</f>
        <v>37008.470119907404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37008.470119907404</v>
      </c>
      <c r="F22" s="164" t="s">
        <v>272</v>
      </c>
      <c r="G22" s="191">
        <f ca="1">NOW()</f>
        <v>37008.470119907404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37007</v>
      </c>
      <c r="C5" s="15"/>
      <c r="D5" s="22" t="s">
        <v>290</v>
      </c>
      <c r="E5" s="23">
        <f>Weather_Input!B5</f>
        <v>75</v>
      </c>
      <c r="F5" s="24" t="s">
        <v>291</v>
      </c>
      <c r="G5" s="25">
        <f>Weather_Input!H5</f>
        <v>4</v>
      </c>
      <c r="H5" s="26" t="s">
        <v>292</v>
      </c>
      <c r="I5" s="27">
        <f ca="1">G5-(VLOOKUP(B5,DD_Normal_Data,CELL("Col",B6),FALSE))</f>
        <v>-9</v>
      </c>
    </row>
    <row r="6" spans="1:109" ht="15">
      <c r="A6" s="18"/>
      <c r="B6" s="21"/>
      <c r="C6" s="15"/>
      <c r="D6" s="22" t="s">
        <v>176</v>
      </c>
      <c r="E6" s="23">
        <f>Weather_Input!C5</f>
        <v>52</v>
      </c>
      <c r="F6" s="24" t="s">
        <v>293</v>
      </c>
      <c r="G6" s="25">
        <f>Weather_Input!F5</f>
        <v>345</v>
      </c>
      <c r="H6" s="26" t="s">
        <v>294</v>
      </c>
      <c r="I6" s="27">
        <f ca="1">G6-(VLOOKUP(B5,DD_Normal_Data,CELL("Col",C7),FALSE))</f>
        <v>-110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64.900000000000006</v>
      </c>
      <c r="F7" s="24" t="s">
        <v>296</v>
      </c>
      <c r="G7" s="25">
        <f>Weather_Input!G5</f>
        <v>6378</v>
      </c>
      <c r="H7" s="26" t="s">
        <v>296</v>
      </c>
      <c r="I7" s="123">
        <f ca="1">G7-(VLOOKUP(B5,DD_Normal_Data,CELL("Col",D4),FALSE))</f>
        <v>275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PARTLY CLOUDY.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37008</v>
      </c>
      <c r="C10" s="15"/>
      <c r="D10" s="153" t="s">
        <v>290</v>
      </c>
      <c r="E10" s="23">
        <f>Weather_Input!B6</f>
        <v>64</v>
      </c>
      <c r="F10" s="24" t="s">
        <v>291</v>
      </c>
      <c r="G10" s="25">
        <f>IF(E12&lt;65,65-(Weather_Input!B6+Weather_Input!C6)/2,0)</f>
        <v>12</v>
      </c>
      <c r="H10" s="26" t="s">
        <v>292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176</v>
      </c>
      <c r="E11" s="23">
        <f>Weather_Input!C6</f>
        <v>42</v>
      </c>
      <c r="F11" s="24" t="s">
        <v>293</v>
      </c>
      <c r="G11" s="25">
        <f>IF(DAY(B10)=1,G10,G6+G10)</f>
        <v>357</v>
      </c>
      <c r="H11" s="30" t="s">
        <v>294</v>
      </c>
      <c r="I11" s="27">
        <f ca="1">G11-(VLOOKUP(B10,DD_Normal_Data,CELL("Col",C12),FALSE))</f>
        <v>-110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53</v>
      </c>
      <c r="F12" s="24" t="s">
        <v>296</v>
      </c>
      <c r="G12" s="25">
        <f>IF(AND(DAY(B10)=1,MONTH(B10)=8),G10,G7+G10)</f>
        <v>6390</v>
      </c>
      <c r="H12" s="26" t="s">
        <v>296</v>
      </c>
      <c r="I12" s="27">
        <f ca="1">G12-(VLOOKUP(B10,DD_Normal_Data,CELL("Col",D9),FALSE))</f>
        <v>275</v>
      </c>
    </row>
    <row r="13" spans="1:109" ht="15">
      <c r="A13" s="18"/>
      <c r="B13" s="21"/>
      <c r="C13" s="15"/>
      <c r="D13" s="32" t="str">
        <f>IF(Weather_Input!I6=""," ",Weather_Input!I6)</f>
        <v xml:space="preserve">  TODAY - MOSTLY SUNNY WITH A WARM BREEZE.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MAINLY CLEAR AND COOL.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37009</v>
      </c>
      <c r="C15" s="15"/>
      <c r="D15" s="22" t="s">
        <v>290</v>
      </c>
      <c r="E15" s="23">
        <f>Weather_Input!B7</f>
        <v>67</v>
      </c>
      <c r="F15" s="24" t="s">
        <v>291</v>
      </c>
      <c r="G15" s="25">
        <f>IF(E17&lt;65,65-(Weather_Input!B7+Weather_Input!C7)/2,0)</f>
        <v>8</v>
      </c>
      <c r="H15" s="26" t="s">
        <v>292</v>
      </c>
      <c r="I15" s="27">
        <f ca="1">G15-(VLOOKUP(B15,DD_Normal_Data,CELL("Col",B16),FALSE))</f>
        <v>-4</v>
      </c>
    </row>
    <row r="16" spans="1:109" ht="15">
      <c r="A16" s="18"/>
      <c r="B16" s="20"/>
      <c r="C16" s="15"/>
      <c r="D16" s="22" t="s">
        <v>176</v>
      </c>
      <c r="E16" s="23">
        <f>Weather_Input!C7</f>
        <v>47</v>
      </c>
      <c r="F16" s="24" t="s">
        <v>293</v>
      </c>
      <c r="G16" s="25">
        <f>IF(DAY(B15)=1,G15,G11+G15)</f>
        <v>365</v>
      </c>
      <c r="H16" s="30" t="s">
        <v>294</v>
      </c>
      <c r="I16" s="27">
        <f ca="1">G16-(VLOOKUP(B15,DD_Normal_Data,CELL("Col",C17),FALSE))</f>
        <v>-114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57</v>
      </c>
      <c r="F17" s="24" t="s">
        <v>296</v>
      </c>
      <c r="G17" s="25">
        <f>IF(AND(DAY(B15)=1,MONTH(B15)=8),G15,G12+G15)</f>
        <v>6398</v>
      </c>
      <c r="H17" s="26" t="s">
        <v>296</v>
      </c>
      <c r="I17" s="27">
        <f ca="1">G17-(VLOOKUP(B15,DD_Normal_Data,CELL("Col",D14),FALSE))</f>
        <v>271</v>
      </c>
    </row>
    <row r="18" spans="1:109" ht="15">
      <c r="A18" s="18"/>
      <c r="B18" s="20"/>
      <c r="C18" s="15"/>
      <c r="D18" s="32" t="str">
        <f>IF(Weather_Input!I7=""," ",Weather_Input!I7)</f>
        <v xml:space="preserve">  INTERVALS OF CLOUDS AND SUN.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37010</v>
      </c>
      <c r="C20" s="15"/>
      <c r="D20" s="22" t="s">
        <v>290</v>
      </c>
      <c r="E20" s="23">
        <f>Weather_Input!B8</f>
        <v>78</v>
      </c>
      <c r="F20" s="24" t="s">
        <v>291</v>
      </c>
      <c r="G20" s="25">
        <f>IF(E22&lt;65,65-(Weather_Input!B8+Weather_Input!C8)/2,0)</f>
        <v>0</v>
      </c>
      <c r="H20" s="26" t="s">
        <v>292</v>
      </c>
      <c r="I20" s="27">
        <f ca="1">G20-(VLOOKUP(B20,DD_Normal_Data,CELL("Col",B21),FALSE))</f>
        <v>-12</v>
      </c>
    </row>
    <row r="21" spans="1:109" ht="15">
      <c r="A21" s="18"/>
      <c r="B21" s="21"/>
      <c r="C21" s="15"/>
      <c r="D21" s="22" t="s">
        <v>176</v>
      </c>
      <c r="E21" s="23">
        <f>Weather_Input!C8</f>
        <v>56</v>
      </c>
      <c r="F21" s="24" t="s">
        <v>293</v>
      </c>
      <c r="G21" s="25">
        <f>IF(DAY(B20)=1,G20,G16+G20)</f>
        <v>365</v>
      </c>
      <c r="H21" s="30" t="s">
        <v>294</v>
      </c>
      <c r="I21" s="27">
        <f ca="1">G21-(VLOOKUP(B20,DD_Normal_Data,CELL("Col",C22),FALSE))</f>
        <v>-126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67</v>
      </c>
      <c r="F22" s="24" t="s">
        <v>296</v>
      </c>
      <c r="G22" s="25">
        <f>IF(AND(DAY(B20)=1,MONTH(B20)=8),G20,G17+G20)</f>
        <v>6398</v>
      </c>
      <c r="H22" s="26" t="s">
        <v>296</v>
      </c>
      <c r="I22" s="27">
        <f ca="1">G22-(VLOOKUP(B20,DD_Normal_Data,CELL("Col",D19),FALSE))</f>
        <v>259</v>
      </c>
    </row>
    <row r="23" spans="1:109" ht="15">
      <c r="A23" s="18"/>
      <c r="B23" s="21"/>
      <c r="C23" s="15"/>
      <c r="D23" s="32" t="str">
        <f>IF(Weather_Input!I8=""," ",Weather_Input!I8)</f>
        <v xml:space="preserve">  SEVERAL HOURS OF SUNSHINE.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37011</v>
      </c>
      <c r="C25" s="15"/>
      <c r="D25" s="22" t="s">
        <v>290</v>
      </c>
      <c r="E25" s="23">
        <f>Weather_Input!B9</f>
        <v>80</v>
      </c>
      <c r="F25" s="24" t="s">
        <v>291</v>
      </c>
      <c r="G25" s="25">
        <f>IF(E27&lt;65,65-(Weather_Input!B9+Weather_Input!C9)/2,0)</f>
        <v>0</v>
      </c>
      <c r="H25" s="26" t="s">
        <v>292</v>
      </c>
      <c r="I25" s="27">
        <f ca="1">G25-(VLOOKUP(B25,DD_Normal_Data,CELL("Col",B26),FALSE))</f>
        <v>-12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293</v>
      </c>
      <c r="G26" s="25">
        <f>IF(DAY(B25)=1,G25,G21+G25)</f>
        <v>365</v>
      </c>
      <c r="H26" s="30" t="s">
        <v>294</v>
      </c>
      <c r="I26" s="27">
        <f ca="1">G26-(VLOOKUP(B25,DD_Normal_Data,CELL("Col",C27),FALSE))</f>
        <v>-138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69</v>
      </c>
      <c r="F27" s="24" t="s">
        <v>296</v>
      </c>
      <c r="G27" s="25">
        <f>IF(AND(DAY(B25)=1,MONTH(B25)=8),G25,G22+G25)</f>
        <v>6398</v>
      </c>
      <c r="H27" s="26" t="s">
        <v>296</v>
      </c>
      <c r="I27" s="27">
        <f ca="1">G27-(VLOOKUP(B25,DD_Normal_Data,CELL("Col",D24),FALSE))</f>
        <v>247</v>
      </c>
    </row>
    <row r="28" spans="1:109" ht="15">
      <c r="A28" s="18"/>
      <c r="B28" s="20"/>
      <c r="C28" s="15"/>
      <c r="D28" s="32" t="str">
        <f>IF(Weather_Input!I9=""," ",Weather_Input!I9)</f>
        <v xml:space="preserve">  SOME SUNSHINE WITH A CHANCE OF A THUNDERSTORM IN THE AFTERNOON.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37012</v>
      </c>
      <c r="C30" s="15"/>
      <c r="D30" s="22" t="s">
        <v>290</v>
      </c>
      <c r="E30" s="23">
        <f>Weather_Input!B10</f>
        <v>80</v>
      </c>
      <c r="F30" s="24" t="s">
        <v>291</v>
      </c>
      <c r="G30" s="25">
        <f>IF(E32&lt;65,65-(Weather_Input!B10+Weather_Input!C10)/2,0)</f>
        <v>0</v>
      </c>
      <c r="H30" s="26" t="s">
        <v>292</v>
      </c>
      <c r="I30" s="27">
        <f ca="1">G30-(VLOOKUP(B30,DD_Normal_Data,CELL("Col",B31),FALSE))</f>
        <v>-11</v>
      </c>
    </row>
    <row r="31" spans="1:109" ht="15">
      <c r="A31" s="15"/>
      <c r="B31" s="15"/>
      <c r="C31" s="15"/>
      <c r="D31" s="22" t="s">
        <v>176</v>
      </c>
      <c r="E31" s="23">
        <f>Weather_Input!C10</f>
        <v>58</v>
      </c>
      <c r="F31" s="24" t="s">
        <v>293</v>
      </c>
      <c r="G31" s="25">
        <f>IF(DAY(B30)=1,G30,G26+G30)</f>
        <v>0</v>
      </c>
      <c r="H31" s="30" t="s">
        <v>294</v>
      </c>
      <c r="I31" s="27">
        <f ca="1">G31-(VLOOKUP(B30,DD_Normal_Data,CELL("Col",C32),FALSE))</f>
        <v>-11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69</v>
      </c>
      <c r="F32" s="24" t="s">
        <v>296</v>
      </c>
      <c r="G32" s="25">
        <f>IF(AND(DAY(B30)=1,MONTH(B30)=8),G30,G27+G30)</f>
        <v>6398</v>
      </c>
      <c r="H32" s="26" t="s">
        <v>296</v>
      </c>
      <c r="I32" s="27">
        <f ca="1">G32-(VLOOKUP(B30,DD_Normal_Data,CELL("Col",D29),FALSE))</f>
        <v>236</v>
      </c>
    </row>
    <row r="33" spans="1:9" ht="15">
      <c r="A33" s="15"/>
      <c r="B33" s="34"/>
      <c r="C33" s="15"/>
      <c r="D33" s="32" t="str">
        <f>IF(Weather_Input!I10=""," ",Weather_Input!I10)</f>
        <v xml:space="preserve">  PARTLY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37007</v>
      </c>
      <c r="C36" s="91">
        <f>B10</f>
        <v>37008</v>
      </c>
      <c r="D36" s="91">
        <f>B15</f>
        <v>37009</v>
      </c>
      <c r="E36" s="91">
        <f xml:space="preserve">       B20</f>
        <v>37010</v>
      </c>
      <c r="F36" s="91">
        <f>B25</f>
        <v>37011</v>
      </c>
      <c r="G36" s="91">
        <f>B30</f>
        <v>37012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268</v>
      </c>
      <c r="C37" s="41">
        <f ca="1">(VLOOKUP(C36,PGL_Sendouts,(CELL("COL",PGL_Deliveries!C7))))/1000</f>
        <v>330</v>
      </c>
      <c r="D37" s="41">
        <f ca="1">(VLOOKUP(D36,PGL_Sendouts,(CELL("COL",PGL_Deliveries!C8))))/1000</f>
        <v>280</v>
      </c>
      <c r="E37" s="41">
        <f ca="1">(VLOOKUP(E36,PGL_Sendouts,(CELL("COL",PGL_Deliveries!C9))))/1000</f>
        <v>235</v>
      </c>
      <c r="F37" s="41">
        <f ca="1">(VLOOKUP(F36,PGL_Sendouts,(CELL("COL",PGL_Deliveries!C10))))/1000</f>
        <v>250</v>
      </c>
      <c r="G37" s="41">
        <f ca="1">(VLOOKUP(G36,PGL_Sendouts,(CELL("COL",PGL_Deliveries!C10))))/1000</f>
        <v>250</v>
      </c>
      <c r="H37" s="14"/>
      <c r="I37" s="15"/>
    </row>
    <row r="38" spans="1:9" ht="15">
      <c r="A38" s="15" t="s">
        <v>301</v>
      </c>
      <c r="B38" s="41">
        <f>PGL_6_Day_Report!D30</f>
        <v>572.45720000000006</v>
      </c>
      <c r="C38" s="41">
        <f>PGL_6_Day_Report!E30</f>
        <v>585.44449999999995</v>
      </c>
      <c r="D38" s="41">
        <f>PGL_6_Day_Report!F30</f>
        <v>559.22749999999996</v>
      </c>
      <c r="E38" s="41">
        <f>PGL_6_Day_Report!G30</f>
        <v>525.03</v>
      </c>
      <c r="F38" s="41">
        <f>PGL_6_Day_Report!H30</f>
        <v>540.03</v>
      </c>
      <c r="G38" s="41">
        <f>PGL_6_Day_Report!I30</f>
        <v>454.21</v>
      </c>
      <c r="H38" s="14"/>
      <c r="I38" s="15"/>
    </row>
    <row r="39" spans="1:9" ht="15">
      <c r="A39" s="42" t="s">
        <v>109</v>
      </c>
      <c r="B39" s="41">
        <f>SUM(PGL_Supplies!Z7:AE7)/1000</f>
        <v>424.71800000000002</v>
      </c>
      <c r="C39" s="41">
        <f>SUM(PGL_Supplies!Z8:AE8)/1000</f>
        <v>415.71899999999999</v>
      </c>
      <c r="D39" s="41">
        <f>SUM(PGL_Supplies!Z9:AE9)/1000</f>
        <v>420.339</v>
      </c>
      <c r="E39" s="41">
        <f>SUM(PGL_Supplies!Z10:AE10)/1000</f>
        <v>420.339</v>
      </c>
      <c r="F39" s="41">
        <f>SUM(PGL_Supplies!Z11:AE11)/1000</f>
        <v>420.339</v>
      </c>
      <c r="G39" s="41">
        <f>SUM(PGL_Supplies!Z12:AE12)/1000</f>
        <v>415.71899999999999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40.61</v>
      </c>
      <c r="C41" s="41">
        <f>SUM(PGL_Requirements!R7:U7)/1000</f>
        <v>40.61</v>
      </c>
      <c r="D41" s="41">
        <f>SUM(PGL_Requirements!R7:U7)/1000</f>
        <v>40.61</v>
      </c>
      <c r="E41" s="41">
        <f>SUM(PGL_Requirements!R7:U7)/1000</f>
        <v>40.61</v>
      </c>
      <c r="F41" s="41">
        <f>SUM(PGL_Requirements!R7:U7)/1000</f>
        <v>40.61</v>
      </c>
      <c r="G41" s="41">
        <f>SUM(PGL_Requirements!R7:U7)/1000</f>
        <v>40.61</v>
      </c>
      <c r="H41" s="14"/>
      <c r="I41" s="15"/>
    </row>
    <row r="42" spans="1:9" ht="15">
      <c r="A42" s="15" t="s">
        <v>132</v>
      </c>
      <c r="B42" s="41">
        <f>PGL_Supplies!V7/1000</f>
        <v>225.76</v>
      </c>
      <c r="C42" s="41">
        <f>PGL_Supplies!V8/1000</f>
        <v>225.76</v>
      </c>
      <c r="D42" s="41">
        <f>PGL_Supplies!V9/1000</f>
        <v>225.76</v>
      </c>
      <c r="E42" s="41">
        <f>PGL_Supplies!V10/1000</f>
        <v>225.76</v>
      </c>
      <c r="F42" s="41">
        <f>PGL_Supplies!V11/1000</f>
        <v>225.76</v>
      </c>
      <c r="G42" s="41">
        <f>PGL_Supplies!V12/1000</f>
        <v>225.76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37007</v>
      </c>
      <c r="C44" s="91">
        <f t="shared" si="0"/>
        <v>37008</v>
      </c>
      <c r="D44" s="91">
        <f t="shared" si="0"/>
        <v>37009</v>
      </c>
      <c r="E44" s="91">
        <f t="shared" si="0"/>
        <v>37010</v>
      </c>
      <c r="F44" s="91">
        <f t="shared" si="0"/>
        <v>37011</v>
      </c>
      <c r="G44" s="91">
        <f t="shared" si="0"/>
        <v>37012</v>
      </c>
      <c r="H44" s="14"/>
      <c r="I44" s="15"/>
    </row>
    <row r="45" spans="1:9" ht="15">
      <c r="A45" s="15" t="s">
        <v>56</v>
      </c>
      <c r="B45" s="41">
        <f ca="1">NSG_6_Day_Report!D6</f>
        <v>43</v>
      </c>
      <c r="C45" s="41">
        <f ca="1">NSG_6_Day_Report!E6</f>
        <v>56</v>
      </c>
      <c r="D45" s="41">
        <f ca="1">NSG_6_Day_Report!F6</f>
        <v>53</v>
      </c>
      <c r="E45" s="41">
        <f ca="1">NSG_6_Day_Report!G6</f>
        <v>44</v>
      </c>
      <c r="F45" s="41">
        <f ca="1">NSG_6_Day_Report!H6</f>
        <v>46</v>
      </c>
      <c r="G45" s="41">
        <f ca="1">NSG_6_Day_Report!I6</f>
        <v>46</v>
      </c>
      <c r="H45" s="14"/>
      <c r="I45" s="15"/>
    </row>
    <row r="46" spans="1:9" ht="15">
      <c r="A46" s="42" t="s">
        <v>301</v>
      </c>
      <c r="B46" s="41">
        <f ca="1">NSG_6_Day_Report!D19</f>
        <v>72.91</v>
      </c>
      <c r="C46" s="41">
        <f ca="1">NSG_6_Day_Report!E19</f>
        <v>76</v>
      </c>
      <c r="D46" s="41">
        <f ca="1">NSG_6_Day_Report!F19</f>
        <v>73</v>
      </c>
      <c r="E46" s="41">
        <f ca="1">NSG_6_Day_Report!G19</f>
        <v>64</v>
      </c>
      <c r="F46" s="41">
        <f ca="1">NSG_6_Day_Report!H19</f>
        <v>66</v>
      </c>
      <c r="G46" s="41">
        <f ca="1">NSG_6_Day_Report!I19</f>
        <v>66</v>
      </c>
      <c r="H46" s="14"/>
      <c r="I46" s="15"/>
    </row>
    <row r="47" spans="1:9" ht="15">
      <c r="A47" s="42" t="s">
        <v>109</v>
      </c>
      <c r="B47" s="41">
        <f>SUM(NSG_Supplies!P7:R7)/1000</f>
        <v>72.905000000000001</v>
      </c>
      <c r="C47" s="41">
        <f>SUM(NSG_Supplies!P8:R8)/1000</f>
        <v>72.905000000000001</v>
      </c>
      <c r="D47" s="41">
        <f>SUM(NSG_Supplies!P9:R9)/1000</f>
        <v>72.905000000000001</v>
      </c>
      <c r="E47" s="41">
        <f>SUM(NSG_Supplies!P10:R10)/1000</f>
        <v>72.905000000000001</v>
      </c>
      <c r="F47" s="41">
        <f>SUM(NSG_Supplies!P11:R11)/1000</f>
        <v>72.905000000000001</v>
      </c>
      <c r="G47" s="41">
        <f>SUM(NSG_Supplies!P12:R12)/1000</f>
        <v>72.905000000000001</v>
      </c>
      <c r="H47" s="14"/>
      <c r="I47" s="15"/>
    </row>
    <row r="48" spans="1:9" ht="15">
      <c r="A48" s="42" t="s">
        <v>302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27.905000000000001</v>
      </c>
      <c r="C50" s="41">
        <f>NSG_Supplies!S8/1000</f>
        <v>27.905000000000001</v>
      </c>
      <c r="D50" s="41">
        <f>NSG_Supplies!S9/1000</f>
        <v>27.905000000000001</v>
      </c>
      <c r="E50" s="41">
        <f>NSG_Supplies!S10/1000</f>
        <v>27.905000000000001</v>
      </c>
      <c r="F50" s="41">
        <f>NSG_Supplies!S11/1000</f>
        <v>27.905000000000001</v>
      </c>
      <c r="G50" s="41">
        <f>NSG_Supplies!S12/1000</f>
        <v>27.905000000000001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37007</v>
      </c>
      <c r="C52" s="91">
        <f t="shared" si="1"/>
        <v>37008</v>
      </c>
      <c r="D52" s="91">
        <f t="shared" si="1"/>
        <v>37009</v>
      </c>
      <c r="E52" s="91">
        <f t="shared" si="1"/>
        <v>37010</v>
      </c>
      <c r="F52" s="91">
        <f t="shared" si="1"/>
        <v>37011</v>
      </c>
      <c r="G52" s="91">
        <f t="shared" si="1"/>
        <v>37012</v>
      </c>
      <c r="H52" s="14"/>
      <c r="I52" s="15"/>
    </row>
    <row r="53" spans="1:9" ht="15">
      <c r="A53" s="94" t="s">
        <v>305</v>
      </c>
      <c r="B53" s="41">
        <f>PGL_Requirements!P7/1000</f>
        <v>169.68</v>
      </c>
      <c r="C53" s="41">
        <f>PGL_Requirements!P8/1000</f>
        <v>160</v>
      </c>
      <c r="D53" s="41">
        <f>PGL_Requirements!P9/1000</f>
        <v>220</v>
      </c>
      <c r="E53" s="41">
        <f>PGL_Requirements!P10/1000</f>
        <v>240</v>
      </c>
      <c r="F53" s="41">
        <f>PGL_Requirements!P11/1000</f>
        <v>240</v>
      </c>
      <c r="G53" s="41">
        <f>PGL_Requirements!P12/1000</f>
        <v>160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8" t="s">
        <v>743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0"/>
    </row>
    <row r="3" spans="1:8" ht="16.2" thickBot="1">
      <c r="A3" s="98" t="s">
        <v>311</v>
      </c>
    </row>
    <row r="4" spans="1:8">
      <c r="A4" s="99"/>
      <c r="B4" s="1141" t="str">
        <f>Six_Day_Summary!A10</f>
        <v>Friday</v>
      </c>
      <c r="C4" s="1142" t="str">
        <f>Six_Day_Summary!A15</f>
        <v>Saturday</v>
      </c>
      <c r="D4" s="1142" t="str">
        <f>Six_Day_Summary!A20</f>
        <v>Sunday</v>
      </c>
      <c r="E4" s="1142" t="str">
        <f>Six_Day_Summary!A25</f>
        <v>Monday</v>
      </c>
      <c r="F4" s="1143" t="str">
        <f>Six_Day_Summary!A30</f>
        <v>Tuesday</v>
      </c>
      <c r="G4" s="100"/>
    </row>
    <row r="5" spans="1:8">
      <c r="A5" s="103" t="s">
        <v>312</v>
      </c>
      <c r="B5" s="1144">
        <f>Weather_Input!A6</f>
        <v>37008</v>
      </c>
      <c r="C5" s="1145">
        <f>Weather_Input!A7</f>
        <v>37009</v>
      </c>
      <c r="D5" s="1145">
        <f>Weather_Input!A8</f>
        <v>37010</v>
      </c>
      <c r="E5" s="1145">
        <f>Weather_Input!A9</f>
        <v>37011</v>
      </c>
      <c r="F5" s="1146">
        <f>Weather_Input!A10</f>
        <v>37012</v>
      </c>
      <c r="G5" s="100"/>
    </row>
    <row r="6" spans="1:8">
      <c r="A6" s="100" t="s">
        <v>313</v>
      </c>
      <c r="B6" s="1147">
        <f>PGL_Supplies!AC8/1000+PGL_Supplies!L8/1000-PGL_Requirements!O8/1000-PGL_Requirements!T8/1000+B8</f>
        <v>73.388000000000005</v>
      </c>
      <c r="C6" s="1147">
        <f>PGL_Supplies!AC9/1000+PGL_Supplies!L9/1000-PGL_Requirements!O9/1000+C15-PGL_Requirements!T9/1000</f>
        <v>112.578</v>
      </c>
      <c r="D6" s="1147">
        <f>PGL_Supplies!AC10/1000+PGL_Supplies!L10/1000-PGL_Requirements!O10/1000+D15-PGL_Requirements!T10/1000</f>
        <v>112.578</v>
      </c>
      <c r="E6" s="1147">
        <f>PGL_Supplies!AC11/1000+PGL_Supplies!L11/1000-PGL_Requirements!O11/1000+E15-PGL_Requirements!T11/1000</f>
        <v>112.578</v>
      </c>
      <c r="F6" s="1148">
        <f>PGL_Supplies!AC12/1000+PGL_Supplies!L12/1000-PGL_Requirements!O12/1000+F15-PGL_Requirements!T12/1000</f>
        <v>112.578</v>
      </c>
      <c r="G6" s="100"/>
      <c r="H6" t="s">
        <v>11</v>
      </c>
    </row>
    <row r="7" spans="1:8">
      <c r="A7" s="100" t="s">
        <v>314</v>
      </c>
      <c r="B7" s="1147">
        <f>PGL_Supplies!N8/1000</f>
        <v>0</v>
      </c>
      <c r="C7" s="1147">
        <f>PGL_Supplies!N9/1000</f>
        <v>0</v>
      </c>
      <c r="D7" s="1147">
        <f>PGL_Supplies!N10/1000</f>
        <v>0</v>
      </c>
      <c r="E7" s="1147">
        <f>PGL_Supplies!N11/1000</f>
        <v>0</v>
      </c>
      <c r="F7" s="1149">
        <f>PGL_Supplies!N12/1000</f>
        <v>0</v>
      </c>
      <c r="G7" s="100"/>
    </row>
    <row r="8" spans="1:8">
      <c r="A8" s="100" t="s">
        <v>315</v>
      </c>
      <c r="B8" s="1147">
        <f>PGL_Supplies!O8/1000</f>
        <v>0</v>
      </c>
      <c r="C8" s="1147">
        <f>PGL_Supplies!O9/1000</f>
        <v>0</v>
      </c>
      <c r="D8" s="1147">
        <f>PGL_Supplies!O10/1000</f>
        <v>0</v>
      </c>
      <c r="E8" s="1147">
        <f>PGL_Supplies!O11/1000</f>
        <v>0</v>
      </c>
      <c r="F8" s="1149">
        <f>PGL_Supplies!O12/1000</f>
        <v>0</v>
      </c>
      <c r="G8" s="100"/>
    </row>
    <row r="9" spans="1:8">
      <c r="A9" s="100" t="s">
        <v>316</v>
      </c>
      <c r="B9" s="1147">
        <v>0</v>
      </c>
      <c r="C9" s="1147">
        <v>0</v>
      </c>
      <c r="D9" s="1147">
        <v>0</v>
      </c>
      <c r="E9" s="1147">
        <v>0</v>
      </c>
      <c r="F9" s="1149">
        <v>0</v>
      </c>
      <c r="G9" s="100"/>
    </row>
    <row r="10" spans="1:8">
      <c r="A10" s="101"/>
      <c r="B10" s="1150"/>
      <c r="C10" s="1150"/>
      <c r="D10" s="1150"/>
      <c r="E10" s="1150"/>
      <c r="F10" s="1151"/>
      <c r="G10" s="100"/>
    </row>
    <row r="11" spans="1:8">
      <c r="A11" s="100" t="s">
        <v>317</v>
      </c>
      <c r="B11" s="1147">
        <v>0</v>
      </c>
      <c r="C11" s="1147">
        <v>0</v>
      </c>
      <c r="D11" s="1147">
        <v>0</v>
      </c>
      <c r="E11" s="1147">
        <v>0</v>
      </c>
      <c r="F11" s="1149">
        <v>0</v>
      </c>
      <c r="G11" s="100"/>
      <c r="H11" s="122" t="s">
        <v>11</v>
      </c>
    </row>
    <row r="12" spans="1:8">
      <c r="A12" s="100" t="s">
        <v>318</v>
      </c>
      <c r="B12" s="1147">
        <f>PGL_Requirements!S8/1000</f>
        <v>0</v>
      </c>
      <c r="C12" s="1147">
        <f>PGL_Requirements!S9/1000</f>
        <v>0</v>
      </c>
      <c r="D12" s="1147">
        <f>PGL_Requirements!S10/1000</f>
        <v>0</v>
      </c>
      <c r="E12" s="1147">
        <f>PGL_Requirements!S11/1000</f>
        <v>0</v>
      </c>
      <c r="F12" s="1149">
        <f>PGL_Requirements!S12/1000</f>
        <v>0</v>
      </c>
      <c r="G12" s="100"/>
    </row>
    <row r="13" spans="1:8">
      <c r="A13" s="100" t="s">
        <v>319</v>
      </c>
      <c r="B13" s="1147">
        <v>0</v>
      </c>
      <c r="C13" s="1147">
        <v>0</v>
      </c>
      <c r="D13" s="1147">
        <v>0</v>
      </c>
      <c r="E13" s="1147">
        <v>0</v>
      </c>
      <c r="F13" s="1149">
        <v>0</v>
      </c>
      <c r="G13" s="100"/>
    </row>
    <row r="14" spans="1:8">
      <c r="A14" s="100" t="s">
        <v>189</v>
      </c>
      <c r="B14" s="1147">
        <v>0</v>
      </c>
      <c r="C14" s="1153"/>
      <c r="D14" s="1153"/>
      <c r="E14" s="1153"/>
      <c r="F14" s="1149"/>
      <c r="G14" s="100"/>
    </row>
    <row r="15" spans="1:8">
      <c r="A15" s="100" t="s">
        <v>726</v>
      </c>
      <c r="B15" s="1152">
        <v>0</v>
      </c>
      <c r="C15" s="1152">
        <v>0</v>
      </c>
      <c r="D15" s="1152">
        <v>0</v>
      </c>
      <c r="E15" s="1152">
        <v>0</v>
      </c>
      <c r="F15" s="1189">
        <v>0</v>
      </c>
      <c r="G15" s="122"/>
    </row>
    <row r="16" spans="1:8">
      <c r="A16" s="100" t="s">
        <v>320</v>
      </c>
      <c r="B16" s="1152">
        <v>0</v>
      </c>
      <c r="C16" s="1153"/>
      <c r="D16" s="1153"/>
      <c r="E16" s="1153"/>
      <c r="F16" s="1149"/>
      <c r="G16" s="100"/>
    </row>
    <row r="17" spans="1:7" ht="15.6" thickBot="1">
      <c r="A17" s="102" t="s">
        <v>542</v>
      </c>
      <c r="B17" s="1154">
        <v>0</v>
      </c>
      <c r="C17" s="1155"/>
      <c r="D17" s="1155"/>
      <c r="E17" s="1155"/>
      <c r="F17" s="1156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7" t="str">
        <f t="shared" ref="B21:F22" si="0">B4</f>
        <v>Friday</v>
      </c>
      <c r="C21" s="1157" t="str">
        <f t="shared" si="0"/>
        <v>Saturday</v>
      </c>
      <c r="D21" s="1157" t="str">
        <f t="shared" si="0"/>
        <v>Sunday</v>
      </c>
      <c r="E21" s="1157" t="str">
        <f t="shared" si="0"/>
        <v>Monday</v>
      </c>
      <c r="F21" s="1158" t="str">
        <f t="shared" si="0"/>
        <v>Tuesday</v>
      </c>
      <c r="G21" s="100"/>
    </row>
    <row r="22" spans="1:7">
      <c r="A22" s="107" t="s">
        <v>312</v>
      </c>
      <c r="B22" s="1159">
        <f t="shared" si="0"/>
        <v>37008</v>
      </c>
      <c r="C22" s="1159">
        <f t="shared" si="0"/>
        <v>37009</v>
      </c>
      <c r="D22" s="1159">
        <f t="shared" si="0"/>
        <v>37010</v>
      </c>
      <c r="E22" s="1159">
        <f t="shared" si="0"/>
        <v>37011</v>
      </c>
      <c r="F22" s="1160">
        <f t="shared" si="0"/>
        <v>37012</v>
      </c>
      <c r="G22" s="100"/>
    </row>
    <row r="23" spans="1:7">
      <c r="A23" s="100" t="s">
        <v>313</v>
      </c>
      <c r="B23" s="1153">
        <f>NSG_Supplies!R8/1000+NSG_Supplies!F8/1000-NSG_Requirements!H8/1000</f>
        <v>56.005000000000003</v>
      </c>
      <c r="C23" s="1153">
        <f>NSG_Supplies!R9/1000+NSG_Supplies!F9/1000-NSG_Requirements!H9/1000</f>
        <v>52.905000000000001</v>
      </c>
      <c r="D23" s="1153">
        <f>NSG_Supplies!R10/1000+NSG_Supplies!F10/1000-NSG_Requirements!H10/1000</f>
        <v>52.905000000000001</v>
      </c>
      <c r="E23" s="1153">
        <f>NSG_Supplies!R12/1000+NSG_Supplies!F11/1000-NSG_Requirements!H11/1000</f>
        <v>52.905000000000001</v>
      </c>
      <c r="F23" s="1148">
        <f>NSG_Supplies!R12/1000+NSG_Supplies!F12/1000-NSG_Requirements!H12/1000</f>
        <v>52.905000000000001</v>
      </c>
      <c r="G23" s="100"/>
    </row>
    <row r="24" spans="1:7">
      <c r="A24" s="100" t="s">
        <v>322</v>
      </c>
      <c r="B24" s="1153">
        <f>NSG_Supplies!H8/1000</f>
        <v>0</v>
      </c>
      <c r="C24" s="1153">
        <f>NSG_Supplies!H9/1000</f>
        <v>0</v>
      </c>
      <c r="D24" s="1153">
        <f>NSG_Supplies!H10/1000</f>
        <v>0</v>
      </c>
      <c r="E24" s="1153">
        <f>NSG_Supplies!H11/1000</f>
        <v>0</v>
      </c>
      <c r="F24" s="1149">
        <f>NSG_Supplies!H12/1000</f>
        <v>0</v>
      </c>
      <c r="G24" s="100"/>
    </row>
    <row r="25" spans="1:7">
      <c r="A25" s="100" t="s">
        <v>314</v>
      </c>
      <c r="B25" s="1153">
        <f>NSG_Supplies!I8/1000</f>
        <v>0</v>
      </c>
      <c r="C25" s="1153">
        <f>NSG_Supplies!I9/1000</f>
        <v>0</v>
      </c>
      <c r="D25" s="1153">
        <f>NSG_Supplies!I10/1000</f>
        <v>0</v>
      </c>
      <c r="E25" s="1153">
        <f>NSG_Supplies!I11/1000</f>
        <v>0</v>
      </c>
      <c r="F25" s="1149">
        <f>NSG_Supplies!I12/1000</f>
        <v>0</v>
      </c>
      <c r="G25" s="100"/>
    </row>
    <row r="26" spans="1:7">
      <c r="A26" s="104" t="s">
        <v>315</v>
      </c>
      <c r="B26" s="1153">
        <f>NSG_Supplies!J8/1000</f>
        <v>0</v>
      </c>
      <c r="C26" s="1153">
        <f>NSG_Supplies!J9/1000</f>
        <v>0</v>
      </c>
      <c r="D26" s="1153">
        <f>NSG_Supplies!J10/1000</f>
        <v>0</v>
      </c>
      <c r="E26" s="1153">
        <f>NSG_Supplies!J11/1000</f>
        <v>0</v>
      </c>
      <c r="F26" s="1149">
        <f>NSG_Supplies!J12/1000</f>
        <v>0</v>
      </c>
      <c r="G26" s="100"/>
    </row>
    <row r="27" spans="1:7">
      <c r="A27" s="100" t="s">
        <v>316</v>
      </c>
      <c r="B27" s="1153">
        <f>NSG_Supplies!K8/1000</f>
        <v>0</v>
      </c>
      <c r="C27" s="1153">
        <f>NSG_Supplies!K9/1000</f>
        <v>0</v>
      </c>
      <c r="D27" s="1153">
        <f>NSG_Supplies!K10/1000</f>
        <v>0</v>
      </c>
      <c r="E27" s="1153">
        <f>NSG_Supplies!K11/1000</f>
        <v>0</v>
      </c>
      <c r="F27" s="1149">
        <f>NSG_Supplies!K12/1000</f>
        <v>0</v>
      </c>
      <c r="G27" s="100"/>
    </row>
    <row r="28" spans="1:7">
      <c r="A28" s="100" t="s">
        <v>323</v>
      </c>
      <c r="B28" s="1153" t="s">
        <v>11</v>
      </c>
      <c r="C28" s="1153"/>
      <c r="D28" s="1153"/>
      <c r="E28" s="1153"/>
      <c r="F28" s="1149"/>
      <c r="G28" s="100"/>
    </row>
    <row r="29" spans="1:7">
      <c r="A29" s="101"/>
      <c r="B29" s="1150"/>
      <c r="C29" s="1150"/>
      <c r="D29" s="1150"/>
      <c r="E29" s="1150"/>
      <c r="F29" s="1151"/>
      <c r="G29" s="100"/>
    </row>
    <row r="30" spans="1:7">
      <c r="A30" s="100" t="s">
        <v>317</v>
      </c>
      <c r="B30" s="1153">
        <f>NSG_Requirements!P8/1000</f>
        <v>0</v>
      </c>
      <c r="C30" s="1153">
        <f>NSG_Requirements!P9/1000</f>
        <v>0</v>
      </c>
      <c r="D30" s="1153">
        <f>NSG_Requirements!P10/1000</f>
        <v>0</v>
      </c>
      <c r="E30" s="1153">
        <f>NSG_Requirements!P11/1000</f>
        <v>0</v>
      </c>
      <c r="F30" s="1149">
        <f>NSG_Supplies!K12/1000</f>
        <v>0</v>
      </c>
      <c r="G30" s="100"/>
    </row>
    <row r="31" spans="1:7">
      <c r="A31" s="100" t="s">
        <v>318</v>
      </c>
      <c r="B31" s="1153">
        <f>NSG_Requirements!R8/1000</f>
        <v>0</v>
      </c>
      <c r="C31" s="1153">
        <f>NSG_Requirements!R9/1000</f>
        <v>0</v>
      </c>
      <c r="D31" s="1153">
        <f>NSG_Requirements!R10/1000</f>
        <v>0</v>
      </c>
      <c r="E31" s="1153">
        <f>NSG_Requirements!R11/1000</f>
        <v>0</v>
      </c>
      <c r="F31" s="1149">
        <f>NSG_Supplies!M12/1000</f>
        <v>0</v>
      </c>
      <c r="G31" s="100"/>
    </row>
    <row r="32" spans="1:7">
      <c r="A32" s="100" t="s">
        <v>319</v>
      </c>
      <c r="B32" s="1153">
        <f>NSG_Requirements!Q8/1000</f>
        <v>0</v>
      </c>
      <c r="C32" s="1153">
        <f>NSG_Requirements!Q9/1000</f>
        <v>0</v>
      </c>
      <c r="D32" s="1153">
        <f>NSG_Requirements!Q10/1000</f>
        <v>0</v>
      </c>
      <c r="E32" s="1153">
        <f>NSG_Requirements!Q11/1000</f>
        <v>0</v>
      </c>
      <c r="F32" s="1149">
        <f>NSG_Requirements!Q12/1000</f>
        <v>0</v>
      </c>
      <c r="G32" s="100"/>
    </row>
    <row r="33" spans="1:7" ht="15.6" thickBot="1">
      <c r="A33" s="102" t="s">
        <v>324</v>
      </c>
      <c r="B33" s="1155">
        <f>NSG_Requirements!L8/1000</f>
        <v>0</v>
      </c>
      <c r="C33" s="1155">
        <f>NSG_Requirements!L9/1000</f>
        <v>0</v>
      </c>
      <c r="D33" s="1155">
        <f>NSG_Requirements!L10/1000</f>
        <v>0</v>
      </c>
      <c r="E33" s="1155">
        <f>NSG_Requirements!L11/1000</f>
        <v>0</v>
      </c>
      <c r="F33" s="1156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0" t="s">
        <v>382</v>
      </c>
      <c r="C1" s="909">
        <f>Weather_Input!A6</f>
        <v>37008</v>
      </c>
      <c r="D1" s="910" t="s">
        <v>373</v>
      </c>
      <c r="E1" s="811"/>
      <c r="F1" s="1079"/>
      <c r="G1" s="430"/>
      <c r="H1" s="430"/>
      <c r="I1" s="1080"/>
    </row>
    <row r="2" spans="1:11" ht="15.75" customHeight="1" thickBot="1">
      <c r="A2" s="433"/>
      <c r="B2" s="1077" t="s">
        <v>652</v>
      </c>
      <c r="E2" s="161"/>
      <c r="I2" s="161"/>
    </row>
    <row r="3" spans="1:11" ht="15.75" customHeight="1" thickTop="1">
      <c r="B3" s="172" t="s">
        <v>109</v>
      </c>
      <c r="C3" s="904">
        <f>NSG_Supplies!Q8/1000</f>
        <v>20</v>
      </c>
      <c r="E3" s="161"/>
      <c r="F3" s="790" t="s">
        <v>166</v>
      </c>
      <c r="G3" s="789"/>
      <c r="H3" s="804" t="s">
        <v>579</v>
      </c>
      <c r="I3" s="803" t="s">
        <v>578</v>
      </c>
    </row>
    <row r="4" spans="1:11" ht="15.75" customHeight="1" thickBot="1">
      <c r="A4" t="s">
        <v>11</v>
      </c>
      <c r="B4" s="100" t="s">
        <v>653</v>
      </c>
      <c r="C4" s="1137">
        <f>NSG_Supplies!E8/1000</f>
        <v>0</v>
      </c>
      <c r="D4" s="135">
        <f>NSG_Requirements!J8/1000</f>
        <v>20</v>
      </c>
      <c r="E4" s="802"/>
      <c r="F4" s="172" t="s">
        <v>552</v>
      </c>
      <c r="G4" s="60"/>
      <c r="H4" s="154">
        <f>PGL_Requirements!P8/1000</f>
        <v>160</v>
      </c>
      <c r="I4" s="176">
        <f>AVERAGE(H4/1.025)</f>
        <v>156.09756097560978</v>
      </c>
      <c r="J4" t="s">
        <v>11</v>
      </c>
    </row>
    <row r="5" spans="1:11" ht="15.75" customHeight="1" thickTop="1" thickBot="1">
      <c r="B5" s="437" t="s">
        <v>654</v>
      </c>
      <c r="C5" s="448">
        <f>C3+C4-D4</f>
        <v>0</v>
      </c>
      <c r="D5" s="438"/>
      <c r="E5" s="440">
        <f>AVERAGE(C5/24)</f>
        <v>0</v>
      </c>
      <c r="F5" s="170" t="s">
        <v>453</v>
      </c>
      <c r="G5" s="210">
        <f>PGL_Supplies!M8/1000</f>
        <v>0</v>
      </c>
      <c r="H5" s="168"/>
      <c r="I5" s="1020">
        <f>AVERAGE(G5/1.025)</f>
        <v>0</v>
      </c>
      <c r="K5" t="s">
        <v>11</v>
      </c>
    </row>
    <row r="6" spans="1:11" ht="15.75" customHeight="1" thickTop="1" thickBot="1">
      <c r="B6" s="907" t="s">
        <v>393</v>
      </c>
      <c r="C6" s="908"/>
      <c r="D6" s="122"/>
      <c r="E6" s="801"/>
      <c r="F6" t="s">
        <v>786</v>
      </c>
      <c r="G6" s="908">
        <f>AVERAGE(H4/24)</f>
        <v>6.666666666666667</v>
      </c>
      <c r="H6" s="430"/>
      <c r="I6" s="1080"/>
    </row>
    <row r="7" spans="1:11" ht="15.75" customHeight="1">
      <c r="B7" s="172" t="s">
        <v>374</v>
      </c>
      <c r="C7" s="154">
        <f>NSG_Supplies!L8/1000</f>
        <v>0</v>
      </c>
      <c r="D7" s="60"/>
      <c r="E7" s="450"/>
      <c r="F7" s="1077" t="s">
        <v>632</v>
      </c>
      <c r="G7" s="1078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631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776</v>
      </c>
      <c r="C9" s="154">
        <f>NSG_Requirements!B8/1000</f>
        <v>0</v>
      </c>
      <c r="D9" s="60"/>
      <c r="E9" s="450"/>
      <c r="F9" s="1" t="s">
        <v>722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0</v>
      </c>
      <c r="D10" s="438"/>
      <c r="E10" s="440">
        <f>AVERAGE(C10/24)</f>
        <v>0</v>
      </c>
      <c r="F10" s="172" t="s">
        <v>450</v>
      </c>
      <c r="G10" s="154">
        <f>PGL_Supplies!AB8/1000</f>
        <v>261.98099999999999</v>
      </c>
      <c r="H10" s="154" t="s">
        <v>11</v>
      </c>
      <c r="I10" s="161"/>
    </row>
    <row r="11" spans="1:11" ht="15.75" customHeight="1" thickTop="1">
      <c r="A11" t="s">
        <v>11</v>
      </c>
      <c r="B11" s="1129" t="s">
        <v>759</v>
      </c>
      <c r="C11" s="154">
        <f>PGL_Supplies!Y8/1000</f>
        <v>152.62899999999999</v>
      </c>
      <c r="D11" s="789"/>
      <c r="E11" s="1130"/>
      <c r="F11" s="435" t="s">
        <v>379</v>
      </c>
      <c r="G11" s="447">
        <f>G8+G10</f>
        <v>261.98099999999999</v>
      </c>
      <c r="H11" s="434"/>
      <c r="I11" s="436"/>
    </row>
    <row r="12" spans="1:11" ht="15.75" customHeight="1">
      <c r="B12" s="249" t="s">
        <v>756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760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1" t="s">
        <v>767</v>
      </c>
      <c r="C14" s="448">
        <f>C11+C12-D13</f>
        <v>152.62899999999999</v>
      </c>
      <c r="D14" s="438"/>
      <c r="E14" s="440">
        <f>AVERAGE(C14/24)</f>
        <v>6.359541666666666</v>
      </c>
      <c r="F14" s="782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765</v>
      </c>
      <c r="C15" s="154">
        <f>PGL_Supplies!Z8/1000</f>
        <v>41.16</v>
      </c>
      <c r="D15" s="60"/>
      <c r="E15" s="161"/>
      <c r="F15" s="782" t="s">
        <v>564</v>
      </c>
      <c r="G15" s="447">
        <f>SUM(G11)-G16</f>
        <v>237.892</v>
      </c>
      <c r="H15" s="438" t="s">
        <v>11</v>
      </c>
      <c r="I15" s="440">
        <f>AVERAGE(G15/24)</f>
        <v>9.9121666666666659</v>
      </c>
    </row>
    <row r="16" spans="1:11" ht="15.75" customHeight="1" thickTop="1" thickBot="1">
      <c r="B16" s="172" t="s">
        <v>718</v>
      </c>
      <c r="C16" s="154">
        <f>PGL_Supplies!R8/1000</f>
        <v>0</v>
      </c>
      <c r="D16" s="154">
        <f>PGL_Requirements!U8/1000</f>
        <v>40</v>
      </c>
      <c r="E16" s="161"/>
      <c r="F16" s="782" t="s">
        <v>575</v>
      </c>
      <c r="G16" s="448">
        <f>PGL_Requirements!H8/1000</f>
        <v>24.088999999999999</v>
      </c>
      <c r="H16" s="448" t="s">
        <v>11</v>
      </c>
      <c r="I16" s="440">
        <f>AVERAGE(G16/24)</f>
        <v>1.0037083333333332</v>
      </c>
    </row>
    <row r="17" spans="1:9" ht="15.75" customHeight="1" thickTop="1" thickBot="1">
      <c r="B17" s="435" t="s">
        <v>379</v>
      </c>
      <c r="C17" s="447">
        <f>SUM(C15:C16)-SUM(D15:D16)</f>
        <v>1.1599999999999966</v>
      </c>
      <c r="D17" s="434"/>
      <c r="E17" s="436"/>
      <c r="F17" s="1090" t="s">
        <v>723</v>
      </c>
      <c r="G17" s="1180">
        <v>0</v>
      </c>
      <c r="H17" s="1089"/>
      <c r="I17" s="1181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88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1.1599999999999999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-3.3306690738754696E-15</v>
      </c>
      <c r="D20" s="441" t="s">
        <v>11</v>
      </c>
      <c r="E20" s="440">
        <f>AVERAGE(C20/24)</f>
        <v>-1.3877787807814457E-16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766</v>
      </c>
      <c r="C21" s="154">
        <f>PGL_Supplies!AA8/1000</f>
        <v>0</v>
      </c>
      <c r="D21" s="154" t="s">
        <v>11</v>
      </c>
      <c r="E21" s="161"/>
      <c r="F21" s="172" t="s">
        <v>109</v>
      </c>
      <c r="G21" s="154">
        <f>PGL_Supplies!AD8/1000</f>
        <v>0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0</v>
      </c>
      <c r="D22" s="434"/>
      <c r="E22" s="436"/>
      <c r="F22" s="435" t="s">
        <v>379</v>
      </c>
      <c r="G22" s="447">
        <f>G21</f>
        <v>0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0</v>
      </c>
      <c r="D25" s="438"/>
      <c r="E25" s="440">
        <f>AVERAGE(C25/24)</f>
        <v>0</v>
      </c>
      <c r="F25" s="551" t="s">
        <v>556</v>
      </c>
      <c r="G25" s="905">
        <f>G22+G23-H24+G20</f>
        <v>0</v>
      </c>
      <c r="H25" s="430"/>
      <c r="I25" s="906">
        <f>AVERAGE(G25/24)</f>
        <v>0</v>
      </c>
    </row>
    <row r="26" spans="1:9" ht="15.75" customHeight="1" thickTop="1">
      <c r="B26" t="s">
        <v>720</v>
      </c>
    </row>
    <row r="27" spans="1:9" ht="15.75" customHeight="1">
      <c r="B27" t="s">
        <v>719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655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5" customWidth="1"/>
    <col min="2" max="2" width="8.08984375" style="1045" customWidth="1"/>
    <col min="3" max="3" width="7.90625" style="1045" customWidth="1"/>
    <col min="4" max="4" width="5.90625" style="1045" customWidth="1"/>
    <col min="5" max="5" width="4.453125" style="1045" customWidth="1"/>
    <col min="6" max="6" width="5.1796875" style="1045" customWidth="1"/>
    <col min="7" max="7" width="9" style="1045" customWidth="1"/>
    <col min="8" max="11" width="8.90625" style="1045"/>
    <col min="12" max="12" width="14.90625" style="1045" customWidth="1"/>
    <col min="13" max="13" width="5.6328125" style="1045" customWidth="1"/>
    <col min="14" max="16384" width="8.90625" style="1045"/>
  </cols>
  <sheetData>
    <row r="1" spans="1:22" ht="20.399999999999999">
      <c r="A1" s="939"/>
      <c r="B1" s="935"/>
      <c r="C1" s="946" t="s">
        <v>659</v>
      </c>
      <c r="D1" s="943"/>
      <c r="E1" s="943" t="s">
        <v>660</v>
      </c>
      <c r="F1" s="943"/>
      <c r="G1" s="1043" t="s">
        <v>325</v>
      </c>
      <c r="H1" s="1044">
        <f>Weather_Input!A6</f>
        <v>37008</v>
      </c>
      <c r="I1" s="932"/>
      <c r="J1" s="934"/>
      <c r="K1" s="934"/>
    </row>
    <row r="2" spans="1:22" ht="16.5" customHeight="1">
      <c r="A2" s="952" t="s">
        <v>687</v>
      </c>
      <c r="C2" s="1046">
        <v>316</v>
      </c>
      <c r="F2" s="1047">
        <v>315</v>
      </c>
      <c r="H2" s="934"/>
      <c r="I2" s="932" t="s">
        <v>689</v>
      </c>
      <c r="J2" s="954">
        <f>NSG_Supplies!Q8/1000</f>
        <v>20</v>
      </c>
    </row>
    <row r="3" spans="1:22" ht="16.5" customHeight="1">
      <c r="A3" s="1048">
        <f>PGL_Supplies!J8/1000</f>
        <v>0</v>
      </c>
      <c r="C3" s="1045" t="s">
        <v>11</v>
      </c>
      <c r="G3" s="932"/>
      <c r="H3" s="934"/>
    </row>
    <row r="4" spans="1:22" ht="16.5" customHeight="1">
      <c r="A4" s="942" t="s">
        <v>661</v>
      </c>
      <c r="G4" s="960"/>
      <c r="H4" s="934"/>
      <c r="I4" s="932"/>
      <c r="J4" s="932" t="s">
        <v>685</v>
      </c>
      <c r="K4" s="954">
        <f>Billy_Sheet!C5</f>
        <v>0</v>
      </c>
      <c r="N4" s="954"/>
    </row>
    <row r="5" spans="1:22" ht="16.5" customHeight="1">
      <c r="A5" s="1049">
        <f>PGL_Supplies!K7/1000</f>
        <v>0</v>
      </c>
      <c r="B5" s="1050"/>
      <c r="G5" s="935"/>
      <c r="H5" s="954"/>
      <c r="U5" s="934"/>
      <c r="V5" s="934"/>
    </row>
    <row r="6" spans="1:22" ht="16.5" customHeight="1">
      <c r="A6" s="941" t="s">
        <v>657</v>
      </c>
      <c r="G6" s="935"/>
      <c r="H6" s="954"/>
      <c r="U6" s="934"/>
      <c r="V6" s="954"/>
    </row>
    <row r="7" spans="1:22" ht="18.75" customHeight="1">
      <c r="A7" s="954">
        <f>Billy_Sheet!G14</f>
        <v>0</v>
      </c>
      <c r="G7" s="935"/>
      <c r="H7" s="933"/>
      <c r="U7" s="934"/>
      <c r="V7" s="933"/>
    </row>
    <row r="8" spans="1:22" ht="14.4" customHeight="1">
      <c r="A8" s="932" t="s">
        <v>74</v>
      </c>
      <c r="G8" s="935"/>
      <c r="H8" s="932" t="s">
        <v>178</v>
      </c>
      <c r="I8" s="932"/>
      <c r="K8" s="932"/>
      <c r="L8" s="932"/>
      <c r="N8" s="932"/>
      <c r="O8" s="932"/>
      <c r="U8" s="934"/>
      <c r="V8" s="954"/>
    </row>
    <row r="9" spans="1:22" ht="14.4" customHeight="1">
      <c r="A9" s="954">
        <f>PGL_Supplies!I8/1000</f>
        <v>20</v>
      </c>
      <c r="H9" s="954">
        <v>0</v>
      </c>
      <c r="I9" s="1051"/>
      <c r="K9" s="932" t="s">
        <v>691</v>
      </c>
      <c r="L9" s="954">
        <f>NSG_Deliveries!C6/1000</f>
        <v>56</v>
      </c>
      <c r="N9" s="932"/>
      <c r="O9" s="954"/>
      <c r="U9" s="934"/>
      <c r="V9" s="954"/>
    </row>
    <row r="10" spans="1:22" ht="18" customHeight="1">
      <c r="A10" s="932" t="s">
        <v>68</v>
      </c>
      <c r="H10" s="961" t="s">
        <v>690</v>
      </c>
      <c r="U10" s="934"/>
      <c r="V10" s="954"/>
    </row>
    <row r="11" spans="1:22" ht="14.4" customHeight="1">
      <c r="A11" s="954">
        <f>Billy_Sheet!C20</f>
        <v>-3.3306690738754696E-15</v>
      </c>
      <c r="B11" s="1051"/>
      <c r="H11" s="954">
        <f>NSG_Supplies!U8/1000</f>
        <v>0</v>
      </c>
      <c r="K11" s="935" t="s">
        <v>692</v>
      </c>
      <c r="L11" s="960">
        <f>SUM(K4+K17+K19+H11+H9-L9)</f>
        <v>5.000000000002558E-3</v>
      </c>
      <c r="N11" s="935"/>
      <c r="O11" s="960"/>
      <c r="U11" s="934"/>
      <c r="V11" s="948"/>
    </row>
    <row r="12" spans="1:22" ht="14.4" customHeight="1">
      <c r="A12" s="932" t="s">
        <v>753</v>
      </c>
      <c r="H12" s="954"/>
      <c r="U12" s="934"/>
      <c r="V12" s="954"/>
    </row>
    <row r="13" spans="1:22" ht="14.4" customHeight="1">
      <c r="A13" s="1049">
        <f>PGL_Supplies!Y8/1000</f>
        <v>152.62899999999999</v>
      </c>
      <c r="H13" s="954"/>
      <c r="U13" s="934"/>
      <c r="V13" s="954"/>
    </row>
    <row r="14" spans="1:22" ht="14.4" customHeight="1">
      <c r="H14" s="954"/>
      <c r="U14" s="934"/>
      <c r="V14" s="954"/>
    </row>
    <row r="15" spans="1:22" ht="15.6" customHeight="1">
      <c r="B15" s="1045" t="s">
        <v>11</v>
      </c>
      <c r="C15" s="1052">
        <v>320</v>
      </c>
      <c r="F15" s="1052">
        <v>320</v>
      </c>
      <c r="H15" s="960"/>
      <c r="U15" s="944"/>
      <c r="V15" s="960"/>
    </row>
    <row r="16" spans="1:22" ht="42.75" customHeight="1">
      <c r="A16" s="945"/>
      <c r="B16" s="960"/>
      <c r="C16" s="1053"/>
      <c r="D16" s="1054"/>
      <c r="E16" s="1054"/>
      <c r="F16" s="1053"/>
    </row>
    <row r="17" spans="1:17" ht="38.25" customHeight="1">
      <c r="B17" s="1054"/>
      <c r="C17" s="1054"/>
      <c r="D17" s="1055"/>
      <c r="E17" s="1054"/>
      <c r="F17" s="1054"/>
      <c r="G17" s="1054"/>
      <c r="J17" s="932" t="s">
        <v>327</v>
      </c>
      <c r="K17" s="954">
        <f>NSG_Supplies!L8/1000</f>
        <v>0</v>
      </c>
      <c r="N17" s="954"/>
    </row>
    <row r="18" spans="1:17" ht="15" customHeight="1">
      <c r="A18" s="940"/>
      <c r="C18" s="1052">
        <v>395</v>
      </c>
      <c r="D18" s="1054"/>
      <c r="E18" s="1054"/>
      <c r="F18" s="1047">
        <v>815</v>
      </c>
    </row>
    <row r="19" spans="1:17">
      <c r="A19" s="941" t="s">
        <v>658</v>
      </c>
      <c r="C19" s="1045" t="s">
        <v>11</v>
      </c>
      <c r="J19" s="932" t="s">
        <v>686</v>
      </c>
      <c r="K19" s="954">
        <f>NSG_Supplies!R8/1000+NSG_Supplies!F8/1000-NSG_Requirements!H8/1000</f>
        <v>56.005000000000003</v>
      </c>
      <c r="N19" s="1057"/>
    </row>
    <row r="20" spans="1:17" ht="17.25" customHeight="1">
      <c r="A20" s="954">
        <f>Billy_Sheet!G15</f>
        <v>237.892</v>
      </c>
      <c r="G20" s="433"/>
      <c r="J20" s="932"/>
    </row>
    <row r="21" spans="1:17" ht="11.25" customHeight="1">
      <c r="G21" s="933"/>
      <c r="H21" s="933"/>
      <c r="I21" s="935"/>
      <c r="J21" s="960"/>
    </row>
    <row r="22" spans="1:17">
      <c r="A22" s="934" t="s">
        <v>181</v>
      </c>
      <c r="G22" s="932"/>
      <c r="I22" s="935"/>
      <c r="J22" s="932"/>
      <c r="M22" s="935"/>
      <c r="N22" s="960"/>
    </row>
    <row r="23" spans="1:17">
      <c r="A23" s="954">
        <f>Billy_Sheet!C25</f>
        <v>0</v>
      </c>
      <c r="G23" s="932" t="s">
        <v>768</v>
      </c>
      <c r="H23" s="934"/>
      <c r="I23" s="935"/>
      <c r="J23" s="960"/>
      <c r="M23" s="932"/>
      <c r="N23" s="960"/>
      <c r="Q23" s="1058"/>
    </row>
    <row r="24" spans="1:17" ht="9" customHeight="1">
      <c r="G24" s="960">
        <v>0</v>
      </c>
      <c r="H24" s="935"/>
      <c r="I24" s="935"/>
      <c r="J24" s="935"/>
    </row>
    <row r="25" spans="1:17" ht="10.5" customHeight="1">
      <c r="A25" s="934" t="s">
        <v>183</v>
      </c>
      <c r="B25" s="934"/>
      <c r="C25" s="934"/>
      <c r="D25" s="934"/>
      <c r="F25" s="934"/>
      <c r="G25" s="932" t="s">
        <v>694</v>
      </c>
      <c r="H25" s="935"/>
      <c r="I25" s="935"/>
      <c r="J25" s="935"/>
    </row>
    <row r="26" spans="1:17" ht="14.25" customHeight="1">
      <c r="A26" s="954">
        <f>Billy_Sheet!G25</f>
        <v>0</v>
      </c>
      <c r="B26" s="934"/>
      <c r="C26" s="935"/>
      <c r="D26" s="935"/>
      <c r="F26" s="935"/>
      <c r="G26" s="1056">
        <v>0.98099999999999998</v>
      </c>
      <c r="H26" s="935"/>
      <c r="I26" s="935"/>
      <c r="J26" s="935" t="s">
        <v>580</v>
      </c>
      <c r="K26" s="1059">
        <f>PGL_Deliveries!C6/1000</f>
        <v>330</v>
      </c>
      <c r="L26" s="932" t="s">
        <v>691</v>
      </c>
      <c r="M26" s="954">
        <f>NSG_Deliveries!C6/1000</f>
        <v>56</v>
      </c>
      <c r="N26" s="954"/>
    </row>
    <row r="27" spans="1:17" ht="8.25" customHeight="1">
      <c r="A27" s="935"/>
      <c r="B27" s="956"/>
      <c r="C27" s="935"/>
      <c r="D27" s="935"/>
      <c r="F27" s="935"/>
      <c r="G27" s="935"/>
      <c r="H27" s="936"/>
      <c r="I27" s="935"/>
      <c r="J27" s="936"/>
    </row>
    <row r="28" spans="1:17" ht="12.75" customHeight="1">
      <c r="A28" s="943" t="s">
        <v>662</v>
      </c>
      <c r="B28" s="954"/>
      <c r="C28" s="934"/>
      <c r="D28" s="935"/>
      <c r="F28" s="932"/>
      <c r="G28" s="944" t="s">
        <v>667</v>
      </c>
      <c r="H28" s="433"/>
      <c r="J28" s="935" t="s">
        <v>693</v>
      </c>
      <c r="K28" s="960">
        <f>SUM(A42)</f>
        <v>227.43199999999996</v>
      </c>
      <c r="L28" s="935" t="s">
        <v>745</v>
      </c>
      <c r="M28" s="960">
        <f>SUM(J2+K17+K19+H11+H9-M26)</f>
        <v>20.004999999999995</v>
      </c>
      <c r="N28" s="960"/>
    </row>
    <row r="29" spans="1:17">
      <c r="A29" s="954">
        <f>PGL_Supplies!M8/1000</f>
        <v>0</v>
      </c>
      <c r="B29" s="954"/>
      <c r="C29" s="935"/>
      <c r="D29" s="1060"/>
      <c r="F29" s="1112">
        <f>PGL_Requirements!A7</f>
        <v>37007</v>
      </c>
      <c r="G29" s="954">
        <f>PGL_Requirements!H7/1000</f>
        <v>0</v>
      </c>
      <c r="H29" s="933"/>
      <c r="J29" s="935" t="s">
        <v>695</v>
      </c>
      <c r="K29" s="954">
        <f>PGL_Supplies!AC8/1000+PGL_Supplies!L8/1000-PGL_Requirements!O8/1000</f>
        <v>73.388000000000005</v>
      </c>
    </row>
    <row r="30" spans="1:17" ht="10.5" customHeight="1">
      <c r="A30" s="937"/>
      <c r="B30" s="954"/>
      <c r="C30" s="935"/>
      <c r="D30" s="954"/>
      <c r="F30" s="1112">
        <f>PGL_Requirements!A8</f>
        <v>37008</v>
      </c>
      <c r="G30" s="954">
        <f>PGL_Requirements!H8/1000</f>
        <v>24.088999999999999</v>
      </c>
    </row>
    <row r="31" spans="1:17" ht="17.25" customHeight="1">
      <c r="A31" s="943" t="s">
        <v>664</v>
      </c>
      <c r="B31" s="1061"/>
      <c r="C31" s="938"/>
      <c r="D31" s="960"/>
      <c r="G31" s="944" t="s">
        <v>665</v>
      </c>
      <c r="H31" s="960"/>
      <c r="J31" s="935" t="s">
        <v>692</v>
      </c>
      <c r="K31" s="960">
        <f>SUM(K28+K29-K26)</f>
        <v>-29.180000000000064</v>
      </c>
    </row>
    <row r="32" spans="1:17">
      <c r="A32" s="954">
        <f>PGL_Supplies!H8/1000</f>
        <v>1</v>
      </c>
      <c r="G32" s="954">
        <f>PGL_Requirements!P8/1000</f>
        <v>160</v>
      </c>
    </row>
    <row r="33" spans="1:11" ht="6.75" customHeight="1"/>
    <row r="34" spans="1:11">
      <c r="A34" s="932" t="s">
        <v>663</v>
      </c>
      <c r="G34" s="935" t="s">
        <v>666</v>
      </c>
    </row>
    <row r="35" spans="1:11">
      <c r="A35" s="1056">
        <v>0</v>
      </c>
      <c r="G35" s="954">
        <f>PGL_Requirements!B8/1000</f>
        <v>0</v>
      </c>
    </row>
    <row r="36" spans="1:11">
      <c r="G36" s="954"/>
    </row>
    <row r="37" spans="1:11">
      <c r="C37" s="932" t="s">
        <v>669</v>
      </c>
      <c r="F37" s="932" t="s">
        <v>670</v>
      </c>
      <c r="G37" s="954"/>
    </row>
    <row r="38" spans="1:11">
      <c r="C38" s="1052">
        <v>456</v>
      </c>
      <c r="F38" s="1052">
        <v>753</v>
      </c>
    </row>
    <row r="39" spans="1:11">
      <c r="A39" s="952" t="s">
        <v>744</v>
      </c>
      <c r="E39" s="934" t="s">
        <v>668</v>
      </c>
      <c r="F39" s="934"/>
    </row>
    <row r="40" spans="1:11">
      <c r="A40" s="960">
        <f>SUM(A3:A35)</f>
        <v>411.52099999999996</v>
      </c>
      <c r="B40" s="948"/>
      <c r="C40" s="947"/>
      <c r="D40" s="948"/>
      <c r="E40" s="948"/>
      <c r="F40" s="1062"/>
      <c r="G40" s="1062">
        <f>SUM(G30:G35)</f>
        <v>184.089</v>
      </c>
      <c r="H40" s="950"/>
      <c r="I40" s="949"/>
    </row>
    <row r="41" spans="1:11">
      <c r="A41" s="951" t="s">
        <v>684</v>
      </c>
      <c r="B41" s="954"/>
      <c r="C41" s="948"/>
      <c r="D41" s="948"/>
      <c r="E41" s="948"/>
      <c r="F41" s="948"/>
      <c r="G41" s="948"/>
      <c r="H41" s="948"/>
      <c r="I41" s="947"/>
    </row>
    <row r="42" spans="1:11">
      <c r="A42" s="954">
        <f>SUM(A40-G40)</f>
        <v>227.43199999999996</v>
      </c>
      <c r="B42" s="954"/>
      <c r="C42" s="948"/>
      <c r="D42" s="948"/>
      <c r="E42" s="948"/>
      <c r="F42" s="957"/>
      <c r="G42" s="959" t="s">
        <v>688</v>
      </c>
      <c r="H42" s="1063"/>
      <c r="I42" s="1064"/>
      <c r="J42" s="1063"/>
      <c r="K42" s="1054"/>
    </row>
    <row r="43" spans="1:11" ht="14.25" customHeight="1">
      <c r="A43" s="954"/>
      <c r="B43" s="954"/>
      <c r="C43" s="954"/>
      <c r="D43" s="954"/>
      <c r="E43" s="957"/>
      <c r="F43" s="956" t="s">
        <v>683</v>
      </c>
      <c r="G43" s="957" t="s">
        <v>682</v>
      </c>
      <c r="I43" s="954"/>
    </row>
    <row r="44" spans="1:11" ht="12.75" customHeight="1">
      <c r="A44" s="951" t="s">
        <v>671</v>
      </c>
      <c r="B44" s="954" t="s">
        <v>676</v>
      </c>
      <c r="C44" s="954" t="s">
        <v>677</v>
      </c>
      <c r="D44" s="954" t="s">
        <v>678</v>
      </c>
      <c r="E44" s="955"/>
      <c r="F44" s="955" t="s">
        <v>679</v>
      </c>
      <c r="G44" s="948" t="s">
        <v>681</v>
      </c>
      <c r="H44" s="934" t="s">
        <v>680</v>
      </c>
      <c r="I44" s="954"/>
      <c r="K44" s="934"/>
    </row>
    <row r="45" spans="1:11">
      <c r="A45" s="951" t="s">
        <v>675</v>
      </c>
      <c r="B45" s="1065">
        <v>250</v>
      </c>
      <c r="C45" s="1065">
        <v>410</v>
      </c>
      <c r="D45" s="1066">
        <f>SUM(F2+F15)/2</f>
        <v>317.5</v>
      </c>
      <c r="E45" s="1067"/>
      <c r="F45" s="1068">
        <v>6.7000000000000004E-2</v>
      </c>
      <c r="G45" s="1069">
        <f>(C45-D45)*F45</f>
        <v>6.1975000000000007</v>
      </c>
      <c r="H45" s="1069">
        <f>(D45-B45)*F45</f>
        <v>4.5225</v>
      </c>
      <c r="I45" s="954"/>
      <c r="J45" s="1070"/>
    </row>
    <row r="46" spans="1:11">
      <c r="A46" s="934" t="s">
        <v>672</v>
      </c>
      <c r="B46" s="1071">
        <v>797</v>
      </c>
      <c r="C46" s="1065">
        <v>797</v>
      </c>
      <c r="D46" s="1066">
        <v>797</v>
      </c>
      <c r="E46" s="1067"/>
      <c r="F46" s="1068">
        <v>0.13900000000000001</v>
      </c>
      <c r="G46" s="1069">
        <f>(C46-D46)*F46</f>
        <v>0</v>
      </c>
      <c r="H46" s="1069">
        <f>(D46-B46)*F46</f>
        <v>0</v>
      </c>
      <c r="I46" s="954"/>
    </row>
    <row r="47" spans="1:11">
      <c r="A47" s="934" t="s">
        <v>673</v>
      </c>
      <c r="B47" s="1071">
        <v>250</v>
      </c>
      <c r="C47" s="1065">
        <v>410</v>
      </c>
      <c r="D47" s="1066">
        <f>SUM(C2+C15)/2</f>
        <v>318</v>
      </c>
      <c r="E47" s="1067"/>
      <c r="F47" s="1068">
        <v>0.14099999999999999</v>
      </c>
      <c r="G47" s="1069">
        <f>(C47-D47)*F47</f>
        <v>12.972</v>
      </c>
      <c r="H47" s="1069">
        <f>(D47-B47)*F47</f>
        <v>9.5879999999999992</v>
      </c>
      <c r="I47" s="954"/>
    </row>
    <row r="48" spans="1:11">
      <c r="A48" s="934" t="s">
        <v>674</v>
      </c>
      <c r="B48" s="1071">
        <v>285</v>
      </c>
      <c r="C48" s="1065">
        <v>750</v>
      </c>
      <c r="D48" s="1066">
        <f>SUM(C18+C38)/2</f>
        <v>425.5</v>
      </c>
      <c r="E48" s="1067"/>
      <c r="F48" s="1068">
        <v>0.161</v>
      </c>
      <c r="G48" s="1069">
        <f>(C48-D48)*F48</f>
        <v>52.244500000000002</v>
      </c>
      <c r="H48" s="1069">
        <f>(D48-B48)*F48</f>
        <v>22.6205</v>
      </c>
    </row>
    <row r="49" spans="1:8">
      <c r="B49" s="1051"/>
      <c r="C49" s="1051"/>
      <c r="D49" s="1051"/>
      <c r="E49" s="1051"/>
      <c r="F49" s="958" t="s">
        <v>360</v>
      </c>
      <c r="G49" s="1069">
        <f>SUM(G45:G48)</f>
        <v>71.414000000000001</v>
      </c>
      <c r="H49" s="1069">
        <f>SUM(H45:H48)</f>
        <v>36.730999999999995</v>
      </c>
    </row>
    <row r="55" spans="1:8">
      <c r="A55" s="1072"/>
      <c r="G55" s="1072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A6" sqref="A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37007</v>
      </c>
      <c r="B5" s="11">
        <v>75</v>
      </c>
      <c r="C5" s="49">
        <v>52</v>
      </c>
      <c r="D5" s="49">
        <v>15</v>
      </c>
      <c r="E5" s="11">
        <v>64.900000000000006</v>
      </c>
      <c r="F5" s="11">
        <v>345</v>
      </c>
      <c r="G5" s="11">
        <v>6378</v>
      </c>
      <c r="H5" s="11">
        <v>4</v>
      </c>
      <c r="I5" s="911" t="s">
        <v>794</v>
      </c>
      <c r="J5" s="911" t="s">
        <v>11</v>
      </c>
      <c r="K5" s="11">
        <v>3</v>
      </c>
      <c r="L5" s="11">
        <v>1</v>
      </c>
      <c r="N5" s="15" t="str">
        <f>I5&amp;" "&amp;I5</f>
        <v xml:space="preserve">  PARTLY CLOUDY.   PARTLY CLOUDY.</v>
      </c>
      <c r="AE5" s="15">
        <v>1</v>
      </c>
      <c r="AH5" s="15" t="s">
        <v>34</v>
      </c>
    </row>
    <row r="6" spans="1:34" ht="16.5" customHeight="1">
      <c r="A6" s="88">
        <f>A5+1</f>
        <v>37008</v>
      </c>
      <c r="B6" s="11">
        <v>64</v>
      </c>
      <c r="C6" s="49">
        <v>42</v>
      </c>
      <c r="D6" s="49">
        <v>11</v>
      </c>
      <c r="E6" s="11" t="s">
        <v>11</v>
      </c>
      <c r="F6" s="11" t="s">
        <v>11</v>
      </c>
      <c r="G6" s="11"/>
      <c r="H6" s="11" t="s">
        <v>11</v>
      </c>
      <c r="I6" s="911" t="s">
        <v>795</v>
      </c>
      <c r="J6" s="911" t="s">
        <v>796</v>
      </c>
      <c r="K6" s="11">
        <v>1</v>
      </c>
      <c r="L6" s="11" t="s">
        <v>633</v>
      </c>
      <c r="N6" s="15" t="str">
        <f>I6&amp;" "&amp;J6</f>
        <v xml:space="preserve">  TODAY - MOSTLY SUNNY WITH A WARM BREEZE.   TONIGHT - MAINLY CLEAR AND COOL.</v>
      </c>
      <c r="AE6" s="15">
        <v>1</v>
      </c>
      <c r="AH6" s="15" t="s">
        <v>35</v>
      </c>
    </row>
    <row r="7" spans="1:34" ht="16.5" customHeight="1">
      <c r="A7" s="88">
        <f>A6+1</f>
        <v>37009</v>
      </c>
      <c r="B7" s="11">
        <v>67</v>
      </c>
      <c r="C7" s="49">
        <v>47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11" t="s">
        <v>797</v>
      </c>
      <c r="J7" s="911" t="s">
        <v>11</v>
      </c>
      <c r="K7" s="11">
        <v>3</v>
      </c>
      <c r="L7" s="11" t="s">
        <v>22</v>
      </c>
      <c r="N7" s="15" t="str">
        <f>I7&amp;" "&amp;J7</f>
        <v xml:space="preserve">  INTERVALS OF CLOUDS AND SUN.  </v>
      </c>
    </row>
    <row r="8" spans="1:34" ht="16.5" customHeight="1">
      <c r="A8" s="88">
        <f>A7+1</f>
        <v>37010</v>
      </c>
      <c r="B8" s="11">
        <v>78</v>
      </c>
      <c r="C8" s="49">
        <v>56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11" t="s">
        <v>793</v>
      </c>
      <c r="J8" s="911" t="s">
        <v>11</v>
      </c>
      <c r="K8" s="11">
        <v>3</v>
      </c>
      <c r="L8" s="11"/>
      <c r="N8" s="15" t="str">
        <f>I8&amp;" "&amp;J8</f>
        <v xml:space="preserve">  SEVERAL HOURS OF SUNSHINE.  </v>
      </c>
    </row>
    <row r="9" spans="1:34" ht="16.5" customHeight="1">
      <c r="A9" s="88">
        <f>A8+1</f>
        <v>37011</v>
      </c>
      <c r="B9" s="11">
        <v>80</v>
      </c>
      <c r="C9" s="49">
        <v>58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911" t="s">
        <v>798</v>
      </c>
      <c r="J9" s="911" t="s">
        <v>11</v>
      </c>
      <c r="K9" s="11">
        <v>3</v>
      </c>
      <c r="L9" s="11">
        <v>0</v>
      </c>
      <c r="M9" s="89"/>
      <c r="N9" s="15" t="str">
        <f>I10&amp;" "&amp;J9</f>
        <v xml:space="preserve">  PARTLY SUNNY.  </v>
      </c>
    </row>
    <row r="10" spans="1:34" ht="16.5" customHeight="1">
      <c r="A10" s="88">
        <f>A9+1</f>
        <v>37012</v>
      </c>
      <c r="B10" s="11">
        <v>80</v>
      </c>
      <c r="C10" s="49">
        <v>58</v>
      </c>
      <c r="D10" s="49">
        <v>15</v>
      </c>
      <c r="E10" s="11" t="s">
        <v>11</v>
      </c>
      <c r="F10" s="11" t="s">
        <v>11</v>
      </c>
      <c r="G10" s="11"/>
      <c r="H10" s="11" t="s">
        <v>11</v>
      </c>
      <c r="I10" s="911" t="s">
        <v>799</v>
      </c>
      <c r="J10" s="911" t="s">
        <v>11</v>
      </c>
      <c r="K10" s="11">
        <v>3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285.77100000000002</v>
      </c>
      <c r="C2" s="60"/>
      <c r="D2" s="121" t="s">
        <v>325</v>
      </c>
      <c r="E2" s="426">
        <f>Weather_Input!A5</f>
        <v>37007</v>
      </c>
      <c r="F2" s="60"/>
      <c r="H2"/>
      <c r="I2"/>
      <c r="J2"/>
      <c r="K2"/>
      <c r="L2"/>
      <c r="M2"/>
    </row>
    <row r="3" spans="1:13" ht="15">
      <c r="A3" s="99" t="s">
        <v>581</v>
      </c>
      <c r="B3" s="632">
        <f>PGL_Supplies!J7/1000</f>
        <v>2.46</v>
      </c>
      <c r="C3" s="185"/>
      <c r="D3" s="1128" t="s">
        <v>777</v>
      </c>
      <c r="E3" s="807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8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86.57</v>
      </c>
      <c r="C5" s="64"/>
      <c r="D5" s="59" t="s">
        <v>582</v>
      </c>
      <c r="E5" s="154">
        <f>PGL_Deliveries!O5/1000</f>
        <v>8.8999999999999996E-2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130.756</v>
      </c>
      <c r="C6" s="169"/>
      <c r="D6" s="59" t="s">
        <v>583</v>
      </c>
      <c r="E6" s="154">
        <f>PGL_Deliveries!P5/1000</f>
        <v>0.81100000000000005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217.32599999999999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753</v>
      </c>
      <c r="B8" s="154">
        <f>PGL_Deliveries!V5/1000</f>
        <v>142.23699999999999</v>
      </c>
      <c r="C8" s="631"/>
      <c r="D8" s="117" t="s">
        <v>585</v>
      </c>
      <c r="E8" s="154">
        <f>PGL_Deliveries!N5/1000</f>
        <v>0.435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0</v>
      </c>
      <c r="C9" s="64"/>
      <c r="D9" s="117" t="s">
        <v>211</v>
      </c>
      <c r="E9" s="154">
        <f>PGL_Deliveries!Q5/1000</f>
        <v>0.19400000000000001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0</v>
      </c>
      <c r="C10" s="64"/>
      <c r="D10" s="117" t="s">
        <v>213</v>
      </c>
      <c r="E10" s="154">
        <f>PGL_Deliveries!S5/1000</f>
        <v>4.1849999999999996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15.007999999999999</v>
      </c>
      <c r="C11" s="64"/>
      <c r="D11" s="117" t="s">
        <v>587</v>
      </c>
      <c r="E11" s="154">
        <f>PGL_Deliveries!R5/1000</f>
        <v>3.3170000000000002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1.06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263.52100000000002</v>
      </c>
      <c r="C13" s="64"/>
      <c r="D13" s="117" t="s">
        <v>219</v>
      </c>
      <c r="E13" s="154">
        <f>PGL_Deliveries!F5/1000</f>
        <v>16.143999999999998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0</v>
      </c>
      <c r="C14" s="64"/>
      <c r="D14" s="117" t="s">
        <v>220</v>
      </c>
      <c r="E14" s="154">
        <f>PGL_Deliveries!H5/1000</f>
        <v>36.344000000000001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-169.03600000000003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34.404000000000003</v>
      </c>
      <c r="D16" s="117" t="s">
        <v>223</v>
      </c>
      <c r="E16" s="154">
        <f>PGL_Deliveries!L5/1000</f>
        <v>0.111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2" t="s">
        <v>222</v>
      </c>
      <c r="E17" s="210">
        <f>PGL_Deliveries!M5/1000</f>
        <v>3.2949999999999999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5">
        <f>SUM(B8:B17)-C16</f>
        <v>217.32599999999999</v>
      </c>
      <c r="C18" s="169"/>
      <c r="D18" s="179" t="s">
        <v>592</v>
      </c>
      <c r="E18" s="178">
        <f>SUM(E5:E17)</f>
        <v>65.984999999999999</v>
      </c>
      <c r="F18" s="167"/>
      <c r="H18"/>
      <c r="I18"/>
      <c r="J18"/>
      <c r="K18"/>
      <c r="L18"/>
      <c r="M18"/>
    </row>
    <row r="19" spans="1:13" ht="15">
      <c r="A19" s="444" t="s">
        <v>759</v>
      </c>
      <c r="B19" s="154">
        <f>PGL_Supplies!Y7/1000</f>
        <v>137.405</v>
      </c>
      <c r="C19" s="631"/>
      <c r="D19" s="117" t="s">
        <v>320</v>
      </c>
      <c r="E19" s="154">
        <f>PGL_Deliveries!AI5/1000</f>
        <v>0</v>
      </c>
      <c r="F19" s="171"/>
      <c r="H19"/>
      <c r="I19"/>
      <c r="J19"/>
      <c r="K19"/>
      <c r="L19"/>
      <c r="M19"/>
    </row>
    <row r="20" spans="1:13" ht="15">
      <c r="A20" s="172" t="s">
        <v>756</v>
      </c>
      <c r="B20" s="154">
        <f>PGL_Supplies!X7/1000</f>
        <v>5</v>
      </c>
      <c r="C20" s="64"/>
      <c r="D20" s="117" t="s">
        <v>189</v>
      </c>
      <c r="E20" s="154">
        <f>PGL_Deliveries!AW5/1000+B41</f>
        <v>2.5451999999999999</v>
      </c>
      <c r="F20" s="171"/>
      <c r="H20"/>
      <c r="I20"/>
      <c r="J20"/>
      <c r="K20"/>
      <c r="L20"/>
      <c r="M20"/>
    </row>
    <row r="21" spans="1:13" ht="16.2" thickBot="1">
      <c r="A21" s="172" t="s">
        <v>760</v>
      </c>
      <c r="C21" s="176">
        <f>PGL_Requirements!J7/1000</f>
        <v>0</v>
      </c>
      <c r="D21" s="630" t="s">
        <v>593</v>
      </c>
      <c r="E21" s="211">
        <f>SUM(E18:E20)</f>
        <v>68.530199999999994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4">
        <f>+B19+B20-C21</f>
        <v>142.405</v>
      </c>
      <c r="C22" s="1127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41.16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770</v>
      </c>
      <c r="B24" s="633"/>
      <c r="C24" s="226">
        <f>PGL_Requirements!U7/1000</f>
        <v>40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769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0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4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1">
        <f>PGL_Supplies!AD7/1000</f>
        <v>0</v>
      </c>
      <c r="C30" s="64"/>
      <c r="D30" s="634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56.058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0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741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5">
        <f>(PGL_Deliveries!AB5+PGL_Deliveries!AC5+PGL_Deliveries!AD5)/1000</f>
        <v>0</v>
      </c>
      <c r="C34" s="64"/>
      <c r="D34" s="60" t="s">
        <v>197</v>
      </c>
      <c r="E34" s="154">
        <f>PGL_Supplies!AC7/1000</f>
        <v>124.58799999999999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169.68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0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1.254</v>
      </c>
      <c r="C40" s="64"/>
      <c r="D40" s="212" t="s">
        <v>224</v>
      </c>
      <c r="E40" s="211">
        <f>SUM(E22:E37)-SUM(F23:F39)-E33</f>
        <v>68.53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0" t="s">
        <v>617</v>
      </c>
      <c r="E41" s="807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0</v>
      </c>
      <c r="C42" s="64"/>
      <c r="D42" s="251" t="s">
        <v>529</v>
      </c>
      <c r="E42" s="808">
        <f>PGL_Supplies!AB7/1000</f>
        <v>258.97000000000003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2.5451999999999999</v>
      </c>
      <c r="C43" s="64"/>
      <c r="D43" s="60" t="s">
        <v>394</v>
      </c>
      <c r="E43" s="808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750</v>
      </c>
      <c r="B44" s="210" t="s">
        <v>11</v>
      </c>
      <c r="C44" s="226">
        <f>PGL_Requirements!R7/1000</f>
        <v>0.61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75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52</v>
      </c>
      <c r="C46" s="162"/>
      <c r="D46" s="60" t="s">
        <v>630</v>
      </c>
      <c r="E46" s="808">
        <f>PGL_Supplies!T7/1000</f>
        <v>7.048</v>
      </c>
      <c r="F46" s="171"/>
    </row>
    <row r="47" spans="1:13" ht="15">
      <c r="A47" s="173" t="s">
        <v>622</v>
      </c>
      <c r="B47" s="60">
        <f>Weather_Input!E5</f>
        <v>64.900000000000006</v>
      </c>
      <c r="C47" s="162"/>
      <c r="D47" s="779" t="s">
        <v>629</v>
      </c>
      <c r="E47" s="68"/>
      <c r="F47" s="809">
        <f>PGL_Deliveries!BE5/1000</f>
        <v>0</v>
      </c>
    </row>
    <row r="48" spans="1:13" ht="15">
      <c r="A48" s="172" t="s">
        <v>623</v>
      </c>
      <c r="B48" s="227">
        <f>Weather_Input!D5</f>
        <v>15</v>
      </c>
      <c r="C48" s="162"/>
      <c r="D48" s="251" t="s">
        <v>245</v>
      </c>
      <c r="E48" s="154">
        <f>PGL_Deliveries!AI5/1000</f>
        <v>0</v>
      </c>
      <c r="F48" s="161"/>
    </row>
    <row r="49" spans="1:6" ht="15">
      <c r="A49" s="172" t="s">
        <v>624</v>
      </c>
      <c r="B49" s="154">
        <f>PGL_Deliveries!AM5/1000</f>
        <v>1.0249999999999999</v>
      </c>
      <c r="C49" s="162"/>
      <c r="D49" s="60" t="s">
        <v>791</v>
      </c>
      <c r="E49" s="154">
        <f>PGL_Deliveries!AJ5/1000</f>
        <v>5.49</v>
      </c>
      <c r="F49" s="161"/>
    </row>
    <row r="50" spans="1:6" ht="15.6" outlineLevel="2" thickBot="1">
      <c r="A50" s="102" t="s">
        <v>625</v>
      </c>
      <c r="B50" s="163"/>
      <c r="C50" s="160"/>
      <c r="D50" s="168" t="s">
        <v>626</v>
      </c>
      <c r="E50" s="210">
        <f>PGL_Deliveries!AK5/1000</f>
        <v>9.5180000000000007</v>
      </c>
      <c r="F50" s="443"/>
    </row>
    <row r="51" spans="1:6" ht="15" outlineLevel="2">
      <c r="A51" s="421" t="s">
        <v>627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5" t="s">
        <v>5</v>
      </c>
      <c r="B3" s="244">
        <f>NSG_Deliveries!H5/1000</f>
        <v>43.113</v>
      </c>
      <c r="C3" s="120"/>
      <c r="D3" s="230" t="s">
        <v>325</v>
      </c>
      <c r="E3" s="429">
        <f>Weather_Input!A5</f>
        <v>37007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43.113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19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43.113</v>
      </c>
      <c r="C8" s="161"/>
      <c r="D8" s="820" t="s">
        <v>648</v>
      </c>
      <c r="E8" s="814">
        <f>NSG_Deliveries!F5/1000</f>
        <v>0</v>
      </c>
      <c r="F8" s="813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638</v>
      </c>
      <c r="E9" s="815" t="s">
        <v>11</v>
      </c>
      <c r="F9" s="1040">
        <f>NSG_Deliveries!M5/1000</f>
        <v>20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2" t="s">
        <v>639</v>
      </c>
      <c r="E10" s="446">
        <f>NSG_Deliveries!N5/1000</f>
        <v>0</v>
      </c>
      <c r="F10" s="816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649</v>
      </c>
      <c r="E11" s="817">
        <f>NSG_Supplies!Q7/1000</f>
        <v>20</v>
      </c>
      <c r="F11" s="818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8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52.905000000000001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9.7919999999999998</v>
      </c>
      <c r="D15" s="238" t="s">
        <v>336</v>
      </c>
      <c r="E15" s="772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1"/>
      <c r="D16" s="828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3" t="s">
        <v>354</v>
      </c>
      <c r="E26" s="777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43.113</v>
      </c>
      <c r="C27" s="148"/>
      <c r="D27" s="241" t="s">
        <v>355</v>
      </c>
      <c r="E27" s="221">
        <f>SUM(E18:E26)-SUM(F18:F26)</f>
        <v>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0" customWidth="1"/>
  </cols>
  <sheetData>
    <row r="1" spans="2:7">
      <c r="E1" s="800" t="s">
        <v>11</v>
      </c>
    </row>
    <row r="2" spans="2:7">
      <c r="B2" s="929" t="s">
        <v>11</v>
      </c>
      <c r="C2" s="929" t="s">
        <v>11</v>
      </c>
      <c r="D2" s="929" t="s">
        <v>172</v>
      </c>
      <c r="E2" s="929" t="s">
        <v>11</v>
      </c>
      <c r="F2" s="929" t="s">
        <v>172</v>
      </c>
      <c r="G2" s="929" t="s">
        <v>11</v>
      </c>
    </row>
    <row r="4" spans="2:7">
      <c r="B4" s="930" t="s">
        <v>172</v>
      </c>
    </row>
    <row r="6" spans="2:7">
      <c r="B6" s="929" t="s">
        <v>11</v>
      </c>
    </row>
    <row r="7" spans="2:7">
      <c r="B7" s="929"/>
    </row>
    <row r="8" spans="2:7">
      <c r="B8" s="929" t="s">
        <v>11</v>
      </c>
    </row>
    <row r="9" spans="2:7">
      <c r="B9" s="929"/>
    </row>
    <row r="10" spans="2:7">
      <c r="B10" s="929" t="s">
        <v>11</v>
      </c>
    </row>
    <row r="11" spans="2:7">
      <c r="B11" s="929" t="s">
        <v>11</v>
      </c>
    </row>
    <row r="12" spans="2:7">
      <c r="B12" s="929" t="s">
        <v>11</v>
      </c>
    </row>
    <row r="13" spans="2:7">
      <c r="B13" s="929"/>
    </row>
    <row r="14" spans="2:7">
      <c r="B14" s="929" t="s">
        <v>11</v>
      </c>
    </row>
    <row r="15" spans="2:7">
      <c r="B15" s="929"/>
    </row>
    <row r="16" spans="2:7">
      <c r="B16" s="929" t="s">
        <v>11</v>
      </c>
    </row>
    <row r="17" spans="2:5">
      <c r="B17" s="929"/>
    </row>
    <row r="18" spans="2:5">
      <c r="B18" s="929" t="s">
        <v>11</v>
      </c>
    </row>
    <row r="19" spans="2:5">
      <c r="B19" s="929"/>
    </row>
    <row r="20" spans="2:5">
      <c r="B20" s="929" t="s">
        <v>11</v>
      </c>
    </row>
    <row r="21" spans="2:5">
      <c r="B21" s="929"/>
    </row>
    <row r="22" spans="2:5">
      <c r="B22" s="929" t="s">
        <v>11</v>
      </c>
    </row>
    <row r="24" spans="2:5">
      <c r="B24" s="929" t="s">
        <v>11</v>
      </c>
    </row>
    <row r="25" spans="2:5">
      <c r="E25" s="929" t="s">
        <v>11</v>
      </c>
    </row>
    <row r="27" spans="2:5">
      <c r="B27" s="929" t="s">
        <v>11</v>
      </c>
    </row>
    <row r="29" spans="2:5">
      <c r="B29" s="929" t="s">
        <v>11</v>
      </c>
    </row>
    <row r="30" spans="2:5">
      <c r="B30" s="929"/>
    </row>
    <row r="31" spans="2:5">
      <c r="B31" s="929" t="s">
        <v>11</v>
      </c>
    </row>
    <row r="32" spans="2:5">
      <c r="B32" s="929"/>
    </row>
    <row r="33" spans="2:2">
      <c r="B33" s="929" t="s">
        <v>11</v>
      </c>
    </row>
    <row r="34" spans="2:2">
      <c r="B34" s="929"/>
    </row>
    <row r="35" spans="2:2">
      <c r="B35" s="929" t="s">
        <v>11</v>
      </c>
    </row>
    <row r="36" spans="2:2">
      <c r="B36" s="929"/>
    </row>
    <row r="37" spans="2:2">
      <c r="B37" s="929" t="s">
        <v>11</v>
      </c>
    </row>
    <row r="38" spans="2:2">
      <c r="B38" s="929"/>
    </row>
    <row r="39" spans="2:2">
      <c r="B39" s="929" t="s">
        <v>11</v>
      </c>
    </row>
    <row r="40" spans="2:2">
      <c r="B40" s="929"/>
    </row>
    <row r="41" spans="2:2">
      <c r="B41" s="929" t="s">
        <v>11</v>
      </c>
    </row>
    <row r="42" spans="2:2">
      <c r="B42" s="929"/>
    </row>
    <row r="43" spans="2:2">
      <c r="B43" s="929" t="s">
        <v>11</v>
      </c>
    </row>
    <row r="44" spans="2:2">
      <c r="B44" s="929"/>
    </row>
    <row r="45" spans="2:2">
      <c r="B45" s="929" t="s">
        <v>11</v>
      </c>
    </row>
    <row r="47" spans="2:2">
      <c r="B47" s="929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8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37007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37006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131129</v>
      </c>
      <c r="O6" s="204">
        <v>0</v>
      </c>
      <c r="P6" s="204">
        <v>44472029</v>
      </c>
      <c r="Q6" s="204">
        <v>15045098</v>
      </c>
      <c r="R6" s="204">
        <v>29426931</v>
      </c>
      <c r="S6" s="204">
        <v>0</v>
      </c>
    </row>
    <row r="7" spans="1:19">
      <c r="A7" s="4">
        <f>B1</f>
        <v>37007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137405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44609434</v>
      </c>
      <c r="Q7">
        <f>IF(O7&gt;0,Q6+O7,Q6)</f>
        <v>15045098</v>
      </c>
      <c r="R7">
        <f>IF(P7&gt;Q7,P7-Q7,0)</f>
        <v>29564336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A5" sqref="A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8" t="s">
        <v>736</v>
      </c>
      <c r="BE1" t="s">
        <v>737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733</v>
      </c>
      <c r="BC2" t="s">
        <v>734</v>
      </c>
      <c r="BE2" s="1094">
        <v>1</v>
      </c>
      <c r="BF2" s="198" t="s">
        <v>734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5" t="s">
        <v>715</v>
      </c>
      <c r="AP3" s="1074"/>
      <c r="AQ3" s="795" t="s">
        <v>716</v>
      </c>
      <c r="AR3" s="1074"/>
      <c r="AS3" s="795" t="s">
        <v>717</v>
      </c>
      <c r="AT3" s="1074"/>
      <c r="AU3" s="433" t="s">
        <v>184</v>
      </c>
      <c r="AV3" s="433" t="s">
        <v>184</v>
      </c>
      <c r="AW3" s="433"/>
      <c r="AX3" s="433" t="s">
        <v>184</v>
      </c>
      <c r="AZ3" s="122" t="s">
        <v>731</v>
      </c>
      <c r="BA3" s="122"/>
      <c r="BB3" s="162"/>
      <c r="BC3" s="122" t="s">
        <v>43</v>
      </c>
      <c r="BE3" s="1094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751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784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3" t="s">
        <v>713</v>
      </c>
      <c r="AP4" s="3" t="s">
        <v>714</v>
      </c>
      <c r="AQ4" s="3" t="s">
        <v>713</v>
      </c>
      <c r="AR4" s="3" t="s">
        <v>714</v>
      </c>
      <c r="AS4" s="3" t="s">
        <v>713</v>
      </c>
      <c r="AT4" s="3" t="s">
        <v>714</v>
      </c>
      <c r="AU4" s="433" t="s">
        <v>203</v>
      </c>
      <c r="AV4" s="433" t="s">
        <v>749</v>
      </c>
      <c r="AW4" s="433" t="s">
        <v>212</v>
      </c>
      <c r="AX4" s="433" t="s">
        <v>712</v>
      </c>
      <c r="AY4" s="1"/>
      <c r="AZ4" s="1095" t="s">
        <v>42</v>
      </c>
      <c r="BA4" s="1096" t="s">
        <v>43</v>
      </c>
      <c r="BB4" s="1097" t="s">
        <v>730</v>
      </c>
      <c r="BC4" s="1097" t="s">
        <v>735</v>
      </c>
      <c r="BE4" s="198" t="s">
        <v>405</v>
      </c>
      <c r="BF4" s="198" t="s">
        <v>732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37007</v>
      </c>
      <c r="B5" s="1">
        <f>(Weather_Input!B5+Weather_Input!C5)/2</f>
        <v>63.5</v>
      </c>
      <c r="C5" s="912">
        <v>268000</v>
      </c>
      <c r="D5" s="913">
        <v>86570</v>
      </c>
      <c r="E5" s="913">
        <v>0</v>
      </c>
      <c r="F5" s="913">
        <v>16144</v>
      </c>
      <c r="G5" s="913">
        <v>1060</v>
      </c>
      <c r="H5" s="913">
        <v>36344</v>
      </c>
      <c r="I5" s="913">
        <v>130756</v>
      </c>
      <c r="J5" s="913">
        <v>2460</v>
      </c>
      <c r="K5" s="913">
        <v>0</v>
      </c>
      <c r="L5" s="913">
        <v>111</v>
      </c>
      <c r="M5" s="913">
        <v>3295</v>
      </c>
      <c r="N5" s="913">
        <v>435</v>
      </c>
      <c r="O5" s="913">
        <v>89</v>
      </c>
      <c r="P5" s="913">
        <v>811</v>
      </c>
      <c r="Q5" s="913">
        <v>194</v>
      </c>
      <c r="R5" s="913">
        <v>3317</v>
      </c>
      <c r="S5" s="918">
        <v>4185</v>
      </c>
      <c r="T5" s="1161">
        <v>0</v>
      </c>
      <c r="U5" s="912">
        <f>SUM(D5:S5)-T5</f>
        <v>285771</v>
      </c>
      <c r="V5" s="912">
        <v>142237</v>
      </c>
      <c r="W5" s="11">
        <v>0</v>
      </c>
      <c r="X5" s="11">
        <v>0</v>
      </c>
      <c r="Y5" s="11">
        <v>0</v>
      </c>
      <c r="Z5" s="11">
        <v>254904</v>
      </c>
      <c r="AA5" s="11">
        <v>8617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5490</v>
      </c>
      <c r="AK5" s="11">
        <v>9518</v>
      </c>
      <c r="AL5" s="11">
        <v>0</v>
      </c>
      <c r="AM5" s="1">
        <v>1025</v>
      </c>
      <c r="AN5" s="1"/>
      <c r="AO5" s="1">
        <v>34404</v>
      </c>
      <c r="AP5" s="1">
        <v>0</v>
      </c>
      <c r="AQ5" s="1">
        <v>56058</v>
      </c>
      <c r="AR5" s="1">
        <v>0</v>
      </c>
      <c r="AS5" s="1">
        <v>0</v>
      </c>
      <c r="AT5" s="1">
        <v>1254</v>
      </c>
      <c r="AU5" s="1">
        <v>169680</v>
      </c>
      <c r="AV5" s="1">
        <v>610</v>
      </c>
      <c r="AW5" s="627">
        <f>AU5*0.015</f>
        <v>2545.1999999999998</v>
      </c>
      <c r="AX5" s="1">
        <v>0</v>
      </c>
      <c r="AY5" s="1"/>
      <c r="AZ5" s="1">
        <v>1060</v>
      </c>
      <c r="BA5" s="1">
        <v>4110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37008</v>
      </c>
      <c r="B6" s="931">
        <f>(Weather_Input!B6+Weather_Input!C6)/2</f>
        <v>53</v>
      </c>
      <c r="C6" s="912">
        <v>330000</v>
      </c>
      <c r="D6" s="914" t="s">
        <v>11</v>
      </c>
      <c r="E6" s="915"/>
      <c r="F6" s="915"/>
      <c r="G6" s="915"/>
      <c r="H6" s="915"/>
      <c r="I6" s="915" t="s">
        <v>11</v>
      </c>
      <c r="J6" s="915"/>
      <c r="K6" s="915"/>
      <c r="L6" s="915" t="s">
        <v>11</v>
      </c>
      <c r="M6" s="915"/>
      <c r="N6" s="915"/>
      <c r="O6" s="915"/>
      <c r="P6" s="915"/>
      <c r="Q6" s="915"/>
      <c r="R6" s="915"/>
      <c r="S6" s="915"/>
      <c r="T6" s="915"/>
      <c r="U6" s="915"/>
      <c r="V6" s="915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37009</v>
      </c>
      <c r="B7" s="931">
        <f>(Weather_Input!B7+Weather_Input!C7)/2</f>
        <v>57</v>
      </c>
      <c r="C7" s="912">
        <v>280000</v>
      </c>
      <c r="D7" s="914" t="s">
        <v>11</v>
      </c>
      <c r="E7" s="915"/>
      <c r="F7" s="915"/>
      <c r="G7" s="915"/>
      <c r="H7" s="916" t="s">
        <v>77</v>
      </c>
      <c r="I7" s="915"/>
      <c r="J7" s="915"/>
      <c r="K7" s="915"/>
      <c r="L7" s="915"/>
      <c r="M7" s="915"/>
      <c r="N7" s="915"/>
      <c r="O7" s="915"/>
      <c r="P7" s="915"/>
      <c r="Q7" s="915"/>
      <c r="R7" s="915" t="s">
        <v>543</v>
      </c>
      <c r="S7" s="919">
        <v>0</v>
      </c>
      <c r="T7" s="919"/>
      <c r="U7" s="915"/>
      <c r="V7" s="91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37010</v>
      </c>
      <c r="B8" s="931">
        <f>(Weather_Input!B8+Weather_Input!C8)/2</f>
        <v>67</v>
      </c>
      <c r="C8" s="912">
        <v>235000</v>
      </c>
      <c r="D8" s="914" t="s">
        <v>11</v>
      </c>
      <c r="E8" s="915" t="s">
        <v>11</v>
      </c>
      <c r="F8" s="915"/>
      <c r="G8" s="915"/>
      <c r="H8" s="917" t="s">
        <v>78</v>
      </c>
      <c r="I8" s="915"/>
      <c r="J8" s="915"/>
      <c r="K8" s="915"/>
      <c r="L8" s="915"/>
      <c r="M8" s="915"/>
      <c r="N8" s="915"/>
      <c r="O8" s="915"/>
      <c r="P8" s="915"/>
      <c r="Q8" s="915"/>
      <c r="R8" s="915" t="s">
        <v>544</v>
      </c>
      <c r="S8" s="919">
        <v>0</v>
      </c>
      <c r="T8" s="919"/>
      <c r="U8" s="915"/>
      <c r="V8" s="915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37011</v>
      </c>
      <c r="B9" s="931">
        <f>(Weather_Input!B9+Weather_Input!C9)/2</f>
        <v>69</v>
      </c>
      <c r="C9" s="912">
        <v>250000</v>
      </c>
      <c r="D9" s="914" t="s">
        <v>11</v>
      </c>
      <c r="E9" s="915"/>
      <c r="F9" s="915"/>
      <c r="G9" s="915"/>
      <c r="H9" s="915" t="s">
        <v>79</v>
      </c>
      <c r="I9" s="915"/>
      <c r="J9" s="915"/>
      <c r="K9" s="915"/>
      <c r="L9" s="915"/>
      <c r="M9" s="915"/>
      <c r="N9" s="915"/>
      <c r="O9" s="915"/>
      <c r="P9" s="915"/>
      <c r="Q9" s="915"/>
      <c r="R9" s="915" t="s">
        <v>545</v>
      </c>
      <c r="S9" s="919">
        <v>0</v>
      </c>
      <c r="T9" s="919"/>
      <c r="U9" s="915"/>
      <c r="V9" s="915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37012</v>
      </c>
      <c r="B10" s="931">
        <f>(Weather_Input!B10+Weather_Input!C10)/2</f>
        <v>69</v>
      </c>
      <c r="C10" s="912">
        <v>250000</v>
      </c>
      <c r="D10" s="914" t="s">
        <v>11</v>
      </c>
      <c r="E10" s="915" t="s">
        <v>11</v>
      </c>
      <c r="F10" s="915"/>
      <c r="G10" s="915"/>
      <c r="H10" s="915" t="s">
        <v>80</v>
      </c>
      <c r="I10" s="915"/>
      <c r="J10" s="915"/>
      <c r="K10" s="915"/>
      <c r="L10" s="915"/>
      <c r="M10" s="915"/>
      <c r="N10" s="915"/>
      <c r="O10" s="915"/>
      <c r="P10" s="915"/>
      <c r="Q10" s="915"/>
      <c r="R10" s="915" t="s">
        <v>548</v>
      </c>
      <c r="S10" s="919">
        <v>0</v>
      </c>
      <c r="T10" s="919"/>
      <c r="U10" s="915"/>
      <c r="V10" s="915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2" t="s">
        <v>11</v>
      </c>
      <c r="T16" s="83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7"/>
      <c r="T29" s="797"/>
    </row>
    <row r="30" spans="3:92">
      <c r="S30" s="797"/>
      <c r="T30" s="797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709</v>
      </c>
      <c r="L2" t="s">
        <v>709</v>
      </c>
      <c r="M2" t="s">
        <v>709</v>
      </c>
      <c r="N2" t="s">
        <v>709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643</v>
      </c>
      <c r="G3" s="156" t="s">
        <v>82</v>
      </c>
      <c r="H3" s="3" t="s">
        <v>15</v>
      </c>
      <c r="I3" s="156" t="s">
        <v>83</v>
      </c>
      <c r="K3" t="s">
        <v>710</v>
      </c>
      <c r="L3" t="s">
        <v>710</v>
      </c>
      <c r="M3" t="s">
        <v>710</v>
      </c>
      <c r="N3" t="s">
        <v>710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707</v>
      </c>
      <c r="L4" s="1" t="s">
        <v>708</v>
      </c>
      <c r="M4" s="1" t="s">
        <v>707</v>
      </c>
      <c r="N4" s="1" t="s">
        <v>708</v>
      </c>
    </row>
    <row r="5" spans="1:14">
      <c r="A5" s="12">
        <f>Weather_Input!A5</f>
        <v>37007</v>
      </c>
      <c r="B5" s="1">
        <f>(Weather_Input!B5+Weather_Input!C5)/2</f>
        <v>63.5</v>
      </c>
      <c r="C5" s="912">
        <v>43000</v>
      </c>
      <c r="D5" s="912">
        <v>0</v>
      </c>
      <c r="E5" s="912">
        <v>43113</v>
      </c>
      <c r="F5" s="912">
        <v>0</v>
      </c>
      <c r="G5" s="912">
        <v>0</v>
      </c>
      <c r="H5" s="920">
        <f>SUM(D5:G5)</f>
        <v>43113</v>
      </c>
      <c r="I5" s="1">
        <v>1010</v>
      </c>
      <c r="J5" s="1" t="s">
        <v>11</v>
      </c>
      <c r="K5" s="1">
        <v>9792</v>
      </c>
      <c r="L5" s="1">
        <v>0</v>
      </c>
      <c r="M5" s="1">
        <v>20000</v>
      </c>
      <c r="N5" s="1">
        <v>0</v>
      </c>
    </row>
    <row r="6" spans="1:14">
      <c r="A6" s="12">
        <f>A5+1</f>
        <v>37008</v>
      </c>
      <c r="B6" s="931">
        <f>(Weather_Input!B6+Weather_Input!C6)/2</f>
        <v>53</v>
      </c>
      <c r="C6" s="912">
        <v>56000</v>
      </c>
      <c r="D6" s="915" t="s">
        <v>11</v>
      </c>
      <c r="E6" s="915"/>
      <c r="F6" s="915"/>
      <c r="G6" s="915"/>
      <c r="H6" s="15"/>
      <c r="I6" s="1" t="s">
        <v>11</v>
      </c>
    </row>
    <row r="7" spans="1:14">
      <c r="A7" s="12">
        <f>A6+1</f>
        <v>37009</v>
      </c>
      <c r="B7" s="931">
        <f>(Weather_Input!B7+Weather_Input!C7)/2</f>
        <v>57</v>
      </c>
      <c r="C7" s="912">
        <v>53000</v>
      </c>
      <c r="D7" s="915" t="s">
        <v>11</v>
      </c>
      <c r="E7" s="915" t="s">
        <v>11</v>
      </c>
      <c r="F7" s="915"/>
      <c r="G7" s="915"/>
      <c r="H7" s="15"/>
    </row>
    <row r="8" spans="1:14">
      <c r="A8" s="12">
        <f>A7+1</f>
        <v>37010</v>
      </c>
      <c r="B8" s="931">
        <f>(Weather_Input!B8+Weather_Input!C8)/2</f>
        <v>67</v>
      </c>
      <c r="C8" s="912">
        <v>44000</v>
      </c>
      <c r="D8" s="915" t="s">
        <v>11</v>
      </c>
      <c r="E8" s="915"/>
      <c r="F8" s="915"/>
      <c r="G8" s="915"/>
      <c r="H8" s="15"/>
    </row>
    <row r="9" spans="1:14">
      <c r="A9" s="12">
        <f>A8+1</f>
        <v>37011</v>
      </c>
      <c r="B9" s="931">
        <f>(Weather_Input!B9+Weather_Input!C9)/2</f>
        <v>69</v>
      </c>
      <c r="C9" s="912">
        <v>46000</v>
      </c>
      <c r="D9" s="915" t="s">
        <v>11</v>
      </c>
      <c r="E9" s="915"/>
      <c r="F9" s="915"/>
      <c r="G9" s="915"/>
      <c r="H9" s="15"/>
    </row>
    <row r="10" spans="1:14">
      <c r="A10" s="12">
        <f>A9+1</f>
        <v>37012</v>
      </c>
      <c r="B10" s="931">
        <f>(Weather_Input!B10+Weather_Input!C10)/2</f>
        <v>69</v>
      </c>
      <c r="C10" s="912">
        <v>46000</v>
      </c>
      <c r="D10" s="915" t="s">
        <v>11</v>
      </c>
      <c r="E10" s="915"/>
      <c r="F10" s="915"/>
      <c r="G10" s="915"/>
      <c r="H10" s="15"/>
    </row>
    <row r="11" spans="1:14">
      <c r="A11" s="1" t="s">
        <v>172</v>
      </c>
      <c r="C11" s="1191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abSelected="1" zoomScale="75" workbookViewId="0">
      <selection activeCell="H10" sqref="H10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0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5" t="s">
        <v>642</v>
      </c>
      <c r="I4" s="3" t="s">
        <v>1</v>
      </c>
      <c r="J4" s="3" t="s">
        <v>762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5" t="s">
        <v>405</v>
      </c>
      <c r="I5" s="109" t="s">
        <v>728</v>
      </c>
      <c r="J5" s="54" t="s">
        <v>751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9" t="s">
        <v>775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6" t="s">
        <v>421</v>
      </c>
      <c r="I6" s="1075" t="s">
        <v>729</v>
      </c>
      <c r="J6" s="54" t="s">
        <v>761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746</v>
      </c>
      <c r="S6" s="54" t="s">
        <v>103</v>
      </c>
      <c r="T6" s="1076" t="s">
        <v>725</v>
      </c>
      <c r="U6" s="1075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3">
        <f>Weather_Input!A5</f>
        <v>37007</v>
      </c>
      <c r="B7" s="921">
        <v>0</v>
      </c>
      <c r="C7" s="922">
        <v>1160</v>
      </c>
      <c r="D7" s="625">
        <v>0</v>
      </c>
      <c r="E7" s="625">
        <v>0</v>
      </c>
      <c r="F7" s="921">
        <v>0</v>
      </c>
      <c r="G7" s="921">
        <v>34404</v>
      </c>
      <c r="H7" s="923">
        <v>0</v>
      </c>
      <c r="I7" s="624">
        <v>0</v>
      </c>
      <c r="J7" s="624">
        <v>0</v>
      </c>
      <c r="K7" s="625">
        <v>0</v>
      </c>
      <c r="L7" s="624">
        <v>0</v>
      </c>
      <c r="M7" s="625">
        <v>0</v>
      </c>
      <c r="N7" s="625">
        <v>0</v>
      </c>
      <c r="O7" s="626">
        <v>56058</v>
      </c>
      <c r="P7" s="625">
        <v>169680</v>
      </c>
      <c r="Q7" s="627">
        <f t="shared" ref="Q7:Q12" si="0">P7*0.015</f>
        <v>2545.1999999999998</v>
      </c>
      <c r="R7" s="625">
        <v>610</v>
      </c>
      <c r="S7" s="625">
        <v>0</v>
      </c>
      <c r="T7" s="625">
        <v>0</v>
      </c>
      <c r="U7" s="624">
        <v>40000</v>
      </c>
      <c r="V7" s="625">
        <v>0</v>
      </c>
      <c r="W7" s="625">
        <v>0</v>
      </c>
      <c r="X7" s="625">
        <v>0</v>
      </c>
      <c r="Y7" s="625">
        <v>0</v>
      </c>
      <c r="Z7" s="625">
        <v>0</v>
      </c>
      <c r="AA7" s="624">
        <v>0</v>
      </c>
      <c r="AB7" s="624">
        <v>0</v>
      </c>
      <c r="AC7" s="624">
        <v>0</v>
      </c>
      <c r="AD7" s="624">
        <v>0</v>
      </c>
      <c r="AE7" s="624">
        <v>0</v>
      </c>
      <c r="AF7" s="624">
        <v>0</v>
      </c>
      <c r="AG7" s="624">
        <v>0</v>
      </c>
      <c r="AH7" s="624">
        <v>0</v>
      </c>
      <c r="AI7" s="624">
        <v>0</v>
      </c>
      <c r="AJ7" s="833">
        <f>Weather_Input!A5</f>
        <v>37007</v>
      </c>
    </row>
    <row r="8" spans="1:89" s="1" customFormat="1" ht="13.2">
      <c r="A8" s="833">
        <f>A7+1</f>
        <v>37008</v>
      </c>
      <c r="B8" s="921">
        <v>0</v>
      </c>
      <c r="C8" s="922">
        <v>1160</v>
      </c>
      <c r="D8" s="625">
        <v>0</v>
      </c>
      <c r="E8" s="625">
        <v>0</v>
      </c>
      <c r="F8" s="921">
        <v>0</v>
      </c>
      <c r="G8" s="921">
        <v>0</v>
      </c>
      <c r="H8" s="923">
        <v>24089</v>
      </c>
      <c r="I8" s="624">
        <v>0</v>
      </c>
      <c r="J8" s="624">
        <v>0</v>
      </c>
      <c r="K8" s="625">
        <v>0</v>
      </c>
      <c r="L8" s="624">
        <v>0</v>
      </c>
      <c r="M8" s="625">
        <v>0</v>
      </c>
      <c r="N8" s="625">
        <v>0</v>
      </c>
      <c r="O8" s="626">
        <v>39190</v>
      </c>
      <c r="P8" s="625">
        <v>160000</v>
      </c>
      <c r="Q8" s="627">
        <f t="shared" si="0"/>
        <v>2400</v>
      </c>
      <c r="R8" s="625">
        <v>650</v>
      </c>
      <c r="S8" s="625">
        <v>0</v>
      </c>
      <c r="T8" s="625">
        <v>0</v>
      </c>
      <c r="U8" s="624">
        <v>40000</v>
      </c>
      <c r="V8" s="625">
        <v>0</v>
      </c>
      <c r="W8" s="625">
        <v>0</v>
      </c>
      <c r="X8" s="625">
        <v>0</v>
      </c>
      <c r="Y8" s="625">
        <v>0</v>
      </c>
      <c r="Z8" s="625">
        <v>0</v>
      </c>
      <c r="AA8" s="624">
        <v>0</v>
      </c>
      <c r="AB8" s="624">
        <v>0</v>
      </c>
      <c r="AC8" s="624">
        <v>0</v>
      </c>
      <c r="AD8" s="624">
        <v>0</v>
      </c>
      <c r="AE8" s="624">
        <v>0</v>
      </c>
      <c r="AF8" s="624">
        <v>0</v>
      </c>
      <c r="AG8" s="624">
        <v>0</v>
      </c>
      <c r="AH8" s="624">
        <v>0</v>
      </c>
      <c r="AI8" s="624">
        <v>0</v>
      </c>
      <c r="AJ8" s="833">
        <f>AJ7+1</f>
        <v>37008</v>
      </c>
      <c r="AK8" s="624"/>
      <c r="AL8" s="624"/>
      <c r="AM8" s="624"/>
      <c r="AO8" s="624"/>
      <c r="AP8" s="624"/>
      <c r="AQ8" s="624"/>
      <c r="AR8" s="624"/>
      <c r="AS8" s="624"/>
      <c r="AT8" s="624"/>
      <c r="AU8" s="624"/>
      <c r="AV8" s="624"/>
      <c r="AW8" s="624"/>
      <c r="AX8" s="624"/>
      <c r="AY8" s="624"/>
      <c r="AZ8" s="624"/>
      <c r="BA8" s="624"/>
      <c r="BB8" s="624"/>
      <c r="BC8" s="624"/>
    </row>
    <row r="9" spans="1:89" s="1" customFormat="1" ht="13.2">
      <c r="A9" s="833">
        <f>A8+1</f>
        <v>37009</v>
      </c>
      <c r="B9" s="921">
        <v>0</v>
      </c>
      <c r="C9" s="922">
        <v>1160</v>
      </c>
      <c r="D9" s="625">
        <v>4620</v>
      </c>
      <c r="E9" s="625">
        <v>0</v>
      </c>
      <c r="F9" s="921">
        <v>0</v>
      </c>
      <c r="G9" s="921">
        <v>0</v>
      </c>
      <c r="H9" s="923">
        <v>18995</v>
      </c>
      <c r="I9" s="624">
        <v>0</v>
      </c>
      <c r="J9" s="624">
        <v>0</v>
      </c>
      <c r="K9" s="625">
        <v>0</v>
      </c>
      <c r="L9" s="624">
        <v>0</v>
      </c>
      <c r="M9" s="625">
        <v>0</v>
      </c>
      <c r="N9" s="625">
        <v>0</v>
      </c>
      <c r="O9" s="626">
        <v>0</v>
      </c>
      <c r="P9" s="625">
        <v>220000</v>
      </c>
      <c r="Q9" s="627">
        <f t="shared" si="0"/>
        <v>3300</v>
      </c>
      <c r="R9" s="625">
        <v>650</v>
      </c>
      <c r="S9" s="625">
        <v>0</v>
      </c>
      <c r="T9" s="625">
        <v>0</v>
      </c>
      <c r="U9" s="624">
        <v>40000</v>
      </c>
      <c r="V9" s="625">
        <v>0</v>
      </c>
      <c r="W9" s="625">
        <v>0</v>
      </c>
      <c r="X9" s="625">
        <v>0</v>
      </c>
      <c r="Y9" s="625">
        <v>0</v>
      </c>
      <c r="Z9" s="625">
        <v>0</v>
      </c>
      <c r="AA9" s="624">
        <v>0</v>
      </c>
      <c r="AB9" s="624">
        <v>0</v>
      </c>
      <c r="AC9" s="624">
        <v>0</v>
      </c>
      <c r="AD9" s="624">
        <v>0</v>
      </c>
      <c r="AE9" s="624">
        <v>0</v>
      </c>
      <c r="AF9" s="624">
        <v>0</v>
      </c>
      <c r="AG9" s="624">
        <v>0</v>
      </c>
      <c r="AH9" s="624">
        <v>0</v>
      </c>
      <c r="AI9" s="624">
        <v>0</v>
      </c>
      <c r="AJ9" s="833">
        <f>AJ8+1</f>
        <v>37009</v>
      </c>
      <c r="AN9" s="624"/>
    </row>
    <row r="10" spans="1:89" s="1" customFormat="1" ht="13.2">
      <c r="A10" s="833">
        <f>A9+1</f>
        <v>37010</v>
      </c>
      <c r="B10" s="921">
        <v>0</v>
      </c>
      <c r="C10" s="922">
        <v>1160</v>
      </c>
      <c r="D10" s="625">
        <v>4620</v>
      </c>
      <c r="E10" s="625">
        <v>0</v>
      </c>
      <c r="F10" s="921">
        <v>0</v>
      </c>
      <c r="G10" s="921">
        <v>0</v>
      </c>
      <c r="H10" s="923">
        <v>0</v>
      </c>
      <c r="I10" s="624">
        <v>0</v>
      </c>
      <c r="J10" s="624">
        <v>0</v>
      </c>
      <c r="K10" s="625">
        <v>0</v>
      </c>
      <c r="L10" s="624">
        <v>0</v>
      </c>
      <c r="M10" s="625">
        <v>0</v>
      </c>
      <c r="N10" s="625">
        <v>0</v>
      </c>
      <c r="O10" s="626">
        <v>0</v>
      </c>
      <c r="P10" s="625">
        <v>240000</v>
      </c>
      <c r="Q10" s="627">
        <f t="shared" si="0"/>
        <v>3600</v>
      </c>
      <c r="R10" s="625">
        <v>650</v>
      </c>
      <c r="S10" s="625">
        <v>0</v>
      </c>
      <c r="T10" s="625">
        <v>0</v>
      </c>
      <c r="U10" s="624">
        <v>40000</v>
      </c>
      <c r="V10" s="625">
        <v>0</v>
      </c>
      <c r="W10" s="625">
        <v>0</v>
      </c>
      <c r="X10" s="625">
        <v>0</v>
      </c>
      <c r="Y10" s="625">
        <v>0</v>
      </c>
      <c r="Z10" s="625">
        <v>0</v>
      </c>
      <c r="AA10" s="624">
        <v>0</v>
      </c>
      <c r="AB10" s="624">
        <v>0</v>
      </c>
      <c r="AC10" s="624">
        <v>0</v>
      </c>
      <c r="AD10" s="624">
        <v>0</v>
      </c>
      <c r="AE10" s="624">
        <v>0</v>
      </c>
      <c r="AF10" s="624">
        <v>0</v>
      </c>
      <c r="AG10" s="624">
        <v>0</v>
      </c>
      <c r="AH10" s="624">
        <v>0</v>
      </c>
      <c r="AI10" s="624">
        <v>0</v>
      </c>
      <c r="AJ10" s="833">
        <f>AJ9+1</f>
        <v>37010</v>
      </c>
    </row>
    <row r="11" spans="1:89" s="1" customFormat="1" ht="13.2">
      <c r="A11" s="833">
        <f>A10+1</f>
        <v>37011</v>
      </c>
      <c r="B11" s="921">
        <v>0</v>
      </c>
      <c r="C11" s="922">
        <v>1160</v>
      </c>
      <c r="D11" s="625">
        <v>4620</v>
      </c>
      <c r="E11" s="625">
        <v>0</v>
      </c>
      <c r="F11" s="921">
        <v>0</v>
      </c>
      <c r="G11" s="921">
        <v>0</v>
      </c>
      <c r="H11" s="923">
        <v>0</v>
      </c>
      <c r="I11" s="624">
        <v>0</v>
      </c>
      <c r="J11" s="624">
        <v>0</v>
      </c>
      <c r="K11" s="625">
        <v>0</v>
      </c>
      <c r="L11" s="624">
        <v>0</v>
      </c>
      <c r="M11" s="625">
        <v>0</v>
      </c>
      <c r="N11" s="625">
        <v>0</v>
      </c>
      <c r="O11" s="626">
        <v>0</v>
      </c>
      <c r="P11" s="625">
        <v>240000</v>
      </c>
      <c r="Q11" s="627">
        <f t="shared" si="0"/>
        <v>3600</v>
      </c>
      <c r="R11" s="625">
        <v>650</v>
      </c>
      <c r="S11" s="625">
        <v>0</v>
      </c>
      <c r="T11" s="625">
        <v>0</v>
      </c>
      <c r="U11" s="624">
        <v>40000</v>
      </c>
      <c r="V11" s="625">
        <v>0</v>
      </c>
      <c r="W11" s="625">
        <v>0</v>
      </c>
      <c r="X11" s="625">
        <v>0</v>
      </c>
      <c r="Y11" s="625">
        <v>0</v>
      </c>
      <c r="Z11" s="625">
        <v>0</v>
      </c>
      <c r="AA11" s="624">
        <v>0</v>
      </c>
      <c r="AB11" s="624">
        <v>0</v>
      </c>
      <c r="AC11" s="624">
        <v>0</v>
      </c>
      <c r="AD11" s="624">
        <v>0</v>
      </c>
      <c r="AE11" s="624">
        <v>0</v>
      </c>
      <c r="AF11" s="624">
        <v>0</v>
      </c>
      <c r="AG11" s="624">
        <v>0</v>
      </c>
      <c r="AH11" s="624">
        <v>0</v>
      </c>
      <c r="AI11" s="624">
        <v>0</v>
      </c>
      <c r="AJ11" s="833">
        <f>AJ10+1</f>
        <v>37011</v>
      </c>
    </row>
    <row r="12" spans="1:89" s="1" customFormat="1" ht="13.2">
      <c r="A12" s="833">
        <f>A11+1</f>
        <v>37012</v>
      </c>
      <c r="B12" s="921">
        <v>0</v>
      </c>
      <c r="C12" s="922">
        <v>1160</v>
      </c>
      <c r="D12" s="625">
        <v>0</v>
      </c>
      <c r="E12" s="625">
        <v>0</v>
      </c>
      <c r="F12" s="921">
        <v>0</v>
      </c>
      <c r="G12" s="921">
        <v>0</v>
      </c>
      <c r="H12" s="923">
        <v>0</v>
      </c>
      <c r="I12" s="624">
        <v>0</v>
      </c>
      <c r="J12" s="624">
        <v>0</v>
      </c>
      <c r="K12" s="625">
        <v>0</v>
      </c>
      <c r="L12" s="624">
        <v>0</v>
      </c>
      <c r="M12" s="625">
        <v>0</v>
      </c>
      <c r="N12" s="625">
        <v>0</v>
      </c>
      <c r="O12" s="626">
        <v>0</v>
      </c>
      <c r="P12" s="625">
        <v>160000</v>
      </c>
      <c r="Q12" s="627">
        <f t="shared" si="0"/>
        <v>2400</v>
      </c>
      <c r="R12" s="625">
        <v>650</v>
      </c>
      <c r="S12" s="625">
        <v>0</v>
      </c>
      <c r="T12" s="625">
        <v>0</v>
      </c>
      <c r="U12" s="624">
        <v>40000</v>
      </c>
      <c r="V12" s="625">
        <v>0</v>
      </c>
      <c r="W12" s="625">
        <v>0</v>
      </c>
      <c r="X12" s="625">
        <v>0</v>
      </c>
      <c r="Y12" s="625">
        <v>0</v>
      </c>
      <c r="Z12" s="625">
        <v>0</v>
      </c>
      <c r="AA12" s="624">
        <v>0</v>
      </c>
      <c r="AB12" s="624">
        <v>0</v>
      </c>
      <c r="AC12" s="624">
        <v>0</v>
      </c>
      <c r="AD12" s="624">
        <v>0</v>
      </c>
      <c r="AE12" s="624">
        <v>0</v>
      </c>
      <c r="AF12" s="624">
        <v>0</v>
      </c>
      <c r="AG12" s="624">
        <v>0</v>
      </c>
      <c r="AH12" s="624">
        <v>0</v>
      </c>
      <c r="AI12" s="624">
        <v>0</v>
      </c>
      <c r="AJ12" s="833">
        <f>AJ11+1</f>
        <v>37012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4"/>
      <c r="M13" s="1"/>
      <c r="N13" s="625" t="s">
        <v>11</v>
      </c>
      <c r="O13" s="1"/>
      <c r="P13" s="1"/>
      <c r="Q13" s="1"/>
      <c r="R13" s="1"/>
      <c r="S13" s="1"/>
      <c r="T13" s="1"/>
      <c r="U13" s="624" t="s">
        <v>11</v>
      </c>
      <c r="V13" s="1"/>
      <c r="W13" s="1"/>
      <c r="X13" s="1"/>
      <c r="Y13" s="1"/>
      <c r="Z13" s="1" t="s">
        <v>11</v>
      </c>
      <c r="AA13" s="1"/>
      <c r="AB13" s="624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5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5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R1" zoomScale="75" workbookViewId="0">
      <selection activeCell="AB16" sqref="AB16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6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5" t="s">
        <v>641</v>
      </c>
      <c r="V4" s="3" t="s">
        <v>773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5" t="s">
        <v>405</v>
      </c>
      <c r="U5" s="109" t="s">
        <v>728</v>
      </c>
      <c r="V5" s="3" t="s">
        <v>771</v>
      </c>
      <c r="W5" s="3"/>
      <c r="X5" s="59" t="s">
        <v>751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702</v>
      </c>
      <c r="M6" s="57" t="s">
        <v>60</v>
      </c>
      <c r="N6" s="54" t="s">
        <v>11</v>
      </c>
      <c r="O6" s="54" t="s">
        <v>11</v>
      </c>
      <c r="P6" s="54" t="s">
        <v>11</v>
      </c>
      <c r="Q6" s="1138" t="s">
        <v>6</v>
      </c>
      <c r="R6" s="1076" t="s">
        <v>90</v>
      </c>
      <c r="S6" s="69" t="s">
        <v>11</v>
      </c>
      <c r="T6" s="806" t="s">
        <v>421</v>
      </c>
      <c r="U6" s="1076" t="s">
        <v>729</v>
      </c>
      <c r="V6" s="54" t="s">
        <v>772</v>
      </c>
      <c r="W6" s="54" t="s">
        <v>11</v>
      </c>
      <c r="X6" s="1126" t="s">
        <v>758</v>
      </c>
      <c r="Y6" s="69" t="s">
        <v>751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3">
        <f>Weather_Input!A5</f>
        <v>37007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921">
        <v>0</v>
      </c>
      <c r="H7" s="625">
        <v>1254</v>
      </c>
      <c r="I7" s="625">
        <v>15008</v>
      </c>
      <c r="J7" s="625">
        <v>2460</v>
      </c>
      <c r="K7" s="924">
        <v>0</v>
      </c>
      <c r="L7" s="626">
        <v>0</v>
      </c>
      <c r="M7" s="925">
        <v>0</v>
      </c>
      <c r="N7" s="625">
        <v>0</v>
      </c>
      <c r="O7" s="625">
        <v>0</v>
      </c>
      <c r="P7" s="625">
        <v>0</v>
      </c>
      <c r="Q7" s="625">
        <v>0</v>
      </c>
      <c r="R7" s="625">
        <v>0</v>
      </c>
      <c r="S7" s="924">
        <v>0</v>
      </c>
      <c r="T7" s="926">
        <v>7048</v>
      </c>
      <c r="U7" s="625">
        <v>0</v>
      </c>
      <c r="V7" s="626">
        <v>225760</v>
      </c>
      <c r="W7" s="626">
        <v>0</v>
      </c>
      <c r="X7" s="624">
        <v>5000</v>
      </c>
      <c r="Y7" s="924">
        <v>137405</v>
      </c>
      <c r="Z7" s="626">
        <v>41160</v>
      </c>
      <c r="AA7" s="1">
        <v>0</v>
      </c>
      <c r="AB7" s="624">
        <v>258970</v>
      </c>
      <c r="AC7" s="624">
        <v>124588</v>
      </c>
      <c r="AD7" s="624">
        <v>0</v>
      </c>
      <c r="AE7" s="924">
        <v>0</v>
      </c>
      <c r="AF7" s="51">
        <f>Weather_Input!A5</f>
        <v>37007</v>
      </c>
      <c r="AI7" s="624"/>
      <c r="AJ7" s="624"/>
      <c r="AK7" s="624"/>
    </row>
    <row r="8" spans="1:37">
      <c r="A8" s="833">
        <f>A7+1</f>
        <v>37008</v>
      </c>
      <c r="B8" s="627">
        <v>0</v>
      </c>
      <c r="C8" s="628">
        <v>0</v>
      </c>
      <c r="D8" s="627">
        <v>0</v>
      </c>
      <c r="E8" s="627">
        <v>0</v>
      </c>
      <c r="F8" s="627">
        <v>0</v>
      </c>
      <c r="G8" s="921">
        <v>0</v>
      </c>
      <c r="H8" s="625">
        <v>1000</v>
      </c>
      <c r="I8" s="625">
        <v>20000</v>
      </c>
      <c r="J8" s="625">
        <v>0</v>
      </c>
      <c r="K8" s="924">
        <v>0</v>
      </c>
      <c r="L8" s="626">
        <v>0</v>
      </c>
      <c r="M8" s="925">
        <v>0</v>
      </c>
      <c r="N8" s="625">
        <v>0</v>
      </c>
      <c r="O8" s="625">
        <v>0</v>
      </c>
      <c r="P8" s="625">
        <v>0</v>
      </c>
      <c r="Q8" s="625">
        <v>0</v>
      </c>
      <c r="R8" s="625">
        <v>0</v>
      </c>
      <c r="S8" s="924">
        <v>0</v>
      </c>
      <c r="T8" s="926">
        <v>0</v>
      </c>
      <c r="U8" s="625">
        <v>0</v>
      </c>
      <c r="V8" s="626">
        <v>225760</v>
      </c>
      <c r="W8" s="626">
        <v>0</v>
      </c>
      <c r="X8" s="624">
        <v>0</v>
      </c>
      <c r="Y8" s="924">
        <v>152629</v>
      </c>
      <c r="Z8" s="626">
        <v>41160</v>
      </c>
      <c r="AA8" s="1">
        <v>0</v>
      </c>
      <c r="AB8" s="624">
        <v>261981</v>
      </c>
      <c r="AC8" s="624">
        <v>112578</v>
      </c>
      <c r="AD8" s="624">
        <v>0</v>
      </c>
      <c r="AE8" s="924">
        <v>0</v>
      </c>
      <c r="AF8" s="833">
        <f>AF7+1</f>
        <v>37008</v>
      </c>
      <c r="AI8" s="624"/>
      <c r="AJ8" s="624"/>
      <c r="AK8" s="624"/>
    </row>
    <row r="9" spans="1:37" s="624" customFormat="1">
      <c r="A9" s="833">
        <f>A8+1</f>
        <v>37009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921">
        <v>0</v>
      </c>
      <c r="H9" s="625">
        <v>1000</v>
      </c>
      <c r="I9" s="625">
        <v>10000</v>
      </c>
      <c r="J9" s="625">
        <v>0</v>
      </c>
      <c r="K9" s="924">
        <v>0</v>
      </c>
      <c r="L9" s="626">
        <v>0</v>
      </c>
      <c r="M9" s="925">
        <v>0</v>
      </c>
      <c r="N9" s="625">
        <v>0</v>
      </c>
      <c r="O9" s="625">
        <v>0</v>
      </c>
      <c r="P9" s="625">
        <v>0</v>
      </c>
      <c r="Q9" s="625">
        <v>0</v>
      </c>
      <c r="R9" s="625">
        <v>0</v>
      </c>
      <c r="S9" s="924">
        <v>0</v>
      </c>
      <c r="T9" s="926">
        <v>0</v>
      </c>
      <c r="U9" s="625">
        <v>0</v>
      </c>
      <c r="V9" s="626">
        <v>225760</v>
      </c>
      <c r="W9" s="626">
        <v>0</v>
      </c>
      <c r="X9" s="624">
        <v>0</v>
      </c>
      <c r="Y9" s="924">
        <v>152629</v>
      </c>
      <c r="Z9" s="626">
        <v>41160</v>
      </c>
      <c r="AA9" s="1">
        <v>4620</v>
      </c>
      <c r="AB9" s="624">
        <v>261981</v>
      </c>
      <c r="AC9" s="624">
        <v>112578</v>
      </c>
      <c r="AD9" s="624">
        <v>0</v>
      </c>
      <c r="AE9" s="924">
        <v>0</v>
      </c>
      <c r="AF9" s="833">
        <f>AF8+1</f>
        <v>37009</v>
      </c>
    </row>
    <row r="10" spans="1:37">
      <c r="A10" s="833">
        <f>A9+1</f>
        <v>37010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921">
        <v>0</v>
      </c>
      <c r="H10" s="625">
        <v>1000</v>
      </c>
      <c r="I10" s="625">
        <v>10000</v>
      </c>
      <c r="J10" s="625">
        <v>0</v>
      </c>
      <c r="K10" s="924">
        <v>0</v>
      </c>
      <c r="L10" s="626">
        <v>0</v>
      </c>
      <c r="M10" s="925">
        <v>0</v>
      </c>
      <c r="N10" s="625">
        <v>0</v>
      </c>
      <c r="O10" s="625">
        <v>0</v>
      </c>
      <c r="P10" s="625">
        <v>0</v>
      </c>
      <c r="Q10" s="625">
        <v>0</v>
      </c>
      <c r="R10" s="625">
        <v>0</v>
      </c>
      <c r="S10" s="924">
        <v>0</v>
      </c>
      <c r="T10" s="926">
        <v>0</v>
      </c>
      <c r="U10" s="625">
        <v>0</v>
      </c>
      <c r="V10" s="626">
        <v>225760</v>
      </c>
      <c r="W10" s="626">
        <v>0</v>
      </c>
      <c r="X10" s="624">
        <v>0</v>
      </c>
      <c r="Y10" s="924">
        <v>152629</v>
      </c>
      <c r="Z10" s="626">
        <v>41160</v>
      </c>
      <c r="AA10" s="1">
        <v>4620</v>
      </c>
      <c r="AB10" s="624">
        <v>261981</v>
      </c>
      <c r="AC10" s="624">
        <v>112578</v>
      </c>
      <c r="AD10" s="624">
        <v>0</v>
      </c>
      <c r="AE10" s="924">
        <v>0</v>
      </c>
      <c r="AF10" s="833">
        <f>AF9+1</f>
        <v>37010</v>
      </c>
      <c r="AI10" s="624"/>
      <c r="AJ10" s="624"/>
      <c r="AK10" s="624"/>
    </row>
    <row r="11" spans="1:37">
      <c r="A11" s="833">
        <f>A10+1</f>
        <v>37011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921">
        <v>0</v>
      </c>
      <c r="H11" s="625">
        <v>1000</v>
      </c>
      <c r="I11" s="625">
        <v>10000</v>
      </c>
      <c r="J11" s="625">
        <v>0</v>
      </c>
      <c r="K11" s="924">
        <v>0</v>
      </c>
      <c r="L11" s="626">
        <v>0</v>
      </c>
      <c r="M11" s="925">
        <v>0</v>
      </c>
      <c r="N11" s="625">
        <v>0</v>
      </c>
      <c r="O11" s="625">
        <v>0</v>
      </c>
      <c r="P11" s="625">
        <v>0</v>
      </c>
      <c r="Q11" s="625">
        <v>0</v>
      </c>
      <c r="R11" s="625">
        <v>0</v>
      </c>
      <c r="S11" s="924">
        <v>0</v>
      </c>
      <c r="T11" s="926">
        <v>0</v>
      </c>
      <c r="U11" s="625">
        <v>0</v>
      </c>
      <c r="V11" s="626">
        <v>225760</v>
      </c>
      <c r="W11" s="626">
        <v>0</v>
      </c>
      <c r="X11" s="624">
        <v>0</v>
      </c>
      <c r="Y11" s="924">
        <v>152629</v>
      </c>
      <c r="Z11" s="626">
        <v>41160</v>
      </c>
      <c r="AA11" s="1">
        <v>4620</v>
      </c>
      <c r="AB11" s="624">
        <v>261981</v>
      </c>
      <c r="AC11" s="624">
        <v>112578</v>
      </c>
      <c r="AD11" s="624">
        <v>0</v>
      </c>
      <c r="AE11" s="924">
        <v>0</v>
      </c>
      <c r="AF11" s="833">
        <f>AF10+1</f>
        <v>37011</v>
      </c>
    </row>
    <row r="12" spans="1:37">
      <c r="A12" s="833">
        <f>A11+1</f>
        <v>37012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921">
        <v>0</v>
      </c>
      <c r="H12" s="625">
        <v>1000</v>
      </c>
      <c r="I12" s="625">
        <v>10000</v>
      </c>
      <c r="J12" s="625">
        <v>0</v>
      </c>
      <c r="K12" s="924">
        <v>0</v>
      </c>
      <c r="L12" s="626">
        <v>0</v>
      </c>
      <c r="M12" s="925">
        <v>0</v>
      </c>
      <c r="N12" s="625">
        <v>0</v>
      </c>
      <c r="O12" s="625">
        <v>0</v>
      </c>
      <c r="P12" s="625">
        <v>0</v>
      </c>
      <c r="Q12" s="625">
        <v>0</v>
      </c>
      <c r="R12" s="625">
        <v>0</v>
      </c>
      <c r="S12" s="924">
        <v>0</v>
      </c>
      <c r="T12" s="926">
        <v>0</v>
      </c>
      <c r="U12" s="625">
        <v>0</v>
      </c>
      <c r="V12" s="626">
        <v>225760</v>
      </c>
      <c r="W12" s="626">
        <v>0</v>
      </c>
      <c r="X12" s="624">
        <v>0</v>
      </c>
      <c r="Y12" s="924">
        <v>152629</v>
      </c>
      <c r="Z12" s="626">
        <v>41160</v>
      </c>
      <c r="AA12" s="1">
        <v>0</v>
      </c>
      <c r="AB12" s="624">
        <v>261981</v>
      </c>
      <c r="AC12" s="624">
        <v>112578</v>
      </c>
      <c r="AD12" s="624">
        <v>0</v>
      </c>
      <c r="AE12" s="924">
        <v>0</v>
      </c>
      <c r="AF12" s="833">
        <f>AF11+1</f>
        <v>37012</v>
      </c>
    </row>
    <row r="13" spans="1:37">
      <c r="G13" s="1" t="s">
        <v>11</v>
      </c>
      <c r="I13" s="11"/>
      <c r="P13" s="1" t="s">
        <v>11</v>
      </c>
      <c r="T13" s="926"/>
      <c r="U13" s="1" t="s">
        <v>11</v>
      </c>
      <c r="V13" s="11" t="s">
        <v>11</v>
      </c>
      <c r="W13" s="626" t="s">
        <v>11</v>
      </c>
      <c r="X13" s="624"/>
      <c r="Z13" s="60"/>
      <c r="AB13" s="624"/>
      <c r="AD13" s="624"/>
    </row>
    <row r="14" spans="1:37">
      <c r="A14" s="1" t="s">
        <v>11</v>
      </c>
      <c r="I14" s="11"/>
      <c r="X14" s="11"/>
      <c r="Z14" s="1" t="s">
        <v>11</v>
      </c>
      <c r="AB14" s="624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4"/>
    </row>
    <row r="20" spans="16:33">
      <c r="Z20" s="70" t="s">
        <v>11</v>
      </c>
      <c r="AG20" s="624"/>
    </row>
    <row r="21" spans="16:33">
      <c r="AG21" s="624"/>
    </row>
    <row r="22" spans="16:33">
      <c r="AG22" s="624"/>
    </row>
    <row r="23" spans="16:33">
      <c r="AG23" s="624"/>
    </row>
    <row r="25" spans="16:33">
      <c r="AB25" s="624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A5" sqref="A5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702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4">
        <f>Weather_Input!A5</f>
        <v>37007</v>
      </c>
      <c r="B7" s="921">
        <v>0</v>
      </c>
      <c r="C7" s="625">
        <v>0</v>
      </c>
      <c r="D7" s="625">
        <v>0</v>
      </c>
      <c r="E7" s="625">
        <v>0</v>
      </c>
      <c r="F7" s="625">
        <v>0</v>
      </c>
      <c r="G7" s="925">
        <v>0</v>
      </c>
      <c r="H7" s="625">
        <v>9910</v>
      </c>
      <c r="I7" s="922">
        <v>7197</v>
      </c>
      <c r="J7" s="922">
        <v>20000</v>
      </c>
      <c r="K7" s="628">
        <v>0</v>
      </c>
      <c r="L7" s="927">
        <v>0</v>
      </c>
      <c r="M7" s="927">
        <v>0</v>
      </c>
      <c r="N7" s="927">
        <v>0</v>
      </c>
      <c r="O7" s="927">
        <v>0</v>
      </c>
      <c r="P7" s="625">
        <v>0</v>
      </c>
      <c r="Q7" s="927">
        <v>0</v>
      </c>
      <c r="R7" s="625">
        <v>0</v>
      </c>
      <c r="S7" s="835">
        <v>0</v>
      </c>
      <c r="T7" s="625">
        <v>0</v>
      </c>
      <c r="U7" s="625">
        <v>0</v>
      </c>
      <c r="V7" s="835">
        <v>0</v>
      </c>
      <c r="W7" s="625">
        <v>0</v>
      </c>
      <c r="X7" s="625">
        <v>0</v>
      </c>
      <c r="Y7" s="835">
        <v>0</v>
      </c>
      <c r="Z7" s="625">
        <v>0</v>
      </c>
      <c r="AA7" s="625">
        <v>0</v>
      </c>
      <c r="AB7" s="925">
        <v>0</v>
      </c>
      <c r="AC7" s="625">
        <v>0</v>
      </c>
      <c r="AD7" s="625">
        <v>0</v>
      </c>
      <c r="AE7" s="625">
        <v>0</v>
      </c>
      <c r="AF7" s="833">
        <f>Weather_Input!A5</f>
        <v>37007</v>
      </c>
      <c r="AG7" s="624"/>
      <c r="AH7" s="624"/>
      <c r="AI7" s="624"/>
      <c r="AJ7" s="624"/>
      <c r="AK7" s="624"/>
    </row>
    <row r="8" spans="1:128" s="1" customFormat="1" ht="13.2">
      <c r="A8" s="834">
        <f>Weather_Input!A6</f>
        <v>37008</v>
      </c>
      <c r="B8" s="921">
        <v>0</v>
      </c>
      <c r="C8" s="625">
        <v>0</v>
      </c>
      <c r="D8" s="625">
        <v>0</v>
      </c>
      <c r="E8" s="625">
        <v>0</v>
      </c>
      <c r="F8" s="625">
        <v>0</v>
      </c>
      <c r="G8" s="925">
        <v>0</v>
      </c>
      <c r="H8" s="625">
        <v>0</v>
      </c>
      <c r="I8" s="922">
        <v>7197</v>
      </c>
      <c r="J8" s="922">
        <v>20000</v>
      </c>
      <c r="K8" s="628">
        <v>0</v>
      </c>
      <c r="L8" s="927">
        <v>0</v>
      </c>
      <c r="M8" s="927">
        <v>0</v>
      </c>
      <c r="N8" s="927">
        <v>0</v>
      </c>
      <c r="O8" s="927">
        <v>0</v>
      </c>
      <c r="P8" s="625">
        <v>0</v>
      </c>
      <c r="Q8" s="927">
        <v>0</v>
      </c>
      <c r="R8" s="625">
        <v>0</v>
      </c>
      <c r="S8" s="835">
        <v>0</v>
      </c>
      <c r="T8" s="625">
        <v>0</v>
      </c>
      <c r="U8" s="625">
        <v>0</v>
      </c>
      <c r="V8" s="835">
        <v>0</v>
      </c>
      <c r="W8" s="625">
        <v>0</v>
      </c>
      <c r="X8" s="625">
        <v>0</v>
      </c>
      <c r="Y8" s="835">
        <v>0</v>
      </c>
      <c r="Z8" s="625">
        <v>0</v>
      </c>
      <c r="AA8" s="625">
        <v>0</v>
      </c>
      <c r="AB8" s="925">
        <v>0</v>
      </c>
      <c r="AC8" s="625">
        <v>0</v>
      </c>
      <c r="AD8" s="625">
        <v>0</v>
      </c>
      <c r="AE8" s="625">
        <v>0</v>
      </c>
      <c r="AF8" s="834">
        <f>AF7+1</f>
        <v>37008</v>
      </c>
      <c r="AG8" s="624"/>
      <c r="AH8" s="624"/>
      <c r="AI8" s="624"/>
      <c r="AJ8" s="624"/>
      <c r="AK8" s="624"/>
    </row>
    <row r="9" spans="1:128" s="1" customFormat="1" ht="13.2">
      <c r="A9" s="833">
        <f>A8+1</f>
        <v>37009</v>
      </c>
      <c r="B9" s="921">
        <v>0</v>
      </c>
      <c r="C9" s="625">
        <v>0</v>
      </c>
      <c r="D9" s="625">
        <v>0</v>
      </c>
      <c r="E9" s="625">
        <v>0</v>
      </c>
      <c r="F9" s="625">
        <v>0</v>
      </c>
      <c r="G9" s="925">
        <v>0</v>
      </c>
      <c r="H9" s="625">
        <v>0</v>
      </c>
      <c r="I9" s="922">
        <v>7197</v>
      </c>
      <c r="J9" s="922">
        <v>20000</v>
      </c>
      <c r="K9" s="628">
        <v>0</v>
      </c>
      <c r="L9" s="927">
        <v>0</v>
      </c>
      <c r="M9" s="927">
        <v>0</v>
      </c>
      <c r="N9" s="927">
        <v>0</v>
      </c>
      <c r="O9" s="927">
        <v>0</v>
      </c>
      <c r="P9" s="625">
        <v>0</v>
      </c>
      <c r="Q9" s="927">
        <v>0</v>
      </c>
      <c r="R9" s="625">
        <v>0</v>
      </c>
      <c r="S9" s="835">
        <v>0</v>
      </c>
      <c r="T9" s="625">
        <v>0</v>
      </c>
      <c r="U9" s="625">
        <v>0</v>
      </c>
      <c r="V9" s="835">
        <v>0</v>
      </c>
      <c r="W9" s="625">
        <v>0</v>
      </c>
      <c r="X9" s="625">
        <v>0</v>
      </c>
      <c r="Y9" s="835">
        <v>0</v>
      </c>
      <c r="Z9" s="625">
        <v>0</v>
      </c>
      <c r="AA9" s="625">
        <v>0</v>
      </c>
      <c r="AB9" s="925">
        <v>0</v>
      </c>
      <c r="AC9" s="625">
        <v>0</v>
      </c>
      <c r="AD9" s="625">
        <v>0</v>
      </c>
      <c r="AE9" s="625">
        <v>0</v>
      </c>
      <c r="AF9" s="833">
        <f>AF8+1</f>
        <v>37009</v>
      </c>
      <c r="AG9" s="624"/>
      <c r="AH9" s="624"/>
      <c r="AI9" s="624"/>
      <c r="AJ9" s="624"/>
      <c r="AK9" s="624"/>
    </row>
    <row r="10" spans="1:128" s="1" customFormat="1" ht="13.2">
      <c r="A10" s="833">
        <f>A9+1</f>
        <v>37010</v>
      </c>
      <c r="B10" s="921">
        <v>0</v>
      </c>
      <c r="C10" s="625">
        <v>0</v>
      </c>
      <c r="D10" s="625">
        <v>0</v>
      </c>
      <c r="E10" s="625">
        <v>0</v>
      </c>
      <c r="F10" s="625">
        <v>0</v>
      </c>
      <c r="G10" s="925">
        <v>0</v>
      </c>
      <c r="H10" s="625">
        <v>0</v>
      </c>
      <c r="I10" s="922">
        <v>7197</v>
      </c>
      <c r="J10" s="922">
        <v>20000</v>
      </c>
      <c r="K10" s="628">
        <v>0</v>
      </c>
      <c r="L10" s="927">
        <v>0</v>
      </c>
      <c r="M10" s="927">
        <v>0</v>
      </c>
      <c r="N10" s="927">
        <v>0</v>
      </c>
      <c r="O10" s="927">
        <v>0</v>
      </c>
      <c r="P10" s="625">
        <v>0</v>
      </c>
      <c r="Q10" s="927">
        <v>0</v>
      </c>
      <c r="R10" s="625">
        <v>0</v>
      </c>
      <c r="S10" s="835">
        <v>0</v>
      </c>
      <c r="T10" s="625">
        <v>0</v>
      </c>
      <c r="U10" s="625">
        <v>0</v>
      </c>
      <c r="V10" s="835">
        <v>0</v>
      </c>
      <c r="W10" s="625">
        <v>0</v>
      </c>
      <c r="X10" s="625">
        <v>0</v>
      </c>
      <c r="Y10" s="835">
        <v>0</v>
      </c>
      <c r="Z10" s="625">
        <v>0</v>
      </c>
      <c r="AA10" s="625">
        <v>0</v>
      </c>
      <c r="AB10" s="925">
        <v>0</v>
      </c>
      <c r="AC10" s="625">
        <v>0</v>
      </c>
      <c r="AD10" s="625">
        <v>0</v>
      </c>
      <c r="AE10" s="625">
        <v>0</v>
      </c>
      <c r="AF10" s="833">
        <f>AF9+1</f>
        <v>37010</v>
      </c>
      <c r="AG10" s="624"/>
      <c r="AH10" s="624"/>
      <c r="AI10" s="624"/>
      <c r="AJ10" s="624"/>
      <c r="AK10" s="624"/>
    </row>
    <row r="11" spans="1:128" s="1" customFormat="1" ht="13.2">
      <c r="A11" s="833">
        <f>A10+1</f>
        <v>37011</v>
      </c>
      <c r="B11" s="921">
        <v>0</v>
      </c>
      <c r="C11" s="625">
        <v>0</v>
      </c>
      <c r="D11" s="625">
        <v>0</v>
      </c>
      <c r="E11" s="625">
        <v>0</v>
      </c>
      <c r="F11" s="625">
        <v>0</v>
      </c>
      <c r="G11" s="925">
        <v>0</v>
      </c>
      <c r="H11" s="625">
        <v>0</v>
      </c>
      <c r="I11" s="922">
        <v>7197</v>
      </c>
      <c r="J11" s="922">
        <v>20000</v>
      </c>
      <c r="K11" s="628">
        <v>0</v>
      </c>
      <c r="L11" s="927">
        <v>0</v>
      </c>
      <c r="M11" s="927">
        <v>0</v>
      </c>
      <c r="N11" s="927">
        <v>0</v>
      </c>
      <c r="O11" s="927">
        <v>0</v>
      </c>
      <c r="P11" s="625">
        <v>0</v>
      </c>
      <c r="Q11" s="927">
        <v>0</v>
      </c>
      <c r="R11" s="625">
        <v>0</v>
      </c>
      <c r="S11" s="835">
        <v>0</v>
      </c>
      <c r="T11" s="625">
        <v>0</v>
      </c>
      <c r="U11" s="625">
        <v>0</v>
      </c>
      <c r="V11" s="835">
        <v>0</v>
      </c>
      <c r="W11" s="625">
        <v>0</v>
      </c>
      <c r="X11" s="625">
        <v>0</v>
      </c>
      <c r="Y11" s="835">
        <v>0</v>
      </c>
      <c r="Z11" s="625">
        <v>0</v>
      </c>
      <c r="AA11" s="625">
        <v>0</v>
      </c>
      <c r="AB11" s="925">
        <v>0</v>
      </c>
      <c r="AC11" s="625">
        <v>0</v>
      </c>
      <c r="AD11" s="625">
        <v>0</v>
      </c>
      <c r="AE11" s="625">
        <v>0</v>
      </c>
      <c r="AF11" s="833">
        <f>AF10+1</f>
        <v>37011</v>
      </c>
      <c r="AG11" s="624"/>
      <c r="AH11" s="624"/>
      <c r="AI11" s="624"/>
      <c r="AJ11" s="624"/>
      <c r="AK11" s="624"/>
    </row>
    <row r="12" spans="1:128" s="1" customFormat="1" ht="13.2">
      <c r="A12" s="833">
        <f>A11+1</f>
        <v>37012</v>
      </c>
      <c r="B12" s="921">
        <v>0</v>
      </c>
      <c r="C12" s="625">
        <v>0</v>
      </c>
      <c r="D12" s="625">
        <v>0</v>
      </c>
      <c r="E12" s="625">
        <v>0</v>
      </c>
      <c r="F12" s="625">
        <v>0</v>
      </c>
      <c r="G12" s="925">
        <v>0</v>
      </c>
      <c r="H12" s="625">
        <v>0</v>
      </c>
      <c r="I12" s="922">
        <v>7197</v>
      </c>
      <c r="J12" s="922">
        <v>20000</v>
      </c>
      <c r="K12" s="628">
        <v>0</v>
      </c>
      <c r="L12" s="927">
        <v>0</v>
      </c>
      <c r="M12" s="927">
        <v>0</v>
      </c>
      <c r="N12" s="927">
        <v>0</v>
      </c>
      <c r="O12" s="927">
        <v>0</v>
      </c>
      <c r="P12" s="625">
        <v>0</v>
      </c>
      <c r="Q12" s="927">
        <v>0</v>
      </c>
      <c r="R12" s="625">
        <v>0</v>
      </c>
      <c r="S12" s="835">
        <v>0</v>
      </c>
      <c r="T12" s="625">
        <v>0</v>
      </c>
      <c r="U12" s="625">
        <v>0</v>
      </c>
      <c r="V12" s="835">
        <v>0</v>
      </c>
      <c r="W12" s="625">
        <v>0</v>
      </c>
      <c r="X12" s="625">
        <v>0</v>
      </c>
      <c r="Y12" s="835">
        <v>0</v>
      </c>
      <c r="Z12" s="625">
        <v>0</v>
      </c>
      <c r="AA12" s="625">
        <v>0</v>
      </c>
      <c r="AB12" s="925">
        <v>0</v>
      </c>
      <c r="AC12" s="625">
        <v>0</v>
      </c>
      <c r="AD12" s="625">
        <v>0</v>
      </c>
      <c r="AE12" s="625">
        <v>0</v>
      </c>
      <c r="AF12" s="833">
        <f>AF11+1</f>
        <v>37012</v>
      </c>
      <c r="AG12" s="624"/>
      <c r="AH12" s="624"/>
      <c r="AI12" s="624"/>
      <c r="AJ12" s="624"/>
      <c r="AK12" s="624"/>
    </row>
    <row r="13" spans="1:128" s="1" customFormat="1" ht="13.2">
      <c r="A13" s="624"/>
      <c r="B13" s="624"/>
      <c r="C13" s="625"/>
      <c r="D13" s="624"/>
      <c r="E13" s="625"/>
      <c r="F13" s="625"/>
      <c r="G13" s="624"/>
      <c r="H13" s="624" t="s">
        <v>11</v>
      </c>
      <c r="I13" s="624"/>
      <c r="J13" s="624"/>
      <c r="K13" s="624"/>
      <c r="L13" s="624" t="s">
        <v>11</v>
      </c>
      <c r="M13" s="624"/>
      <c r="N13" s="624"/>
      <c r="P13" s="624"/>
      <c r="Q13" s="624"/>
      <c r="R13" s="624"/>
      <c r="S13" s="835"/>
      <c r="T13" s="624"/>
      <c r="U13" s="624"/>
      <c r="V13" s="629"/>
      <c r="W13" s="624"/>
      <c r="X13" s="624"/>
      <c r="Y13" s="624"/>
      <c r="Z13" s="624"/>
      <c r="AA13" s="624"/>
      <c r="AB13" s="624"/>
      <c r="AC13" s="624"/>
      <c r="AD13" s="624"/>
      <c r="AE13" s="624"/>
      <c r="AF13" s="624"/>
      <c r="AG13" s="624"/>
      <c r="AH13" s="624"/>
      <c r="AI13" s="624"/>
      <c r="AJ13" s="624"/>
      <c r="AK13" s="626"/>
    </row>
    <row r="14" spans="1:128" s="1" customFormat="1" ht="13.2">
      <c r="A14" s="624"/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P14" s="624"/>
      <c r="Q14" s="624"/>
      <c r="R14" s="624"/>
      <c r="S14" s="624"/>
      <c r="T14" s="624"/>
      <c r="U14" s="624"/>
      <c r="V14" s="624"/>
      <c r="W14" s="624"/>
      <c r="X14" s="624"/>
      <c r="Y14" s="624"/>
      <c r="Z14" s="624"/>
      <c r="AA14" s="624"/>
      <c r="AB14" s="624"/>
      <c r="AC14" s="624"/>
      <c r="AD14" s="624"/>
      <c r="AE14" s="624"/>
      <c r="AF14" s="624"/>
      <c r="AG14" s="624"/>
      <c r="AH14" s="624"/>
      <c r="AI14" s="624"/>
      <c r="AJ14" s="624"/>
      <c r="AK14" s="627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A7" sqref="A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640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702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644</v>
      </c>
      <c r="R6" s="54" t="s">
        <v>131</v>
      </c>
      <c r="S6" s="1076" t="s">
        <v>38</v>
      </c>
      <c r="T6" s="54" t="s">
        <v>421</v>
      </c>
      <c r="U6" s="69" t="s">
        <v>61</v>
      </c>
    </row>
    <row r="7" spans="1:24">
      <c r="A7" s="833">
        <f>Weather_Input!A5</f>
        <v>37007</v>
      </c>
      <c r="B7" s="627">
        <v>0</v>
      </c>
      <c r="C7" s="628">
        <v>0</v>
      </c>
      <c r="D7" s="627">
        <v>0</v>
      </c>
      <c r="E7" s="627">
        <v>0</v>
      </c>
      <c r="F7" s="627">
        <v>0</v>
      </c>
      <c r="G7" s="627">
        <f>(R7+S7+C7+PGL_Requirements!Y7+PGL_Requirements!Z7-NSG_Requirements!C7)*0.05</f>
        <v>4040.5</v>
      </c>
      <c r="H7" s="628">
        <v>0</v>
      </c>
      <c r="I7" s="627">
        <v>0</v>
      </c>
      <c r="J7" s="627">
        <v>0</v>
      </c>
      <c r="K7" s="627">
        <v>0</v>
      </c>
      <c r="L7" s="627">
        <v>0</v>
      </c>
      <c r="M7" s="627">
        <v>0</v>
      </c>
      <c r="N7" s="628">
        <v>0</v>
      </c>
      <c r="O7" s="922">
        <v>0</v>
      </c>
      <c r="P7" s="627">
        <v>0</v>
      </c>
      <c r="Q7" s="627">
        <v>20000</v>
      </c>
      <c r="R7" s="627">
        <v>52905</v>
      </c>
      <c r="S7" s="627">
        <v>27905</v>
      </c>
      <c r="T7" s="627">
        <v>0</v>
      </c>
      <c r="U7" s="627">
        <v>0</v>
      </c>
      <c r="V7" s="833">
        <f>Weather_Input!A5</f>
        <v>37007</v>
      </c>
      <c r="W7" s="624"/>
      <c r="X7" s="624"/>
    </row>
    <row r="8" spans="1:24">
      <c r="A8" s="833">
        <f>A7+1</f>
        <v>37008</v>
      </c>
      <c r="B8" s="627">
        <v>0</v>
      </c>
      <c r="C8" s="628">
        <v>0</v>
      </c>
      <c r="D8" s="627">
        <v>0</v>
      </c>
      <c r="E8" s="627">
        <v>0</v>
      </c>
      <c r="F8" s="627">
        <v>3100</v>
      </c>
      <c r="G8" s="627">
        <f>(R8+S8+C8+PGL_Requirements!Y8+PGL_Requirements!Z8-NSG_Requirements!C8)*0.05</f>
        <v>4040.5</v>
      </c>
      <c r="H8" s="628">
        <v>0</v>
      </c>
      <c r="I8" s="627">
        <v>0</v>
      </c>
      <c r="J8" s="627">
        <v>0</v>
      </c>
      <c r="K8" s="627">
        <v>0</v>
      </c>
      <c r="L8" s="627">
        <v>0</v>
      </c>
      <c r="M8" s="627">
        <v>0</v>
      </c>
      <c r="N8" s="628">
        <v>0</v>
      </c>
      <c r="O8" s="922">
        <v>0</v>
      </c>
      <c r="P8" s="627">
        <v>0</v>
      </c>
      <c r="Q8" s="627">
        <v>20000</v>
      </c>
      <c r="R8" s="627">
        <v>52905</v>
      </c>
      <c r="S8" s="627">
        <v>27905</v>
      </c>
      <c r="T8" s="627">
        <v>0</v>
      </c>
      <c r="U8" s="627">
        <v>0</v>
      </c>
      <c r="V8" s="833">
        <f>V7+1</f>
        <v>37008</v>
      </c>
      <c r="W8" s="624"/>
      <c r="X8" s="624"/>
    </row>
    <row r="9" spans="1:24">
      <c r="A9" s="833">
        <f>A8+1</f>
        <v>37009</v>
      </c>
      <c r="B9" s="627">
        <v>0</v>
      </c>
      <c r="C9" s="628">
        <v>0</v>
      </c>
      <c r="D9" s="627">
        <v>0</v>
      </c>
      <c r="E9" s="627">
        <v>0</v>
      </c>
      <c r="F9" s="627">
        <v>0</v>
      </c>
      <c r="G9" s="627">
        <f>(R9+S9+C9+PGL_Requirements!Y9+PGL_Requirements!Z9-NSG_Requirements!C9)*0.05</f>
        <v>4040.5</v>
      </c>
      <c r="H9" s="628">
        <v>0</v>
      </c>
      <c r="I9" s="627">
        <v>0</v>
      </c>
      <c r="J9" s="627">
        <v>0</v>
      </c>
      <c r="K9" s="627">
        <v>0</v>
      </c>
      <c r="L9" s="627">
        <v>0</v>
      </c>
      <c r="M9" s="627">
        <v>0</v>
      </c>
      <c r="N9" s="628">
        <v>0</v>
      </c>
      <c r="O9" s="922">
        <v>0</v>
      </c>
      <c r="P9" s="627">
        <v>0</v>
      </c>
      <c r="Q9" s="627">
        <v>20000</v>
      </c>
      <c r="R9" s="627">
        <v>52905</v>
      </c>
      <c r="S9" s="627">
        <v>27905</v>
      </c>
      <c r="T9" s="627">
        <v>0</v>
      </c>
      <c r="U9" s="627">
        <v>0</v>
      </c>
      <c r="V9" s="833">
        <f>V8+1</f>
        <v>37009</v>
      </c>
      <c r="W9" s="624"/>
      <c r="X9" s="624"/>
    </row>
    <row r="10" spans="1:24">
      <c r="A10" s="833">
        <f>A9+1</f>
        <v>37010</v>
      </c>
      <c r="B10" s="627">
        <v>0</v>
      </c>
      <c r="C10" s="628">
        <v>0</v>
      </c>
      <c r="D10" s="627">
        <v>0</v>
      </c>
      <c r="E10" s="627">
        <v>0</v>
      </c>
      <c r="F10" s="627">
        <v>0</v>
      </c>
      <c r="G10" s="627">
        <f>(R10+S10+C10+PGL_Requirements!Y10+PGL_Requirements!Z10-NSG_Requirements!C10)*0.05</f>
        <v>4040.5</v>
      </c>
      <c r="H10" s="628">
        <v>0</v>
      </c>
      <c r="I10" s="627">
        <v>0</v>
      </c>
      <c r="J10" s="627">
        <v>0</v>
      </c>
      <c r="K10" s="627">
        <v>0</v>
      </c>
      <c r="L10" s="627">
        <v>0</v>
      </c>
      <c r="M10" s="627">
        <v>0</v>
      </c>
      <c r="N10" s="628">
        <v>0</v>
      </c>
      <c r="O10" s="922">
        <v>0</v>
      </c>
      <c r="P10" s="627">
        <v>0</v>
      </c>
      <c r="Q10" s="627">
        <v>20000</v>
      </c>
      <c r="R10" s="627">
        <v>52905</v>
      </c>
      <c r="S10" s="627">
        <v>27905</v>
      </c>
      <c r="T10" s="627">
        <v>0</v>
      </c>
      <c r="U10" s="627">
        <v>0</v>
      </c>
      <c r="V10" s="833">
        <f>V9+1</f>
        <v>37010</v>
      </c>
      <c r="W10" s="624"/>
      <c r="X10" s="624"/>
    </row>
    <row r="11" spans="1:24">
      <c r="A11" s="833">
        <f>A10+1</f>
        <v>37011</v>
      </c>
      <c r="B11" s="627">
        <v>0</v>
      </c>
      <c r="C11" s="628">
        <v>0</v>
      </c>
      <c r="D11" s="627">
        <v>0</v>
      </c>
      <c r="E11" s="627">
        <v>0</v>
      </c>
      <c r="F11" s="627">
        <v>0</v>
      </c>
      <c r="G11" s="627">
        <f>(R11+S11+C11+PGL_Requirements!Y11+PGL_Requirements!Z11-NSG_Requirements!C11)*0.05</f>
        <v>4040.5</v>
      </c>
      <c r="H11" s="628">
        <v>0</v>
      </c>
      <c r="I11" s="627">
        <v>0</v>
      </c>
      <c r="J11" s="627">
        <v>0</v>
      </c>
      <c r="K11" s="627">
        <v>0</v>
      </c>
      <c r="L11" s="627">
        <v>0</v>
      </c>
      <c r="M11" s="627">
        <v>0</v>
      </c>
      <c r="N11" s="628">
        <v>0</v>
      </c>
      <c r="O11" s="922">
        <v>0</v>
      </c>
      <c r="P11" s="627">
        <v>0</v>
      </c>
      <c r="Q11" s="627">
        <v>20000</v>
      </c>
      <c r="R11" s="627">
        <v>52905</v>
      </c>
      <c r="S11" s="627">
        <v>27905</v>
      </c>
      <c r="T11" s="627">
        <v>0</v>
      </c>
      <c r="U11" s="627">
        <v>0</v>
      </c>
      <c r="V11" s="833">
        <f>V10+1</f>
        <v>37011</v>
      </c>
      <c r="W11" s="624"/>
      <c r="X11" s="624"/>
    </row>
    <row r="12" spans="1:24">
      <c r="A12" s="833">
        <f>A11+1</f>
        <v>37012</v>
      </c>
      <c r="B12" s="627">
        <v>0</v>
      </c>
      <c r="C12" s="628">
        <v>0</v>
      </c>
      <c r="D12" s="627">
        <v>0</v>
      </c>
      <c r="E12" s="627">
        <v>0</v>
      </c>
      <c r="F12" s="627">
        <v>0</v>
      </c>
      <c r="G12" s="627">
        <f>(R12+S12+C12+PGL_Requirements!Y12+PGL_Requirements!Z12-NSG_Requirements!C12)*0.05</f>
        <v>4040.5</v>
      </c>
      <c r="H12" s="628">
        <v>0</v>
      </c>
      <c r="I12" s="627">
        <v>0</v>
      </c>
      <c r="J12" s="627">
        <v>0</v>
      </c>
      <c r="K12" s="627">
        <v>0</v>
      </c>
      <c r="L12" s="627">
        <v>0</v>
      </c>
      <c r="M12" s="627">
        <v>0</v>
      </c>
      <c r="N12" s="628">
        <v>0</v>
      </c>
      <c r="O12" s="922">
        <v>0</v>
      </c>
      <c r="P12" s="627">
        <v>0</v>
      </c>
      <c r="Q12" s="627">
        <v>20000</v>
      </c>
      <c r="R12" s="627">
        <v>52905</v>
      </c>
      <c r="S12" s="627">
        <v>27905</v>
      </c>
      <c r="T12" s="627">
        <v>0</v>
      </c>
      <c r="U12" s="627">
        <v>0</v>
      </c>
      <c r="V12" s="833">
        <f>V11+1</f>
        <v>37012</v>
      </c>
      <c r="W12" s="624"/>
      <c r="X12" s="624"/>
    </row>
    <row r="13" spans="1:24">
      <c r="A13" s="624"/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7"/>
      <c r="N13" s="628"/>
      <c r="O13" s="624"/>
      <c r="P13" s="624"/>
      <c r="Q13" s="624"/>
      <c r="R13" s="627"/>
      <c r="S13" s="627"/>
      <c r="T13" s="627"/>
      <c r="U13" s="624"/>
      <c r="V13" s="624"/>
      <c r="W13" s="624"/>
      <c r="X13" s="624"/>
    </row>
    <row r="14" spans="1:24">
      <c r="A14" s="624"/>
      <c r="B14" s="624"/>
      <c r="C14" s="624"/>
      <c r="D14" s="624" t="s">
        <v>11</v>
      </c>
      <c r="E14" s="624"/>
      <c r="F14" s="624"/>
      <c r="G14" s="624"/>
      <c r="H14" s="624"/>
      <c r="I14" s="624"/>
      <c r="J14" s="624"/>
      <c r="K14" s="624"/>
      <c r="L14" s="624"/>
      <c r="M14" s="624"/>
      <c r="N14" s="624"/>
      <c r="O14" s="624"/>
      <c r="P14" s="624"/>
      <c r="Q14" s="624"/>
      <c r="R14" s="627" t="s">
        <v>11</v>
      </c>
      <c r="S14" s="624"/>
      <c r="T14" s="624"/>
      <c r="U14" s="624"/>
      <c r="V14" s="624"/>
      <c r="W14" s="624"/>
      <c r="X14" s="624"/>
    </row>
    <row r="15" spans="1:24">
      <c r="A15" s="624"/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624"/>
      <c r="O15" s="624"/>
      <c r="P15" s="624"/>
      <c r="Q15" s="624"/>
      <c r="R15" s="627" t="s">
        <v>11</v>
      </c>
      <c r="S15" s="624"/>
      <c r="T15" s="624" t="s">
        <v>11</v>
      </c>
      <c r="U15" s="624"/>
      <c r="V15" s="624"/>
      <c r="W15" s="624"/>
      <c r="X15" s="624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4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8" t="s">
        <v>0</v>
      </c>
      <c r="B1" s="836"/>
      <c r="C1" s="903"/>
      <c r="D1" s="836"/>
      <c r="E1" s="836"/>
      <c r="F1" s="836" t="s">
        <v>11</v>
      </c>
      <c r="G1" s="836" t="s">
        <v>135</v>
      </c>
      <c r="H1" s="837" t="str">
        <f>D3</f>
        <v>THU</v>
      </c>
      <c r="I1" s="838">
        <f>D4</f>
        <v>37007</v>
      </c>
    </row>
    <row r="2" spans="1:256">
      <c r="A2" s="839" t="s">
        <v>136</v>
      </c>
      <c r="B2" s="840"/>
      <c r="C2" s="840"/>
      <c r="D2" s="840"/>
      <c r="E2" s="840"/>
      <c r="F2" s="840"/>
      <c r="G2" s="840"/>
      <c r="H2" s="840"/>
      <c r="I2" s="841"/>
    </row>
    <row r="3" spans="1:256" ht="16.2" thickBot="1">
      <c r="A3" s="842"/>
      <c r="B3" s="840"/>
      <c r="C3" s="840"/>
      <c r="D3" s="843" t="str">
        <f t="shared" ref="D3:I3" si="0">CHOOSE(WEEKDAY(D4),"SUN","MON","TUE","WED","THU","FRI","SAT")</f>
        <v>THU</v>
      </c>
      <c r="E3" s="843" t="str">
        <f t="shared" si="0"/>
        <v>FRI</v>
      </c>
      <c r="F3" s="843" t="str">
        <f t="shared" si="0"/>
        <v>SAT</v>
      </c>
      <c r="G3" s="843" t="str">
        <f t="shared" si="0"/>
        <v>SUN</v>
      </c>
      <c r="H3" s="843" t="str">
        <f t="shared" si="0"/>
        <v>MON</v>
      </c>
      <c r="I3" s="844" t="str">
        <f t="shared" si="0"/>
        <v>TUE</v>
      </c>
    </row>
    <row r="4" spans="1:256" ht="16.2" thickBot="1">
      <c r="A4" s="845"/>
      <c r="B4" s="846"/>
      <c r="C4" s="846"/>
      <c r="D4" s="466">
        <f>Weather_Input!A5</f>
        <v>37007</v>
      </c>
      <c r="E4" s="466">
        <f>Weather_Input!A6</f>
        <v>37008</v>
      </c>
      <c r="F4" s="466">
        <f>Weather_Input!A7</f>
        <v>37009</v>
      </c>
      <c r="G4" s="466">
        <f>Weather_Input!A8</f>
        <v>37010</v>
      </c>
      <c r="H4" s="466">
        <f>Weather_Input!A9</f>
        <v>37011</v>
      </c>
      <c r="I4" s="467">
        <f>Weather_Input!A10</f>
        <v>37012</v>
      </c>
    </row>
    <row r="5" spans="1:256" ht="16.5" customHeight="1" thickTop="1">
      <c r="A5" s="849" t="s">
        <v>137</v>
      </c>
      <c r="B5" s="840"/>
      <c r="C5" s="840" t="s">
        <v>138</v>
      </c>
      <c r="D5" s="468" t="str">
        <f>TEXT(Weather_Input!B5,"0")&amp;"/"&amp;TEXT(Weather_Input!C5,"0") &amp; "/" &amp; TEXT((Weather_Input!B5+Weather_Input!C5)/2,"0")</f>
        <v>75/52/64</v>
      </c>
      <c r="E5" s="468" t="str">
        <f>TEXT(Weather_Input!B6,"0")&amp;"/"&amp;TEXT(Weather_Input!C6,"0") &amp; "/" &amp; TEXT((Weather_Input!B6+Weather_Input!C6)/2,"0")</f>
        <v>64/42/53</v>
      </c>
      <c r="F5" s="468" t="str">
        <f>TEXT(Weather_Input!B7,"0")&amp;"/"&amp;TEXT(Weather_Input!C7,"0") &amp; "/" &amp; TEXT((Weather_Input!B7+Weather_Input!C7)/2,"0")</f>
        <v>67/47/57</v>
      </c>
      <c r="G5" s="468" t="str">
        <f>TEXT(Weather_Input!B8,"0")&amp;"/"&amp;TEXT(Weather_Input!C8,"0") &amp; "/" &amp; TEXT((Weather_Input!B8+Weather_Input!C8)/2,"0")</f>
        <v>78/56/67</v>
      </c>
      <c r="H5" s="468" t="str">
        <f>TEXT(Weather_Input!B9,"0")&amp;"/"&amp;TEXT(Weather_Input!C9,"0") &amp; "/" &amp; TEXT((Weather_Input!B9+Weather_Input!C9)/2,"0")</f>
        <v>80/58/69</v>
      </c>
      <c r="I5" s="469" t="str">
        <f>TEXT(Weather_Input!B10,"0")&amp;"/"&amp;TEXT(Weather_Input!C10,"0") &amp; "/" &amp; TEXT((Weather_Input!B10+Weather_Input!C10)/2,"0")</f>
        <v>80/58/69</v>
      </c>
    </row>
    <row r="6" spans="1:256">
      <c r="A6" s="852" t="s">
        <v>139</v>
      </c>
      <c r="B6" s="840"/>
      <c r="C6" s="840"/>
      <c r="D6" s="468">
        <f>PGL_Deliveries!C5/1000</f>
        <v>268</v>
      </c>
      <c r="E6" s="468">
        <f>PGL_Deliveries!C6/1000</f>
        <v>330</v>
      </c>
      <c r="F6" s="468">
        <f>PGL_Deliveries!C7/1000</f>
        <v>280</v>
      </c>
      <c r="G6" s="468">
        <f>PGL_Deliveries!C8/1000</f>
        <v>235</v>
      </c>
      <c r="H6" s="468">
        <f>PGL_Deliveries!C9/1000</f>
        <v>250</v>
      </c>
      <c r="I6" s="469">
        <f>PGL_Deliveries!C10/1000</f>
        <v>250</v>
      </c>
    </row>
    <row r="7" spans="1:256">
      <c r="A7" s="852" t="s">
        <v>574</v>
      </c>
      <c r="B7" s="840" t="s">
        <v>421</v>
      </c>
      <c r="C7" s="840"/>
      <c r="D7" s="468">
        <f>PGL_Requirements!H7/1000*0.5</f>
        <v>0</v>
      </c>
      <c r="E7" s="468">
        <f>PGL_Requirements!H8/1000*0.5</f>
        <v>12.044499999999999</v>
      </c>
      <c r="F7" s="468">
        <f>PGL_Requirements!H9/1000*0.5</f>
        <v>9.4975000000000005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2" t="s">
        <v>727</v>
      </c>
      <c r="B8" s="840"/>
      <c r="C8" s="840"/>
      <c r="D8" s="468">
        <f>PGL_Requirements!I7/1000</f>
        <v>0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49" t="s">
        <v>140</v>
      </c>
      <c r="B9" s="840" t="s">
        <v>143</v>
      </c>
      <c r="C9" s="853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49"/>
      <c r="B10" s="840" t="s">
        <v>147</v>
      </c>
      <c r="C10" s="853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49"/>
      <c r="B11" s="840" t="s">
        <v>421</v>
      </c>
      <c r="C11" s="840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49"/>
      <c r="B12" s="840" t="s">
        <v>141</v>
      </c>
      <c r="C12" s="840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49" t="s">
        <v>144</v>
      </c>
      <c r="B13" s="840" t="s">
        <v>145</v>
      </c>
      <c r="C13" s="840" t="s">
        <v>60</v>
      </c>
      <c r="D13" s="468">
        <f>PGL_Requirements!P7/1000</f>
        <v>169.68</v>
      </c>
      <c r="E13" s="468">
        <f>PGL_Requirements!P8/1000</f>
        <v>160</v>
      </c>
      <c r="F13" s="468">
        <f>PGL_Requirements!P9/1000</f>
        <v>220</v>
      </c>
      <c r="G13" s="468">
        <f>PGL_Requirements!P10/1000</f>
        <v>240</v>
      </c>
      <c r="H13" s="468">
        <f>PGL_Requirements!P11/1000</f>
        <v>240</v>
      </c>
      <c r="I13" s="469">
        <f>PGL_Requirements!P12/1000</f>
        <v>160</v>
      </c>
    </row>
    <row r="14" spans="1:256">
      <c r="A14" s="849"/>
      <c r="B14" s="840"/>
      <c r="C14" s="840" t="s">
        <v>101</v>
      </c>
      <c r="D14" s="468">
        <f>PGL_Requirements!Q7/1000</f>
        <v>2.5451999999999999</v>
      </c>
      <c r="E14" s="468">
        <f>PGL_Requirements!Q8/1000</f>
        <v>2.4</v>
      </c>
      <c r="F14" s="468">
        <f>PGL_Requirements!Q9/1000</f>
        <v>3.3</v>
      </c>
      <c r="G14" s="468">
        <f>PGL_Requirements!Q10/1000</f>
        <v>3.6</v>
      </c>
      <c r="H14" s="468">
        <f>PGL_Requirements!Q11/1000</f>
        <v>3.6</v>
      </c>
      <c r="I14" s="469">
        <f>PGL_Requirements!Q12/1000</f>
        <v>2.4</v>
      </c>
    </row>
    <row r="15" spans="1:256">
      <c r="A15" s="849"/>
      <c r="C15" s="840" t="s">
        <v>746</v>
      </c>
      <c r="D15" s="468">
        <f>PGL_Requirements!R7/1000</f>
        <v>0.61</v>
      </c>
      <c r="E15" s="468">
        <f>PGL_Requirements!R8/1000</f>
        <v>0.65</v>
      </c>
      <c r="F15" s="468">
        <f>PGL_Requirements!R9/1000</f>
        <v>0.65</v>
      </c>
      <c r="G15" s="468">
        <f>PGL_Requirements!R10/1000</f>
        <v>0.65</v>
      </c>
      <c r="H15" s="468">
        <f>PGL_Requirements!R11/1000</f>
        <v>0.65</v>
      </c>
      <c r="I15" s="469">
        <f>PGL_Requirements!R12/1000</f>
        <v>0.65</v>
      </c>
    </row>
    <row r="16" spans="1:256">
      <c r="A16" s="849"/>
      <c r="C16" s="840" t="s">
        <v>779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49"/>
      <c r="B17" s="840" t="s">
        <v>184</v>
      </c>
      <c r="C17" s="840" t="s">
        <v>725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49"/>
      <c r="B18" s="840" t="s">
        <v>143</v>
      </c>
      <c r="C18" s="840" t="s">
        <v>90</v>
      </c>
      <c r="D18" s="468">
        <f>PGL_Requirements!U7/1000</f>
        <v>40</v>
      </c>
      <c r="E18" s="468">
        <f>PGL_Requirements!U8/1000</f>
        <v>40</v>
      </c>
      <c r="F18" s="468">
        <f>PGL_Requirements!U9/1000</f>
        <v>40</v>
      </c>
      <c r="G18" s="468">
        <f>PGL_Requirements!U10/1000</f>
        <v>40</v>
      </c>
      <c r="H18" s="468">
        <f>PGL_Requirements!U11/1000</f>
        <v>40</v>
      </c>
      <c r="I18" s="469">
        <f>PGL_Requirements!U12/1000</f>
        <v>40</v>
      </c>
    </row>
    <row r="19" spans="1:10">
      <c r="A19" s="849"/>
      <c r="B19" s="840" t="s">
        <v>141</v>
      </c>
      <c r="C19" s="840" t="s">
        <v>90</v>
      </c>
      <c r="D19" s="468">
        <f>PGL_Requirements!O7/1000</f>
        <v>56.058</v>
      </c>
      <c r="E19" s="468">
        <f>PGL_Requirements!O8/1000</f>
        <v>39.19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2" t="s">
        <v>146</v>
      </c>
      <c r="B20" s="856" t="s">
        <v>143</v>
      </c>
      <c r="C20" s="856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49"/>
      <c r="B21" s="856" t="s">
        <v>141</v>
      </c>
      <c r="C21" s="856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49"/>
      <c r="B22" s="840" t="s">
        <v>421</v>
      </c>
      <c r="C22" s="856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1"/>
    </row>
    <row r="23" spans="1:10">
      <c r="A23" s="849"/>
      <c r="B23" s="854" t="s">
        <v>148</v>
      </c>
      <c r="C23" s="856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1"/>
    </row>
    <row r="24" spans="1:10">
      <c r="A24" s="852" t="s">
        <v>149</v>
      </c>
      <c r="B24" s="840"/>
      <c r="C24" s="840"/>
      <c r="D24" s="468">
        <f>PGL_Requirements!G7/1000</f>
        <v>34.404000000000003</v>
      </c>
      <c r="E24" s="468">
        <f>PGL_Requirements!G8/1000</f>
        <v>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49" t="s">
        <v>150</v>
      </c>
      <c r="B25" s="840" t="s">
        <v>764</v>
      </c>
      <c r="C25" s="840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49"/>
      <c r="B26" s="840" t="s">
        <v>68</v>
      </c>
      <c r="C26" s="840"/>
      <c r="D26" s="468">
        <f>PGL_Requirements!C7/1000</f>
        <v>1.1599999999999999</v>
      </c>
      <c r="E26" s="468">
        <f>PGL_Requirements!C8/1000</f>
        <v>1.1599999999999999</v>
      </c>
      <c r="F26" s="468">
        <f>PGL_Requirements!C9/1000</f>
        <v>1.1599999999999999</v>
      </c>
      <c r="G26" s="468">
        <f>PGL_Requirements!C10/1000</f>
        <v>1.1599999999999999</v>
      </c>
      <c r="H26" s="468">
        <f>PGL_Requirements!C11/1000</f>
        <v>1.1599999999999999</v>
      </c>
      <c r="I26" s="469">
        <f>PGL_Requirements!C12/1000</f>
        <v>1.1599999999999999</v>
      </c>
    </row>
    <row r="27" spans="1:10">
      <c r="A27" s="849"/>
      <c r="B27" s="840" t="s">
        <v>93</v>
      </c>
      <c r="C27" s="840"/>
      <c r="D27" s="468">
        <f>PGL_Requirements!D7/1000</f>
        <v>0</v>
      </c>
      <c r="E27" s="468">
        <f>PGL_Requirements!D8/1000</f>
        <v>0</v>
      </c>
      <c r="F27" s="468">
        <f>PGL_Requirements!D9/1000</f>
        <v>4.62</v>
      </c>
      <c r="G27" s="468">
        <f>PGL_Requirements!D10/1000</f>
        <v>4.62</v>
      </c>
      <c r="H27" s="468">
        <f>PGL_Requirements!D11/1000</f>
        <v>4.62</v>
      </c>
      <c r="I27" s="469">
        <f>PGL_Requirements!D12/1000</f>
        <v>0</v>
      </c>
    </row>
    <row r="28" spans="1:10">
      <c r="A28" s="849"/>
      <c r="B28" s="840" t="s">
        <v>421</v>
      </c>
      <c r="C28" s="840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49"/>
      <c r="B29" s="840" t="s">
        <v>96</v>
      </c>
      <c r="C29" s="840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7" t="s">
        <v>151</v>
      </c>
      <c r="B30" s="858"/>
      <c r="C30" s="858"/>
      <c r="D30" s="472">
        <f t="shared" ref="D30:I30" si="1">SUM(D6:D29)</f>
        <v>572.45720000000006</v>
      </c>
      <c r="E30" s="472">
        <f t="shared" si="1"/>
        <v>585.44449999999995</v>
      </c>
      <c r="F30" s="472">
        <f t="shared" si="1"/>
        <v>559.22749999999996</v>
      </c>
      <c r="G30" s="472">
        <f t="shared" si="1"/>
        <v>525.03</v>
      </c>
      <c r="H30" s="472">
        <f t="shared" si="1"/>
        <v>540.03</v>
      </c>
      <c r="I30" s="1175">
        <f t="shared" si="1"/>
        <v>454.21</v>
      </c>
    </row>
    <row r="31" spans="1:10" ht="16.2" thickTop="1" thickBot="1">
      <c r="A31" s="861"/>
      <c r="B31" s="840"/>
      <c r="C31" s="840"/>
      <c r="D31" s="473"/>
      <c r="E31" s="474"/>
      <c r="F31" s="474"/>
      <c r="G31" s="474"/>
      <c r="H31" s="474"/>
      <c r="I31" s="475"/>
    </row>
    <row r="32" spans="1:10" ht="16.8" thickTop="1" thickBot="1">
      <c r="A32" s="862" t="s">
        <v>152</v>
      </c>
      <c r="B32" s="863"/>
      <c r="C32" s="863"/>
      <c r="D32" s="476"/>
      <c r="E32" s="477"/>
      <c r="F32" s="477"/>
      <c r="G32" s="477"/>
      <c r="H32" s="477"/>
      <c r="I32" s="1176"/>
    </row>
    <row r="33" spans="1:9" ht="15.6" thickTop="1">
      <c r="A33" s="849" t="s">
        <v>153</v>
      </c>
      <c r="B33" s="840" t="s">
        <v>145</v>
      </c>
      <c r="C33" s="840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49"/>
      <c r="B34" s="840"/>
      <c r="C34" s="840" t="s">
        <v>94</v>
      </c>
      <c r="D34" s="468">
        <f>PGL_Supplies!H7/1000</f>
        <v>1.254</v>
      </c>
      <c r="E34" s="468">
        <f>PGL_Supplies!H8/1000</f>
        <v>1</v>
      </c>
      <c r="F34" s="468">
        <f>PGL_Supplies!H9/1000</f>
        <v>1</v>
      </c>
      <c r="G34" s="468">
        <f>PGL_Supplies!H10/1000</f>
        <v>1</v>
      </c>
      <c r="H34" s="468">
        <f>PGL_Supplies!H11/1000</f>
        <v>1</v>
      </c>
      <c r="I34" s="469">
        <f>PGL_Supplies!H12/1000</f>
        <v>1</v>
      </c>
    </row>
    <row r="35" spans="1:9">
      <c r="A35" s="849"/>
      <c r="B35" s="840"/>
      <c r="C35" s="840" t="s">
        <v>61</v>
      </c>
      <c r="D35" s="468">
        <f>PGL_Supplies!J7/1000</f>
        <v>2.46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49"/>
      <c r="B36" s="840" t="s">
        <v>143</v>
      </c>
      <c r="C36" s="840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49"/>
      <c r="B37" s="840" t="s">
        <v>141</v>
      </c>
      <c r="C37" s="840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2" t="s">
        <v>155</v>
      </c>
      <c r="B38" s="840" t="s">
        <v>143</v>
      </c>
      <c r="C38" s="840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2"/>
      <c r="B39" s="840" t="s">
        <v>421</v>
      </c>
      <c r="C39" s="853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2"/>
      <c r="B40" s="840" t="s">
        <v>141</v>
      </c>
      <c r="C40" s="840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2"/>
      <c r="B41" s="840" t="s">
        <v>156</v>
      </c>
      <c r="C41" s="840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2" t="s">
        <v>727</v>
      </c>
      <c r="B42" s="840"/>
      <c r="C42" s="840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2" t="s">
        <v>628</v>
      </c>
      <c r="B43" s="840" t="s">
        <v>421</v>
      </c>
      <c r="C43" s="840"/>
      <c r="D43" s="468">
        <f>PGL_Supplies!T7/1000*0.5</f>
        <v>3.524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49"/>
      <c r="B44" s="840" t="s">
        <v>147</v>
      </c>
      <c r="C44" s="853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49"/>
      <c r="B45" s="840" t="s">
        <v>421</v>
      </c>
      <c r="C45" s="853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49"/>
      <c r="B46" s="840" t="s">
        <v>141</v>
      </c>
      <c r="C46" s="840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6" t="s">
        <v>774</v>
      </c>
      <c r="B47" s="840" t="s">
        <v>752</v>
      </c>
      <c r="C47" s="840"/>
      <c r="D47" s="468">
        <f>PGL_Supplies!Y7/1000</f>
        <v>137.405</v>
      </c>
      <c r="E47" s="468">
        <f>PGL_Supplies!Y8/1000</f>
        <v>152.62899999999999</v>
      </c>
      <c r="F47" s="468">
        <f>PGL_Supplies!Y9/1000</f>
        <v>152.62899999999999</v>
      </c>
      <c r="G47" s="468">
        <f>PGL_Supplies!Y10/1000</f>
        <v>152.62899999999999</v>
      </c>
      <c r="H47" s="468">
        <f>PGL_Supplies!Y11/1000</f>
        <v>152.62899999999999</v>
      </c>
      <c r="I47" s="469">
        <f>PGL_Supplies!Y12/1000</f>
        <v>152.62899999999999</v>
      </c>
    </row>
    <row r="48" spans="1:9">
      <c r="A48" s="852"/>
      <c r="B48" s="840" t="s">
        <v>143</v>
      </c>
      <c r="C48" s="853"/>
      <c r="D48" s="468">
        <f>PGL_Supplies!Z7/1000</f>
        <v>41.16</v>
      </c>
      <c r="E48" s="468">
        <f>PGL_Supplies!Z8/1000</f>
        <v>41.16</v>
      </c>
      <c r="F48" s="468">
        <f>PGL_Supplies!Z9/1000</f>
        <v>41.16</v>
      </c>
      <c r="G48" s="468">
        <f>PGL_Supplies!Z10/1000</f>
        <v>41.16</v>
      </c>
      <c r="H48" s="468">
        <f>PGL_Supplies!Z11/1000</f>
        <v>41.16</v>
      </c>
      <c r="I48" s="469">
        <f>PGL_Supplies!Z12/1000</f>
        <v>41.16</v>
      </c>
    </row>
    <row r="49" spans="1:10">
      <c r="A49" s="852"/>
      <c r="B49" s="840" t="s">
        <v>147</v>
      </c>
      <c r="C49" s="853"/>
      <c r="D49" s="468">
        <f>PGL_Supplies!AA7/1000</f>
        <v>0</v>
      </c>
      <c r="E49" s="468">
        <f>PGL_Supplies!AA8/1000</f>
        <v>0</v>
      </c>
      <c r="F49" s="468">
        <f>PGL_Supplies!AA9/1000</f>
        <v>4.62</v>
      </c>
      <c r="G49" s="468">
        <f>PGL_Supplies!AA10/1000</f>
        <v>4.62</v>
      </c>
      <c r="H49" s="468">
        <f>PGL_Supplies!AA11/1000</f>
        <v>4.62</v>
      </c>
      <c r="I49" s="469">
        <f>PGL_Supplies!AA12/1000</f>
        <v>0</v>
      </c>
    </row>
    <row r="50" spans="1:10">
      <c r="A50" s="852"/>
      <c r="B50" s="840" t="s">
        <v>421</v>
      </c>
      <c r="C50" s="853"/>
      <c r="D50" s="468">
        <f>PGL_Supplies!AB7/1000</f>
        <v>258.97000000000003</v>
      </c>
      <c r="E50" s="468">
        <f>PGL_Supplies!AB8/1000</f>
        <v>261.98099999999999</v>
      </c>
      <c r="F50" s="468">
        <f>PGL_Supplies!AB9/1000</f>
        <v>261.98099999999999</v>
      </c>
      <c r="G50" s="468">
        <f>PGL_Supplies!AB10/1000</f>
        <v>261.98099999999999</v>
      </c>
      <c r="H50" s="468">
        <f>PGL_Supplies!AB11/1000</f>
        <v>261.98099999999999</v>
      </c>
      <c r="I50" s="469">
        <f>PGL_Supplies!AB12/1000</f>
        <v>261.98099999999999</v>
      </c>
    </row>
    <row r="51" spans="1:10">
      <c r="A51" s="852"/>
      <c r="B51" s="840" t="s">
        <v>141</v>
      </c>
      <c r="C51" s="840"/>
      <c r="D51" s="468">
        <f>PGL_Supplies!AC7/1000</f>
        <v>124.58799999999999</v>
      </c>
      <c r="E51" s="468">
        <f>PGL_Supplies!AC8/1000</f>
        <v>112.578</v>
      </c>
      <c r="F51" s="468">
        <f>PGL_Supplies!AC9/1000</f>
        <v>112.578</v>
      </c>
      <c r="G51" s="468">
        <f>PGL_Supplies!AC10/1000</f>
        <v>112.578</v>
      </c>
      <c r="H51" s="468">
        <f>PGL_Supplies!AC11/1000</f>
        <v>112.578</v>
      </c>
      <c r="I51" s="469">
        <f>PGL_Supplies!AC12/1000</f>
        <v>112.578</v>
      </c>
    </row>
    <row r="52" spans="1:10">
      <c r="A52" s="852"/>
      <c r="B52" s="840" t="s">
        <v>142</v>
      </c>
      <c r="C52" s="840"/>
      <c r="D52" s="468">
        <f>PGL_Supplies!AD7/1000</f>
        <v>0</v>
      </c>
      <c r="E52" s="468">
        <f>PGL_Supplies!AD8/1000</f>
        <v>0</v>
      </c>
      <c r="F52" s="468">
        <f>PGL_Supplies!AD9/1000</f>
        <v>0</v>
      </c>
      <c r="G52" s="468">
        <f>PGL_Supplies!AD10/1000</f>
        <v>0</v>
      </c>
      <c r="H52" s="468">
        <f>PGL_Supplies!AD11/1000</f>
        <v>0</v>
      </c>
      <c r="I52" s="469">
        <f>PGL_Supplies!AD12/1000</f>
        <v>0</v>
      </c>
    </row>
    <row r="53" spans="1:10">
      <c r="A53" s="866"/>
      <c r="B53" s="840" t="s">
        <v>158</v>
      </c>
      <c r="C53" s="840"/>
      <c r="D53" s="468">
        <f>PGL_Supplies!I7/1000</f>
        <v>15.007999999999999</v>
      </c>
      <c r="E53" s="468">
        <f>PGL_Supplies!I8/1000</f>
        <v>20</v>
      </c>
      <c r="F53" s="468">
        <f>PGL_Supplies!I9/1000</f>
        <v>10</v>
      </c>
      <c r="G53" s="468">
        <f>PGL_Supplies!I10/1000</f>
        <v>10</v>
      </c>
      <c r="H53" s="468">
        <f>PGL_Supplies!I11/1000</f>
        <v>10</v>
      </c>
      <c r="I53" s="469">
        <f>PGL_Supplies!I12/1000</f>
        <v>10</v>
      </c>
      <c r="J53" s="113" t="s">
        <v>11</v>
      </c>
    </row>
    <row r="54" spans="1:10">
      <c r="A54" s="849"/>
      <c r="B54" s="840" t="s">
        <v>159</v>
      </c>
      <c r="C54" s="840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2" t="s">
        <v>792</v>
      </c>
      <c r="B55" s="840"/>
      <c r="C55" s="840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49" t="s">
        <v>763</v>
      </c>
      <c r="B56" s="840" t="s">
        <v>752</v>
      </c>
      <c r="C56" s="840"/>
      <c r="D56" s="468">
        <f>PGL_Supplies!X7/1000</f>
        <v>5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49"/>
      <c r="B57" s="840" t="s">
        <v>143</v>
      </c>
      <c r="C57" s="840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49"/>
      <c r="B58" s="854" t="s">
        <v>147</v>
      </c>
      <c r="C58" s="840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49"/>
      <c r="B59" s="840" t="s">
        <v>421</v>
      </c>
      <c r="C59" s="840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7"/>
      <c r="B60" s="868" t="s">
        <v>142</v>
      </c>
      <c r="C60" s="868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0" t="s">
        <v>160</v>
      </c>
      <c r="B61" s="871"/>
      <c r="C61" s="871"/>
      <c r="D61" s="478">
        <f t="shared" ref="D61:I61" si="2">SUM(D33:D60)</f>
        <v>589.36900000000003</v>
      </c>
      <c r="E61" s="478">
        <f t="shared" si="2"/>
        <v>589.34799999999996</v>
      </c>
      <c r="F61" s="478">
        <f t="shared" si="2"/>
        <v>583.96799999999996</v>
      </c>
      <c r="G61" s="478">
        <f t="shared" si="2"/>
        <v>583.96799999999996</v>
      </c>
      <c r="H61" s="478">
        <f t="shared" si="2"/>
        <v>583.96799999999996</v>
      </c>
      <c r="I61" s="1177">
        <f t="shared" si="2"/>
        <v>579.34799999999996</v>
      </c>
    </row>
    <row r="62" spans="1:10">
      <c r="A62" s="872" t="s">
        <v>161</v>
      </c>
      <c r="B62" s="873"/>
      <c r="C62" s="873"/>
      <c r="D62" s="479">
        <f t="shared" ref="D62:I62" si="3">IF(D61-D30&lt;0,0,D61-D30)</f>
        <v>16.911799999999971</v>
      </c>
      <c r="E62" s="479">
        <f t="shared" si="3"/>
        <v>3.9035000000000082</v>
      </c>
      <c r="F62" s="479">
        <f t="shared" si="3"/>
        <v>24.740499999999997</v>
      </c>
      <c r="G62" s="479">
        <f t="shared" si="3"/>
        <v>58.937999999999988</v>
      </c>
      <c r="H62" s="479">
        <f t="shared" si="3"/>
        <v>43.937999999999988</v>
      </c>
      <c r="I62" s="1178">
        <f t="shared" si="3"/>
        <v>125.13799999999998</v>
      </c>
    </row>
    <row r="63" spans="1:10" ht="15.6" thickBot="1">
      <c r="A63" s="874" t="s">
        <v>162</v>
      </c>
      <c r="B63" s="858"/>
      <c r="C63" s="875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0</v>
      </c>
      <c r="G63" s="480">
        <f t="shared" si="4"/>
        <v>0</v>
      </c>
      <c r="H63" s="480">
        <f t="shared" si="4"/>
        <v>0</v>
      </c>
      <c r="I63" s="1179">
        <f t="shared" si="4"/>
        <v>0</v>
      </c>
    </row>
    <row r="64" spans="1:10" ht="16.2" thickTop="1" thickBot="1">
      <c r="A64" s="1166" t="s">
        <v>778</v>
      </c>
      <c r="B64" s="1167"/>
      <c r="C64" s="1167"/>
      <c r="D64" s="1168">
        <f>PGL_Supplies!V7/1000</f>
        <v>225.76</v>
      </c>
      <c r="E64" s="1168">
        <f>PGL_Supplies!V8/1000</f>
        <v>225.76</v>
      </c>
      <c r="F64" s="1168">
        <f>PGL_Supplies!V9/1000</f>
        <v>225.76</v>
      </c>
      <c r="G64" s="1168">
        <f>PGL_Supplies!V10/1000</f>
        <v>225.76</v>
      </c>
      <c r="H64" s="1168">
        <f>PGL_Supplies!V11/1000</f>
        <v>225.76</v>
      </c>
      <c r="I64" s="1169">
        <f>PGL_Supplies!V12/1000</f>
        <v>225.76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2001-04-27T16:10:33Z</cp:lastPrinted>
  <dcterms:created xsi:type="dcterms:W3CDTF">1997-07-16T16:14:22Z</dcterms:created>
  <dcterms:modified xsi:type="dcterms:W3CDTF">2023-09-10T11:13:33Z</dcterms:modified>
</cp:coreProperties>
</file>