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<sst xmlns="http://schemas.openxmlformats.org/spreadsheetml/2006/main" count="2119" uniqueCount="792">
  <si>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</si>
  <si>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</si>
  <si>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</si>
  <si>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</si>
  <si>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</si>
  <si>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</si>
  <si>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</si>
  <si>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</si>
  <si>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</si>
  <si>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</si>
  <si>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</si>
  <si>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</si>
  <si>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</si>
  <si>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</si>
  <si>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</si>
  <si>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</si>
  <si>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</si>
  <si>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</si>
  <si>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</si>
  <si>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</si>
  <si>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</si>
  <si>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</si>
  <si>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</si>
  <si>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</si>
  <si>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</si>
  <si>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</si>
  <si>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</si>
  <si>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</si>
  <si>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</si>
  <si>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</si>
  <si>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</si>
  <si>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</si>
  <si>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</si>
  <si>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</si>
  <si>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</si>
  <si>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</si>
  <si>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</si>
  <si>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</si>
  <si>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</si>
  <si>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</si>
  <si>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</si>
  <si>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</si>
  <si>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</si>
  <si>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</si>
  <si>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</si>
  <si>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</si>
  <si>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</si>
  <si>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</si>
  <si>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</si>
  <si>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</si>
  <si>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</si>
  <si>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</si>
  <si>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</si>
  <si>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</si>
  <si>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</si>
  <si>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</si>
  <si>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</si>
  <si>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</si>
  <si>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</si>
  <si>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</si>
  <si>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</si>
  <si>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</si>
  <si>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</si>
  <si>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</si>
  <si>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</si>
  <si>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</si>
  <si>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</si>
  <si>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</si>
  <si>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</si>
  <si>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</si>
  <si>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</si>
  <si>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</si>
  <si>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</si>
  <si>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</si>
  <si>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</si>
  <si>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</si>
  <si>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</si>
  <si>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</si>
  <si>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</si>
  <si>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</si>
  <si>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</si>
  <si>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</si>
  <si>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</si>
  <si>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</si>
  <si>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</si>
  <si>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</si>
  <si>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</si>
  <si>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</si>
  <si>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</si>
  <si>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</si>
  <si>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</si>
  <si>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</si>
  <si>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</si>
  <si>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</si>
  <si>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</si>
  <si>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</si>
  <si>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</si>
  <si>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</si>
  <si>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</si>
  <si>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</si>
  <si>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</si>
  <si>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</si>
  <si>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</si>
  <si>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</si>
  <si>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</si>
  <si>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</si>
  <si>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</si>
  <si>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</si>
  <si>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</si>
  <si>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</si>
  <si>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</si>
  <si>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</si>
  <si>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</si>
  <si>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</si>
  <si>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</si>
  <si>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</si>
  <si>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</si>
  <si>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</si>
  <si>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</si>
  <si>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</si>
  <si>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</si>
  <si>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</si>
  <si>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</si>
  <si>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</si>
  <si>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</si>
  <si>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</si>
  <si>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</si>
  <si>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</si>
  <si>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</si>
  <si>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</si>
  <si>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</si>
  <si>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</si>
  <si>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</si>
  <si>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</si>
  <si>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</si>
  <si>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</si>
  <si>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</si>
  <si>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</si>
  <si>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</si>
  <si>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</si>
  <si>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</si>
  <si>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</si>
  <si>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</si>
  <si>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</si>
  <si>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</si>
  <si>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</si>
  <si>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</si>
  <si>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</si>
  <si>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</si>
  <si>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</si>
  <si>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</si>
  <si>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</si>
  <si>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</si>
  <si>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</si>
  <si>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</si>
  <si>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</si>
  <si>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</si>
  <si>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</si>
  <si>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</si>
  <si>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</si>
  <si>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</si>
  <si>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</si>
  <si>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</si>
  <si>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</si>
  <si>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</si>
  <si>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</si>
  <si>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</si>
  <si>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</si>
  <si>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</si>
  <si>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</si>
  <si>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</si>
  <si>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</si>
  <si>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</si>
  <si>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</si>
  <si>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</si>
  <si>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</si>
  <si>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</si>
  <si>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</si>
  <si>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</si>
  <si>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</si>
  <si>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</si>
  <si>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</si>
  <si>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</si>
  <si>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</si>
  <si>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</si>
  <si>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</si>
  <si>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</si>
  <si>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</si>
  <si>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</si>
  <si>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</si>
  <si>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</si>
  <si>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</si>
  <si>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</si>
  <si>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</si>
  <si>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</si>
  <si>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</si>
  <si>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</si>
  <si>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</si>
  <si>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</si>
  <si>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</si>
  <si>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</si>
  <si>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</si>
  <si>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</si>
  <si>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</si>
  <si>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</si>
  <si>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</si>
  <si>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</si>
  <si>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</si>
  <si>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</si>
  <si>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</si>
  <si>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</si>
  <si>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</si>
  <si>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</si>
  <si>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</si>
  <si>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</si>
  <si>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</si>
  <si>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</si>
  <si>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</si>
  <si>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</si>
  <si>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</si>
  <si>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</si>
  <si>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</si>
  <si>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</si>
  <si>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</si>
  <si>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</si>
  <si>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</si>
  <si>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</si>
  <si>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</si>
  <si>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</si>
  <si>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</si>
  <si>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</si>
  <si>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</si>
  <si>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</si>
  <si>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</si>
  <si>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</si>
  <si>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</si>
  <si>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</si>
  <si>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</si>
  <si>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</si>
  <si>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</si>
  <si>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</si>
  <si>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</si>
  <si>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</si>
  <si>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</si>
  <si>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</si>
  <si>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</si>
  <si>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</si>
  <si>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</si>
  <si>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</si>
  <si>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</si>
  <si>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</si>
  <si>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</si>
  <si>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</si>
  <si>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</si>
  <si>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</si>
  <si>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</si>
  <si>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</si>
  <si>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</si>
  <si>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</si>
  <si>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</si>
  <si>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</si>
  <si>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</si>
  <si>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</si>
  <si>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</si>
  <si>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</si>
  <si>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</si>
  <si>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</si>
  <si>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</si>
  <si>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</si>
  <si>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</si>
  <si>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</si>
  <si>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</si>
  <si>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</si>
  <si>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</si>
  <si>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</si>
  <si>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</si>
  <si>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</si>
  <si>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</si>
  <si>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</si>
  <si>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</si>
  <si>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</si>
  <si>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</si>
  <si>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</si>
  <si>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</si>
  <si>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</si>
  <si>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</si>
  <si>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</si>
  <si>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</si>
  <si>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</si>
  <si>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</si>
  <si>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</si>
  <si>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</si>
  <si>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</si>
  <si>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</si>
  <si>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</si>
  <si>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</si>
  <si>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</si>
  <si>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</si>
  <si>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</si>
  <si>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</si>
  <si>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</si>
  <si>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</si>
  <si>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</si>
  <si>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</si>
  <si>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</si>
  <si>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</si>
  <si>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</si>
  <si>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</si>
  <si>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</si>
  <si>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</si>
  <si>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</si>
  <si>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</si>
  <si>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</si>
  <si>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</si>
  <si>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</si>
  <si>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</si>
  <si>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</si>
  <si>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</si>
  <si>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</si>
  <si>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</si>
  <si>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</si>
  <si>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</si>
  <si>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</si>
  <si>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</si>
  <si>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</si>
  <si>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</si>
  <si>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</si>
  <si>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</si>
  <si>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</si>
  <si>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</si>
  <si>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</si>
  <si>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</si>
  <si>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</si>
  <si>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</si>
  <si>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</si>
  <si>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</si>
  <si>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</si>
  <si>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</si>
  <si>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</si>
  <si>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</si>
  <si>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</si>
  <si>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</si>
  <si>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</si>
  <si>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</si>
  <si>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</si>
  <si>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</si>
  <si>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</si>
  <si>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</si>
  <si>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</si>
  <si>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</si>
  <si>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</si>
  <si>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</si>
  <si>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</si>
  <si>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</si>
  <si>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</si>
  <si>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</si>
  <si>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</si>
  <si>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</si>
  <si>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</si>
  <si>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</si>
  <si>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</si>
  <si>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</si>
  <si>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</si>
  <si>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</si>
  <si>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</si>
  <si>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</si>
  <si>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</si>
  <si>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</si>
  <si>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</si>
  <si>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</si>
  <si>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</si>
  <si>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</si>
  <si>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</si>
  <si>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</si>
  <si>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</si>
  <si>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</si>
  <si>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</si>
  <si>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</si>
  <si>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</si>
  <si>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</si>
  <si>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</si>
  <si>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</si>
  <si>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</si>
  <si>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</si>
  <si>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</si>
  <si>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</si>
  <si>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</si>
  <si>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</si>
  <si>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</si>
  <si>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</si>
  <si>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</si>
  <si>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</si>
  <si>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</si>
  <si>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</si>
  <si>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</si>
  <si>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</si>
  <si>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</si>
  <si>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</si>
  <si>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</si>
  <si>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</si>
  <si>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</si>
  <si>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</si>
  <si>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</si>
  <si>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</si>
  <si>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</si>
  <si>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</si>
  <si>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</si>
  <si>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</si>
  <si>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</si>
  <si>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</si>
  <si>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</si>
  <si>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</si>
  <si>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</si>
  <si>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</si>
  <si>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</si>
  <si>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</si>
  <si>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</si>
  <si>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</si>
  <si>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</si>
  <si>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</si>
  <si>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</si>
  <si>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</si>
  <si>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</si>
  <si>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</si>
  <si>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</si>
  <si>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</si>
  <si>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</si>
  <si>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</si>
  <si>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</si>
  <si>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</si>
  <si>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</si>
  <si>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</si>
  <si>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</si>
  <si>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</si>
  <si>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</si>
  <si>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</si>
  <si>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</si>
  <si>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</si>
  <si>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</si>
  <si>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</si>
  <si>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</si>
  <si>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</si>
  <si>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</si>
  <si>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</si>
  <si>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</si>
  <si>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</si>
  <si>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</si>
  <si>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</si>
  <si>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</si>
  <si>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</si>
  <si>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</si>
  <si>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</si>
  <si>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</si>
  <si>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</si>
  <si>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</si>
  <si>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</si>
  <si>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</si>
  <si>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</si>
  <si>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</si>
  <si>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</si>
  <si>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</si>
  <si>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</si>
  <si>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</si>
  <si>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</si>
  <si>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</si>
  <si>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</si>
  <si>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</si>
  <si>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</si>
  <si>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</si>
  <si>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</si>
  <si>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</si>
  <si>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</si>
  <si>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</si>
  <si>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</si>
  <si>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</si>
  <si>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</si>
  <si>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</si>
  <si>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</si>
  <si>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</si>
  <si>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</si>
  <si>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</si>
  <si>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</si>
  <si>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</si>
  <si>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</si>
  <si>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</si>
  <si>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</si>
  <si>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</si>
  <si>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</si>
  <si>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</si>
  <si>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</si>
  <si>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</si>
  <si>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</si>
  <si>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</si>
  <si>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</si>
  <si>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</si>
  <si>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</si>
  <si>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</si>
  <si>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</si>
  <si>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</si>
  <si>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</si>
  <si>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</si>
  <si>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</si>
  <si>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</si>
  <si>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</si>
  <si>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</si>
  <si>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</si>
  <si>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</si>
  <si>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</si>
  <si>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</si>
  <si>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</si>
  <si>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</si>
  <si>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</si>
  <si>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</si>
  <si>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</si>
  <si>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</si>
  <si>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</si>
  <si>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</si>
  <si>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</si>
  <si>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</si>
  <si>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</si>
  <si>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</si>
  <si>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</si>
  <si>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</si>
  <si>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</si>
  <si>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</si>
  <si>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</si>
  <si>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</si>
  <si>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</si>
  <si>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</si>
  <si>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</si>
  <si>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</si>
  <si>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</si>
  <si>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</si>
  <si>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</si>
  <si>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</si>
  <si>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</si>
  <si>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</si>
  <si>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</si>
  <si>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</si>
  <si>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</si>
  <si>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</si>
  <si>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</si>
  <si>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</si>
  <si>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</si>
  <si>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</si>
  <si>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</si>
  <si>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</si>
  <si>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</si>
  <si>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</si>
  <si>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</si>
  <si>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</si>
  <si>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</si>
  <si>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</si>
  <si>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</si>
  <si>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</si>
  <si>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</si>
  <si>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</si>
  <si>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</si>
  <si>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</si>
  <si>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</si>
  <si>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</si>
  <si>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</si>
  <si>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</si>
  <si>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</si>
  <si>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</si>
  <si>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</si>
  <si>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</si>
  <si>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</si>
  <si>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</si>
  <si>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</si>
  <si>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</si>
  <si>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</si>
  <si>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</si>
  <si>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</si>
  <si>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</si>
  <si>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</si>
  <si>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</si>
  <si>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</si>
  <si>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</si>
  <si>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</si>
  <si>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</si>
  <si>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</si>
  <si>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</si>
  <si>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</si>
  <si>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</si>
  <si>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</si>
  <si>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</si>
  <si>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</si>
  <si>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</si>
  <si>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</si>
  <si>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</si>
  <si>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</si>
  <si>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</si>
  <si>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</si>
  <si>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</si>
  <si>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</si>
  <si>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</si>
  <si>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</si>
  <si>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</si>
  <si>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</si>
  <si>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</si>
  <si>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</si>
  <si>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</si>
  <si>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</si>
  <si>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</si>
  <si>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</si>
  <si>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</si>
  <si>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</si>
  <si>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</si>
  <si>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</si>
  <si>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</si>
  <si>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</si>
  <si>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</si>
  <si>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</si>
  <si>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</si>
  <si>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</si>
  <si>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</si>
  <si>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</si>
  <si>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</si>
  <si>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</si>
  <si>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</si>
  <si>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</si>
  <si>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</si>
  <si>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</si>
  <si>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</si>
  <si>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</si>
  <si>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</si>
  <si>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</si>
  <si>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</si>
  <si>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</si>
  <si>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</si>
  <si>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</si>
  <si>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</si>
  <si>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</si>
  <si>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</si>
  <si>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</si>
  <si>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</si>
  <si>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</si>
  <si>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</si>
  <si>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</si>
  <si>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</si>
  <si>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</si>
  <si>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</si>
  <si>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</si>
  <si>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</si>
  <si>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</si>
  <si>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</si>
  <si>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</si>
  <si>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</si>
  <si>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</si>
  <si>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</si>
  <si>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</si>
  <si>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</si>
  <si>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</si>
  <si>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</si>
  <si>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</si>
  <si>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</si>
  <si>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</si>
  <si>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</si>
  <si>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</si>
  <si>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</si>
  <si>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</si>
  <si>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</si>
  <si>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</si>
  <si>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</si>
  <si>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</si>
  <si>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</si>
  <si>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</si>
  <si>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</si>
  <si>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</si>
  <si>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</si>
  <si>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</si>
  <si>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</si>
  <si>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</si>
  <si>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</si>
  <si>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</si>
  <si>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</si>
  <si>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</si>
  <si>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</si>
  <si>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</si>
  <si>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</si>
  <si>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</si>
  <si>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</si>
  <si>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</si>
  <si>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</si>
  <si>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</si>
  <si>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</si>
  <si>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</si>
  <si>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</si>
  <si>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</si>
  <si>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</si>
  <si>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</si>
  <si>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</si>
  <si>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</si>
  <si>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</si>
  <si>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</si>
  <si>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</si>
  <si>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</si>
  <si>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</si>
  <si>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</si>
  <si>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</si>
  <si>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</si>
  <si>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</si>
  <si>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</si>
  <si>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</si>
  <si>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</si>
  <si>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</si>
  <si>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</si>
  <si>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</si>
  <si>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</si>
  <si>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</si>
  <si>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</si>
  <si>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</si>
  <si>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</si>
  <si>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</si>
  <si>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</si>
  <si>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</si>
  <si>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</si>
  <si>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</si>
  <si>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</si>
  <si>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</si>
  <si>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</si>
  <si>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</si>
  <si>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</si>
  <si>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</si>
  <si>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</si>
  <si>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</si>
  <si>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</si>
  <si>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</si>
  <si>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</si>
  <si>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</si>
  <si>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</si>
  <si>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</si>
  <si>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</si>
  <si>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</si>
  <si>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</si>
  <si>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</si>
  <si>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</si>
  <si>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</si>
  <si>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</si>
  <si>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</si>
  <si>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</si>
  <si>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</si>
  <si>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</si>
  <si>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</si>
  <si>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</si>
  <si>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</si>
  <si>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</si>
  <si>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</si>
  <si>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</si>
  <si>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</si>
  <si>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</si>
  <si>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</si>
  <si>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</si>
  <si>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</si>
  <si>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</si>
  <si>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</si>
  <si>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</si>
  <si>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</si>
  <si>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</si>
  <si>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</si>
  <si>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</si>
  <si>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</si>
  <si>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</si>
  <si>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</si>
  <si>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</si>
  <si>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</si>
  <si>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</si>
  <si>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</si>
  <si>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</si>
  <si>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</si>
  <si>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</si>
  <si>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</si>
  <si>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</si>
  <si>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</si>
  <si>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</si>
  <si>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</si>
  <si>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</si>
  <si>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</si>
  <si>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</si>
  <si>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</si>
  <si>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</si>
  <si>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</si>
  <si>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</si>
  <si>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</si>
  <si>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</si>
  <si>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</si>
  <si>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</si>
  <si>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</si>
  <si>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INTERVALS OF CLOUDS AND SUN.</t>
  </si>
  <si>
    <t xml:space="preserve">  SOME SUNSHINE WITH A CHANCE OF A THUNDERSTORM IN THE AFTERNOON.</t>
  </si>
  <si>
    <t xml:space="preserve">  PARTLY 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</si>
</sst>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79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79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79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79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79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79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4" sqref="B4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719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701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632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632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785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629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629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632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632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651</v>
      </c>
      <c r="B1" s="836"/>
      <c r="C1" s="836"/>
      <c r="D1" s="836"/>
      <c r="E1" s="836"/>
      <c r="F1" s="836"/>
      <c r="G1" s="836" t="s">
        <v>135</v>
      </c>
      <c r="H1" s="879" t="str">
        <f>D3</f>
        <v>SAT</v>
      </c>
      <c r="I1" s="880">
        <f>D4</f>
        <v>37009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SAT</v>
      </c>
      <c r="E3" s="843" t="str">
        <f t="shared" si="0"/>
        <v>SUN</v>
      </c>
      <c r="F3" s="843" t="str">
        <f t="shared" si="0"/>
        <v>MON</v>
      </c>
      <c r="G3" s="843" t="str">
        <f t="shared" si="0"/>
        <v>TUE</v>
      </c>
      <c r="H3" s="843" t="str">
        <f t="shared" si="0"/>
        <v>WED</v>
      </c>
      <c r="I3" s="844" t="str">
        <f t="shared" si="0"/>
        <v>THU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37009</v>
      </c>
      <c r="E4" s="847">
        <f>Weather_Input!A6</f>
        <v>37010</v>
      </c>
      <c r="F4" s="847">
        <f>Weather_Input!A7</f>
        <v>37011</v>
      </c>
      <c r="G4" s="847">
        <f>Weather_Input!A8</f>
        <v>37012</v>
      </c>
      <c r="H4" s="847">
        <f>Weather_Input!A9</f>
        <v>37013</v>
      </c>
      <c r="I4" s="848">
        <f>Weather_Input!A10</f>
        <v>37014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65/46/56</v>
      </c>
      <c r="E5" s="881" t="str">
        <f>TEXT(Weather_Input!B6,"0")&amp;"/"&amp;TEXT(Weather_Input!C6,"0") &amp; "/" &amp; TEXT((Weather_Input!B6+Weather_Input!C6)/2,"0")</f>
        <v>78/56/67</v>
      </c>
      <c r="F5" s="881" t="str">
        <f>TEXT(Weather_Input!B7,"0")&amp;"/"&amp;TEXT(Weather_Input!C7,"0") &amp; "/" &amp; TEXT((Weather_Input!B7+Weather_Input!C7)/2,"0")</f>
        <v>82/58/70</v>
      </c>
      <c r="G5" s="881" t="str">
        <f>TEXT(Weather_Input!B8,"0")&amp;"/"&amp;TEXT(Weather_Input!C8,"0") &amp; "/" &amp; TEXT((Weather_Input!B8+Weather_Input!C8)/2,"0")</f>
        <v>84/63/74</v>
      </c>
      <c r="H5" s="881" t="str">
        <f>TEXT(Weather_Input!B9,"0")&amp;"/"&amp;TEXT(Weather_Input!C9,"0") &amp; "/" &amp; TEXT((Weather_Input!B9+Weather_Input!C9)/2,"0")</f>
        <v>84/63/74</v>
      </c>
      <c r="I5" s="882" t="str">
        <f>TEXT(Weather_Input!B10,"0")&amp;"/"&amp;TEXT(Weather_Input!C10,"0") &amp; "/" &amp; TEXT((Weather_Input!B10+Weather_Input!C10)/2,"0")</f>
        <v>80/65/73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56</v>
      </c>
      <c r="E6" s="850">
        <f ca="1">VLOOKUP(E4,NSG_Sendouts,CELL("Col",NSG_Deliveries!C6),FALSE)/1000</f>
        <v>47</v>
      </c>
      <c r="F6" s="850">
        <f ca="1">VLOOKUP(F4,NSG_Sendouts,CELL("Col",NSG_Deliveries!C7),FALSE)/1000</f>
        <v>46</v>
      </c>
      <c r="G6" s="850">
        <f ca="1">VLOOKUP(G4,NSG_Sendouts,CELL("Col",NSG_Deliveries!C8),FALSE)/1000</f>
        <v>42</v>
      </c>
      <c r="H6" s="850">
        <f ca="1">VLOOKUP(H4,NSG_Sendouts,CELL("Col",NSG_Deliveries!C9),FALSE)/1000</f>
        <v>42</v>
      </c>
      <c r="I6" s="855">
        <f ca="1">VLOOKUP(I4,NSG_Sendouts,CELL("Col",NSG_Deliveries!C10),FALSE)/1000</f>
        <v>43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416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2.7589999999999999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416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401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76</v>
      </c>
      <c r="E19" s="859">
        <f t="shared" ca="1" si="1"/>
        <v>69.759</v>
      </c>
      <c r="F19" s="859">
        <f t="shared" ca="1" si="1"/>
        <v>66</v>
      </c>
      <c r="G19" s="859">
        <f t="shared" ca="1" si="1"/>
        <v>62</v>
      </c>
      <c r="H19" s="859">
        <f t="shared" ca="1" si="1"/>
        <v>62</v>
      </c>
      <c r="I19" s="860">
        <f t="shared" ca="1" si="1"/>
        <v>63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775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6.25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776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416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777</v>
      </c>
      <c r="D32" s="850">
        <f>NSG_Supplies!R7/1000</f>
        <v>49.755000000000003</v>
      </c>
      <c r="E32" s="850">
        <f>NSG_Supplies!R8/1000</f>
        <v>49.755000000000003</v>
      </c>
      <c r="F32" s="850">
        <f>NSG_Supplies!R9/1000</f>
        <v>49.755000000000003</v>
      </c>
      <c r="G32" s="850">
        <f>NSG_Supplies!R10/1000</f>
        <v>49.755000000000003</v>
      </c>
      <c r="H32" s="850">
        <f>NSG_Supplies!R11/1000</f>
        <v>49.755000000000003</v>
      </c>
      <c r="I32" s="851">
        <f>NSG_Supplies!R12/1000</f>
        <v>49.755000000000003</v>
      </c>
      <c r="J32" s="112"/>
    </row>
    <row r="33" spans="1:13" ht="20.100000000000001" customHeight="1">
      <c r="A33" s="849"/>
      <c r="B33" s="840" t="s">
        <v>143</v>
      </c>
      <c r="C33" s="840" t="s">
        <v>640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416</v>
      </c>
      <c r="C35" s="854" t="s">
        <v>524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401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76.004999999999995</v>
      </c>
      <c r="E37" s="890">
        <f t="shared" si="2"/>
        <v>69.754999999999995</v>
      </c>
      <c r="F37" s="890">
        <f t="shared" si="2"/>
        <v>69.754999999999995</v>
      </c>
      <c r="G37" s="890">
        <f t="shared" si="2"/>
        <v>69.754999999999995</v>
      </c>
      <c r="H37" s="890">
        <f t="shared" si="2"/>
        <v>69.754999999999995</v>
      </c>
      <c r="I37" s="891">
        <f t="shared" si="2"/>
        <v>69.754999999999995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4.9999999999954525E-3</v>
      </c>
      <c r="E38" s="894">
        <f t="shared" ca="1" si="3"/>
        <v>0</v>
      </c>
      <c r="F38" s="894">
        <f t="shared" ca="1" si="3"/>
        <v>3.7549999999999955</v>
      </c>
      <c r="G38" s="894">
        <f t="shared" ca="1" si="3"/>
        <v>7.7549999999999955</v>
      </c>
      <c r="H38" s="894">
        <f t="shared" ca="1" si="3"/>
        <v>7.7549999999999955</v>
      </c>
      <c r="I38" s="895">
        <f t="shared" ca="1" si="3"/>
        <v>6.7549999999999955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0</v>
      </c>
      <c r="E39" s="876">
        <f t="shared" ca="1" si="4"/>
        <v>4.0000000000048885E-3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778</v>
      </c>
      <c r="B40" s="1172"/>
      <c r="C40" s="1172"/>
      <c r="D40" s="1173">
        <f>NSG_Supplies!S7/1000</f>
        <v>24.754999999999999</v>
      </c>
      <c r="E40" s="1173">
        <f>NSG_Supplies!S8/1000</f>
        <v>24.754999999999999</v>
      </c>
      <c r="F40" s="1173">
        <f>NSG_Supplies!S9/1000</f>
        <v>24.754999999999999</v>
      </c>
      <c r="G40" s="1173">
        <f>NSG_Supplies!S10/1000</f>
        <v>24.754999999999999</v>
      </c>
      <c r="H40" s="1173">
        <f>NSG_Supplies!S11/1000</f>
        <v>24.754999999999999</v>
      </c>
      <c r="I40" s="1174">
        <f>NSG_Supplies!S12/1000</f>
        <v>24.754999999999999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8.6999999999999993</v>
      </c>
      <c r="E42" s="901">
        <f>Weather_Input!D6</f>
        <v>15</v>
      </c>
      <c r="F42" s="901">
        <f>Weather_Input!D7</f>
        <v>15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37009</v>
      </c>
      <c r="G1" s="770" t="str">
        <f>CHOOSE(WEEKDAY(F1),"SUN","MON","TUE","WED","THU","FRI","SAT")</f>
        <v>SAT</v>
      </c>
      <c r="H1" s="592" t="s">
        <v>258</v>
      </c>
      <c r="I1" s="593"/>
    </row>
    <row r="2" spans="1:9" ht="15.6">
      <c r="A2" s="258" t="s">
        <v>11</v>
      </c>
      <c r="B2" s="609" t="s">
        <v>691</v>
      </c>
      <c r="C2" s="962"/>
      <c r="D2" s="601" t="s">
        <v>557</v>
      </c>
      <c r="E2" s="608"/>
      <c r="F2" s="606" t="s">
        <v>558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65</v>
      </c>
      <c r="C4" s="964">
        <f>Weather_Input!C5</f>
        <v>46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630</v>
      </c>
      <c r="B5" s="965"/>
      <c r="C5" s="966">
        <f>PGL_Requirements!H7/1000</f>
        <v>20.364000000000001</v>
      </c>
      <c r="D5" s="620"/>
      <c r="E5" s="302"/>
      <c r="F5" s="620"/>
      <c r="G5" s="607"/>
      <c r="H5" s="302"/>
      <c r="I5" s="296"/>
    </row>
    <row r="6" spans="1:9" ht="15.6">
      <c r="A6" s="262" t="s">
        <v>419</v>
      </c>
      <c r="B6" s="1163" t="s">
        <v>11</v>
      </c>
      <c r="C6" s="967">
        <f>PGL_Deliveries!C5/1000</f>
        <v>288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772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561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746</v>
      </c>
      <c r="B10" s="1115"/>
      <c r="C10" s="1132">
        <f>+B34</f>
        <v>159.39099999999999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562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563</v>
      </c>
      <c r="B12" s="282" t="s">
        <v>11</v>
      </c>
      <c r="C12" s="614">
        <f>B55</f>
        <v>-187.27299999999997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564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565</v>
      </c>
      <c r="B14" s="286" t="s">
        <v>11</v>
      </c>
      <c r="C14" s="614">
        <f>I60</f>
        <v>232.60000000000002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8">
        <f>PGL_Supplies!I7/1000</f>
        <v>13.301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566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567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568</v>
      </c>
      <c r="B18" s="615" t="s">
        <v>11</v>
      </c>
      <c r="C18" s="1136">
        <f>PGL_Requirements!G7/1000</f>
        <v>0.61699999999999999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700</v>
      </c>
      <c r="B19" s="617" t="s">
        <v>11</v>
      </c>
      <c r="C19" s="511">
        <f>SUM(C9:C17)-C18</f>
        <v>217.40200000000004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645</v>
      </c>
      <c r="H20" s="507"/>
      <c r="I20" s="970"/>
    </row>
    <row r="21" spans="1:12">
      <c r="A21" s="493" t="s">
        <v>631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70.597999999999956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427</v>
      </c>
      <c r="B24" s="973" t="s">
        <v>11</v>
      </c>
      <c r="C24" s="974">
        <f>SUM(B54+B56+B57)</f>
        <v>2.8089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428</v>
      </c>
      <c r="B25" s="978" t="s">
        <v>11</v>
      </c>
      <c r="C25" s="979">
        <f>SUM(C22:C24)</f>
        <v>73.406899999999951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737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436</v>
      </c>
      <c r="B27" s="988"/>
      <c r="C27" s="989">
        <f>PGL_Requirements!O7/1000</f>
        <v>49.384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437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-131.75</v>
      </c>
      <c r="D29" s="986" t="s">
        <v>11</v>
      </c>
      <c r="E29" s="985">
        <f>-PGL_Supplies!AC7/1000</f>
        <v>-131.75</v>
      </c>
      <c r="F29" s="307"/>
      <c r="G29" s="985">
        <f>-PGL_Supplies!AC7/1000</f>
        <v>-131.75</v>
      </c>
      <c r="H29" s="514"/>
      <c r="I29" s="987">
        <f>-PGL_Supplies!AC7/1000</f>
        <v>-131.75</v>
      </c>
      <c r="L29" s="1102"/>
    </row>
    <row r="30" spans="1:12" ht="16.2" thickBot="1">
      <c r="A30" s="326" t="s">
        <v>11</v>
      </c>
      <c r="B30" s="487" t="s">
        <v>11</v>
      </c>
      <c r="C30" s="1186" t="s">
        <v>746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750</v>
      </c>
      <c r="B31" s="324">
        <f>PGL_Requirements!J7/1000</f>
        <v>0</v>
      </c>
      <c r="C31" s="8"/>
      <c r="D31" s="613"/>
      <c r="E31" s="8"/>
      <c r="F31" s="332" t="s">
        <v>460</v>
      </c>
      <c r="G31" s="544"/>
      <c r="H31" s="523"/>
      <c r="I31" s="336"/>
      <c r="L31" s="1102"/>
    </row>
    <row r="32" spans="1:12">
      <c r="A32" s="425" t="s">
        <v>751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159.39099999999999</v>
      </c>
      <c r="C33" s="1120" t="s">
        <v>11</v>
      </c>
      <c r="D33" s="349"/>
      <c r="E33" s="554"/>
      <c r="F33" s="425" t="s">
        <v>462</v>
      </c>
      <c r="G33" s="544"/>
      <c r="H33" s="317"/>
      <c r="I33" s="336"/>
      <c r="L33" s="1102"/>
    </row>
    <row r="34" spans="1:12" ht="16.2" thickBot="1">
      <c r="A34" s="559" t="s">
        <v>443</v>
      </c>
      <c r="B34" s="1124">
        <f>+B33+B32-B31</f>
        <v>159.39099999999999</v>
      </c>
      <c r="C34" s="1125" t="s">
        <v>11</v>
      </c>
      <c r="D34" s="531"/>
      <c r="E34" s="521"/>
      <c r="F34" s="425" t="s">
        <v>463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464</v>
      </c>
      <c r="G35" s="544"/>
      <c r="H35" s="317"/>
      <c r="I35" s="994" t="s">
        <v>692</v>
      </c>
      <c r="L35" s="1102"/>
    </row>
    <row r="36" spans="1:12">
      <c r="A36" s="425" t="s">
        <v>633</v>
      </c>
      <c r="B36" s="324">
        <f>PGL_Requirements!U7/1000</f>
        <v>40</v>
      </c>
      <c r="C36" s="594"/>
      <c r="D36" s="313"/>
      <c r="E36" s="333"/>
      <c r="F36" s="370" t="s">
        <v>465</v>
      </c>
      <c r="G36" s="544"/>
      <c r="H36" s="317"/>
      <c r="I36" s="995"/>
      <c r="L36" s="1102"/>
    </row>
    <row r="37" spans="1:12">
      <c r="A37" s="425" t="s">
        <v>716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2"/>
    </row>
    <row r="38" spans="1:12">
      <c r="A38" s="425" t="s">
        <v>441</v>
      </c>
      <c r="B38" s="324">
        <f>PGL_Requirements!C7/1000</f>
        <v>0</v>
      </c>
      <c r="C38" s="1115"/>
      <c r="D38" s="1116"/>
      <c r="E38" s="1011"/>
      <c r="F38" s="425" t="s">
        <v>467</v>
      </c>
      <c r="G38" s="544"/>
      <c r="H38" s="317"/>
      <c r="I38" s="336"/>
      <c r="L38" s="1102"/>
    </row>
    <row r="39" spans="1:12">
      <c r="A39" s="425" t="s">
        <v>442</v>
      </c>
      <c r="B39" s="324">
        <f>PGL_Supplies!C7/1000</f>
        <v>0</v>
      </c>
      <c r="C39" s="1115"/>
      <c r="D39" s="1116"/>
      <c r="E39" s="813"/>
      <c r="F39" s="996" t="s">
        <v>468</v>
      </c>
      <c r="G39" s="122"/>
      <c r="H39" s="549"/>
      <c r="I39" s="336"/>
      <c r="L39" s="1102"/>
    </row>
    <row r="40" spans="1:12" ht="15.6" thickBot="1">
      <c r="A40" s="638" t="s">
        <v>698</v>
      </c>
      <c r="B40" s="324">
        <f>PGL_Supplies!Z7/1000</f>
        <v>40</v>
      </c>
      <c r="C40" s="122"/>
      <c r="D40" s="1114"/>
      <c r="E40" s="122"/>
      <c r="F40" s="547" t="s">
        <v>469</v>
      </c>
      <c r="G40" s="544"/>
      <c r="H40" s="350"/>
      <c r="I40" s="336"/>
      <c r="L40" s="594"/>
    </row>
    <row r="41" spans="1:12" ht="16.2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4.62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6" thickBot="1">
      <c r="A45" s="425" t="s">
        <v>446</v>
      </c>
      <c r="B45" s="999">
        <f>PGL_Requirements!D7/1000</f>
        <v>4.62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2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443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474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187.26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6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6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3" t="s">
        <v>11</v>
      </c>
    </row>
    <row r="52" spans="1:9" ht="16.2" thickBot="1">
      <c r="A52" s="425" t="s">
        <v>450</v>
      </c>
      <c r="B52" s="324">
        <f>PGL_Supplies!H7/1000</f>
        <v>0.627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742</v>
      </c>
      <c r="B53" s="324">
        <f>PGL_Requirements!R7/1000</f>
        <v>0.64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743</v>
      </c>
      <c r="B54" s="324">
        <f>PGL_Requirements!Q7/1000</f>
        <v>2.8089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2" thickBot="1">
      <c r="A55" s="518" t="s">
        <v>452</v>
      </c>
      <c r="B55" s="519">
        <f>-B49+B50+B52+B56+B57-B53-B51</f>
        <v>-187.27299999999997</v>
      </c>
      <c r="C55" s="520"/>
      <c r="D55" s="520"/>
      <c r="E55" s="521"/>
      <c r="F55" s="547" t="s">
        <v>480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6">
        <f>PGL_Supplies!E7/1000</f>
        <v>0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242.78200000000001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625</v>
      </c>
      <c r="G58" s="122"/>
      <c r="H58" s="1006">
        <f>PGL_Supplies!T7/1000</f>
        <v>0</v>
      </c>
      <c r="I58" s="1011"/>
    </row>
    <row r="59" spans="1:9" ht="15.6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624</v>
      </c>
      <c r="G59" s="122"/>
      <c r="H59" s="1012"/>
      <c r="I59" s="1013">
        <f>PGL_Requirements!H7/1000*0.5</f>
        <v>10.182</v>
      </c>
    </row>
    <row r="60" spans="1:9" ht="16.2" thickBot="1">
      <c r="A60" s="425" t="s">
        <v>455</v>
      </c>
      <c r="B60" s="388">
        <f>PGL_Requirements!F7/1000</f>
        <v>0</v>
      </c>
      <c r="C60" s="381" t="s">
        <v>11</v>
      </c>
      <c r="D60" s="313"/>
      <c r="E60" s="382"/>
      <c r="F60" s="551" t="s">
        <v>693</v>
      </c>
      <c r="G60" s="430"/>
      <c r="H60" s="430"/>
      <c r="I60" s="1083">
        <f>SUM(H55:H59)-SUM(I55:I59)</f>
        <v>232.60000000000002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4" t="s">
        <v>694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695</v>
      </c>
      <c r="G62" s="594"/>
      <c r="H62" s="1087" t="s">
        <v>11</v>
      </c>
      <c r="I62" s="1085">
        <f>H57-I59-I61</f>
        <v>232.60000000000002</v>
      </c>
    </row>
    <row r="63" spans="1:9" ht="16.2" thickBot="1">
      <c r="A63" s="799" t="s">
        <v>560</v>
      </c>
      <c r="B63" s="1019">
        <f>+B62+B61-B60+B59</f>
        <v>0</v>
      </c>
      <c r="C63" s="1000" t="s">
        <v>11</v>
      </c>
      <c r="D63" s="531"/>
      <c r="E63" s="521"/>
      <c r="F63" s="1018" t="s">
        <v>780</v>
      </c>
      <c r="G63" s="225"/>
      <c r="H63" s="1115"/>
      <c r="I63" s="1182">
        <f>I59</f>
        <v>10.182</v>
      </c>
    </row>
    <row r="64" spans="1:9" ht="15.6">
      <c r="A64" s="542" t="s">
        <v>733</v>
      </c>
      <c r="B64" s="1026"/>
      <c r="C64" s="1036" t="s">
        <v>11</v>
      </c>
      <c r="D64" s="1036" t="s">
        <v>11</v>
      </c>
      <c r="E64" s="1037" t="s">
        <v>11</v>
      </c>
      <c r="F64" s="1185" t="s">
        <v>782</v>
      </c>
      <c r="G64" s="434"/>
      <c r="H64" s="1116"/>
      <c r="I64" s="1182">
        <f>PGL_Requirements!H7/1000</f>
        <v>20.364000000000001</v>
      </c>
    </row>
    <row r="65" spans="1:9" ht="15.6">
      <c r="A65" s="370" t="s">
        <v>734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242.78200000000001</v>
      </c>
    </row>
    <row r="66" spans="1:9" ht="16.2" thickBot="1">
      <c r="A66" s="1188" t="s">
        <v>784</v>
      </c>
      <c r="B66" s="1027"/>
      <c r="C66" s="1038" t="s">
        <v>11</v>
      </c>
      <c r="D66" s="1038" t="s">
        <v>11</v>
      </c>
      <c r="E66" s="1039" t="s">
        <v>11</v>
      </c>
      <c r="F66" s="358" t="s">
        <v>749</v>
      </c>
      <c r="G66" s="359"/>
      <c r="H66" s="359"/>
      <c r="I66" s="360"/>
    </row>
    <row r="67" spans="1:9" ht="16.2" thickBot="1">
      <c r="A67" s="1024" t="s">
        <v>699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484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752</v>
      </c>
      <c r="B68" s="1100"/>
      <c r="C68" s="122"/>
      <c r="D68" s="1100"/>
      <c r="E68" s="122"/>
      <c r="F68" s="361" t="s">
        <v>485</v>
      </c>
      <c r="G68" s="313"/>
      <c r="H68" s="540"/>
      <c r="I68" s="1023"/>
    </row>
    <row r="69" spans="1:9" ht="16.2" thickBot="1">
      <c r="A69" s="518" t="s">
        <v>735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7" t="s">
        <v>783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486</v>
      </c>
      <c r="G70" s="120"/>
      <c r="H70" s="1022" t="s">
        <v>487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SAT</v>
      </c>
      <c r="G1" s="1082">
        <f>Weather_Input!A5</f>
        <v>37009</v>
      </c>
      <c r="H1" s="589" t="s">
        <v>258</v>
      </c>
      <c r="I1" s="593"/>
    </row>
    <row r="2" spans="1:9" ht="20.399999999999999">
      <c r="A2" s="642" t="s">
        <v>11</v>
      </c>
      <c r="B2" s="793" t="s">
        <v>556</v>
      </c>
      <c r="C2" s="953"/>
      <c r="D2" s="795" t="s">
        <v>557</v>
      </c>
      <c r="E2" s="794"/>
      <c r="F2" s="795" t="s">
        <v>558</v>
      </c>
      <c r="G2" s="794"/>
      <c r="H2" s="796" t="s">
        <v>496</v>
      </c>
      <c r="I2" s="645"/>
    </row>
    <row r="3" spans="1:9" ht="21">
      <c r="A3" s="1091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65</v>
      </c>
      <c r="C4" s="758">
        <f>Weather_Input!C5</f>
        <v>46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56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56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641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645</v>
      </c>
      <c r="H18" s="662"/>
      <c r="I18" s="830"/>
    </row>
    <row r="19" spans="1:9" ht="23.4" thickBot="1">
      <c r="A19" s="703" t="s">
        <v>428</v>
      </c>
      <c r="B19" s="704"/>
      <c r="C19" s="705">
        <f>C7+C12</f>
        <v>56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437</v>
      </c>
      <c r="B25" s="714"/>
      <c r="C25" s="711">
        <f>-NSG_Supplies!F7/1000</f>
        <v>-6.25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-49.755000000000003</v>
      </c>
      <c r="D26" s="718"/>
      <c r="E26" s="711">
        <f>-NSG_Supplies!R7/1000</f>
        <v>-49.755000000000003</v>
      </c>
      <c r="F26" s="718"/>
      <c r="G26" s="711">
        <f>-NSG_Supplies!R7/1000</f>
        <v>-49.755000000000003</v>
      </c>
      <c r="H26" s="717"/>
      <c r="I26" s="776">
        <f>-NSG_Supplies!R7/1000</f>
        <v>-49.755000000000003</v>
      </c>
    </row>
    <row r="27" spans="1:9" ht="20.399999999999999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399999999999999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646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506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507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508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509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510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642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505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515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37009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65</v>
      </c>
      <c r="C5" s="266">
        <f>Weather_Input!C5</f>
        <v>46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288</v>
      </c>
      <c r="C8" s="274">
        <f>NSG_Deliveries!C5/1000</f>
        <v>56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225.38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13.301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-27.869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0.627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0.61699999999999999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-210.822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77.177999999999997</v>
      </c>
      <c r="C20" s="295">
        <f>C8+C18+C19</f>
        <v>56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2.8089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79.986899999999991</v>
      </c>
      <c r="C23" s="301">
        <f>C20</f>
        <v>56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-131.75</v>
      </c>
      <c r="C32" s="315">
        <f>-NSG_Supplies!R7/1000</f>
        <v>-49.755000000000003</v>
      </c>
      <c r="D32" s="315">
        <f>B32</f>
        <v>-131.75</v>
      </c>
      <c r="E32" s="315">
        <f>C32</f>
        <v>-49.755000000000003</v>
      </c>
      <c r="F32" s="315">
        <f>B32</f>
        <v>-131.75</v>
      </c>
      <c r="G32" s="315">
        <f>C32</f>
        <v>-49.755000000000003</v>
      </c>
      <c r="H32" s="320">
        <f>B32</f>
        <v>-131.75</v>
      </c>
      <c r="I32" s="321">
        <f>C32</f>
        <v>-49.755000000000003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-24.754999999999999</v>
      </c>
      <c r="D33" s="315">
        <f>B33</f>
        <v>0</v>
      </c>
      <c r="E33" s="315">
        <f>C33</f>
        <v>-24.754999999999999</v>
      </c>
      <c r="F33" s="315">
        <f>B33</f>
        <v>0</v>
      </c>
      <c r="G33" s="315">
        <f>C33</f>
        <v>-24.754999999999999</v>
      </c>
      <c r="H33" s="320">
        <f>B33</f>
        <v>0</v>
      </c>
      <c r="I33" s="321">
        <f>C33</f>
        <v>-24.754999999999999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49.384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-6.25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187.26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0.627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2.8089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2.8089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0.627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220.76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4.62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225.38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159.39099999999999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187.26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-27.869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37009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49.384</v>
      </c>
      <c r="D97" s="602"/>
      <c r="E97" s="614">
        <f>+C97</f>
        <v>49.384</v>
      </c>
      <c r="F97" s="602"/>
      <c r="G97" s="614">
        <f>+C97</f>
        <v>49.384</v>
      </c>
      <c r="H97" s="602"/>
      <c r="I97" s="285">
        <f>+C97</f>
        <v>49.384</v>
      </c>
    </row>
    <row r="98" spans="1:9" ht="15">
      <c r="A98" s="493" t="s">
        <v>60</v>
      </c>
      <c r="B98" s="282" t="s">
        <v>11</v>
      </c>
      <c r="C98" s="623">
        <f>B149</f>
        <v>0.627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-4394.62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159.39099999999999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0.61699999999999999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</v>
      </c>
      <c r="C116" s="419">
        <f>-NSG_Supplies!W7/1000</f>
        <v>0</v>
      </c>
      <c r="D116" s="315">
        <f>-PGL_Supplies!Z7/1000</f>
        <v>-40</v>
      </c>
      <c r="E116" s="315">
        <f>-NSG_Supplies!W7/1000</f>
        <v>0</v>
      </c>
      <c r="F116" s="315">
        <f>-PGL_Supplies!Z7/1000</f>
        <v>-40</v>
      </c>
      <c r="G116" s="315">
        <f>-NSG_Supplies!W7/1000</f>
        <v>0</v>
      </c>
      <c r="H116" s="320">
        <f>-PGL_Supplies!Z7/1000</f>
        <v>-40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-4.62</v>
      </c>
      <c r="C117" s="315">
        <f>-NSG_Supplies!X7/1000</f>
        <v>0</v>
      </c>
      <c r="D117" s="315">
        <f>-PGL_Supplies!AA7/1000</f>
        <v>-4.62</v>
      </c>
      <c r="E117" s="315">
        <f>-NSG_Supplies!X7/1000</f>
        <v>0</v>
      </c>
      <c r="F117" s="315">
        <f>-PGL_Supplies!AA7/1000</f>
        <v>-4.62</v>
      </c>
      <c r="G117" s="315">
        <f>-NSG_Supplies!X7/1000</f>
        <v>0</v>
      </c>
      <c r="H117" s="320">
        <f>-PGL_Supplies!AA7/1000</f>
        <v>-4.62</v>
      </c>
      <c r="I117" s="321">
        <f>-NSG_Supplies!X7/1000</f>
        <v>0</v>
      </c>
    </row>
    <row r="118" spans="1:9" ht="15.6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-24.754999999999999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49.384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6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2" thickBot="1">
      <c r="A133" s="559" t="s">
        <v>443</v>
      </c>
      <c r="B133" s="566">
        <f>B126+B127+B130+B131+B132-B125-B128-B129</f>
        <v>49.384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4.62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4620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6" thickBot="1">
      <c r="A140" s="425" t="s">
        <v>393</v>
      </c>
      <c r="B140" s="324">
        <f>PGL_Supplies!V7/1000</f>
        <v>220.76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2" thickBot="1">
      <c r="A141" s="559" t="s">
        <v>443</v>
      </c>
      <c r="B141" s="561">
        <f>-B135+B136+B137-B138+B139+B140</f>
        <v>-4394.62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187.26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6" thickBot="1">
      <c r="A146" s="425" t="s">
        <v>450</v>
      </c>
      <c r="B146" s="324">
        <f>PGL_Supplies!H7/1000</f>
        <v>0.627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6" thickBot="1">
      <c r="A148" s="425" t="s">
        <v>451</v>
      </c>
      <c r="B148" s="324">
        <f>PGL_Requirements!Q7/1000</f>
        <v>2.8089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452</v>
      </c>
      <c r="B149" s="519">
        <f>B144+B146</f>
        <v>0.627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6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6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393</v>
      </c>
      <c r="B160" s="611">
        <f>PGL_Supplies!Y7/1000</f>
        <v>159.39099999999999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2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2" thickBot="1">
      <c r="A162" s="399" t="s">
        <v>452</v>
      </c>
      <c r="B162" s="612">
        <f>B154+B156+B158+B159+B160-B153-B155-B157-B161</f>
        <v>159.39099999999999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37010.45763553241</v>
      </c>
      <c r="F22" s="164" t="s">
        <v>271</v>
      </c>
      <c r="G22" s="191">
        <f ca="1">NOW()</f>
        <v>37010.45763553241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6" thickBot="1"/>
    <row r="26" spans="2:9" ht="15.6" thickBot="1">
      <c r="B26" s="209" t="s">
        <v>11</v>
      </c>
      <c r="C26" s="164" t="s">
        <v>275</v>
      </c>
    </row>
    <row r="27" spans="2:9" ht="15.6" thickBot="1">
      <c r="B27" s="209" t="s">
        <v>11</v>
      </c>
      <c r="C27" s="164" t="s">
        <v>276</v>
      </c>
    </row>
    <row r="28" spans="2:9" ht="15.6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6">
      <c r="B34" s="164" t="s">
        <v>278</v>
      </c>
      <c r="E34" s="190">
        <v>0</v>
      </c>
      <c r="F34" t="s">
        <v>279</v>
      </c>
    </row>
    <row r="36" spans="2:8" ht="15.6">
      <c r="B36" s="164" t="s">
        <v>280</v>
      </c>
      <c r="E36" s="190">
        <v>0</v>
      </c>
      <c r="F36" t="s">
        <v>279</v>
      </c>
    </row>
    <row r="38" spans="2:8" ht="15.6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6">
      <c r="E39" s="166">
        <f>+E38+1</f>
        <v>35917</v>
      </c>
      <c r="F39" s="190">
        <v>0</v>
      </c>
      <c r="G39" t="s">
        <v>279</v>
      </c>
    </row>
    <row r="40" spans="2:8" ht="15.6">
      <c r="E40" s="166">
        <f>+E39+1</f>
        <v>35918</v>
      </c>
      <c r="F40" s="190">
        <v>0</v>
      </c>
      <c r="G40" t="s">
        <v>279</v>
      </c>
    </row>
    <row r="41" spans="2:8" ht="15.6">
      <c r="E41" s="166">
        <f>+E40+1</f>
        <v>35919</v>
      </c>
      <c r="F41" s="190">
        <v>0</v>
      </c>
      <c r="G41" t="s">
        <v>279</v>
      </c>
    </row>
    <row r="42" spans="2:8" ht="15.6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37009</v>
      </c>
      <c r="C5" s="15"/>
      <c r="D5" s="22" t="s">
        <v>289</v>
      </c>
      <c r="E5" s="23">
        <f>Weather_Input!B5</f>
        <v>65</v>
      </c>
      <c r="F5" s="24" t="s">
        <v>290</v>
      </c>
      <c r="G5" s="25">
        <f>Weather_Input!H5</f>
        <v>12</v>
      </c>
      <c r="H5" s="26" t="s">
        <v>291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176</v>
      </c>
      <c r="E6" s="23">
        <f>Weather_Input!C5</f>
        <v>46</v>
      </c>
      <c r="F6" s="24" t="s">
        <v>292</v>
      </c>
      <c r="G6" s="25">
        <f>Weather_Input!F5</f>
        <v>370</v>
      </c>
      <c r="H6" s="26" t="s">
        <v>293</v>
      </c>
      <c r="I6" s="27">
        <f ca="1">G6-(VLOOKUP(B5,DD_Normal_Data,CELL("Col",C7),FALSE))</f>
        <v>-109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55.3</v>
      </c>
      <c r="F7" s="24" t="s">
        <v>295</v>
      </c>
      <c r="G7" s="25">
        <f>Weather_Input!G5</f>
        <v>6403</v>
      </c>
      <c r="H7" s="26" t="s">
        <v>295</v>
      </c>
      <c r="I7" s="123">
        <f ca="1">G7-(VLOOKUP(B5,DD_Normal_Data,CELL("Col",D4),FALSE))</f>
        <v>276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INTERVALS OF CLOUDS AND SUN.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37010</v>
      </c>
      <c r="C10" s="15"/>
      <c r="D10" s="153" t="s">
        <v>289</v>
      </c>
      <c r="E10" s="23">
        <f>Weather_Input!B6</f>
        <v>78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-12</v>
      </c>
    </row>
    <row r="11" spans="1:109" ht="15">
      <c r="A11" s="18"/>
      <c r="B11" s="21"/>
      <c r="C11" s="15"/>
      <c r="D11" s="22" t="s">
        <v>176</v>
      </c>
      <c r="E11" s="23">
        <f>Weather_Input!C6</f>
        <v>56</v>
      </c>
      <c r="F11" s="24" t="s">
        <v>292</v>
      </c>
      <c r="G11" s="25">
        <f>IF(DAY(B10)=1,G10,G6+G10)</f>
        <v>370</v>
      </c>
      <c r="H11" s="30" t="s">
        <v>293</v>
      </c>
      <c r="I11" s="27">
        <f ca="1">G11-(VLOOKUP(B10,DD_Normal_Data,CELL("Col",C12),FALSE))</f>
        <v>-121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67</v>
      </c>
      <c r="F12" s="24" t="s">
        <v>295</v>
      </c>
      <c r="G12" s="25">
        <f>IF(AND(DAY(B10)=1,MONTH(B10)=8),G10,G7+G10)</f>
        <v>6403</v>
      </c>
      <c r="H12" s="26" t="s">
        <v>295</v>
      </c>
      <c r="I12" s="27">
        <f ca="1">G12-(VLOOKUP(B10,DD_Normal_Data,CELL("Col",D9),FALSE))</f>
        <v>264</v>
      </c>
    </row>
    <row r="13" spans="1:109" ht="15">
      <c r="A13" s="18"/>
      <c r="B13" s="21"/>
      <c r="C13" s="15"/>
      <c r="D13" s="32" t="str">
        <f>IF(Weather_Input!I6=""," ",Weather_Input!I6)</f>
        <v xml:space="preserve">  SEVERAL HOURS OF SUNSHINE.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37011</v>
      </c>
      <c r="C15" s="15"/>
      <c r="D15" s="22" t="s">
        <v>289</v>
      </c>
      <c r="E15" s="23">
        <f>Weather_Input!B7</f>
        <v>82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-12</v>
      </c>
    </row>
    <row r="16" spans="1:109" ht="15">
      <c r="A16" s="18"/>
      <c r="B16" s="20"/>
      <c r="C16" s="15"/>
      <c r="D16" s="22" t="s">
        <v>176</v>
      </c>
      <c r="E16" s="23">
        <f>Weather_Input!C7</f>
        <v>58</v>
      </c>
      <c r="F16" s="24" t="s">
        <v>292</v>
      </c>
      <c r="G16" s="25">
        <f>IF(DAY(B15)=1,G15,G11+G15)</f>
        <v>370</v>
      </c>
      <c r="H16" s="30" t="s">
        <v>293</v>
      </c>
      <c r="I16" s="27">
        <f ca="1">G16-(VLOOKUP(B15,DD_Normal_Data,CELL("Col",C17),FALSE))</f>
        <v>-133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70</v>
      </c>
      <c r="F17" s="24" t="s">
        <v>295</v>
      </c>
      <c r="G17" s="25">
        <f>IF(AND(DAY(B15)=1,MONTH(B15)=8),G15,G12+G15)</f>
        <v>6403</v>
      </c>
      <c r="H17" s="26" t="s">
        <v>295</v>
      </c>
      <c r="I17" s="27">
        <f ca="1">G17-(VLOOKUP(B15,DD_Normal_Data,CELL("Col",D14),FALSE))</f>
        <v>252</v>
      </c>
    </row>
    <row r="18" spans="1:109" ht="15">
      <c r="A18" s="18"/>
      <c r="B18" s="20"/>
      <c r="C18" s="15"/>
      <c r="D18" s="32" t="str">
        <f>IF(Weather_Input!I7=""," ",Weather_Input!I7)</f>
        <v xml:space="preserve">  SOME SUNSHINE WITH A CHANCE OF A THUNDERSTORM IN THE AFTERNOON.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37012</v>
      </c>
      <c r="C20" s="15"/>
      <c r="D20" s="22" t="s">
        <v>289</v>
      </c>
      <c r="E20" s="23">
        <f>Weather_Input!B8</f>
        <v>84</v>
      </c>
      <c r="F20" s="24" t="s">
        <v>290</v>
      </c>
      <c r="G20" s="25">
        <f>IF(E22&lt;65,65-(Weather_Input!B8+Weather_Input!C8)/2,0)</f>
        <v>0</v>
      </c>
      <c r="H20" s="26" t="s">
        <v>291</v>
      </c>
      <c r="I20" s="27">
        <f ca="1">G20-(VLOOKUP(B20,DD_Normal_Data,CELL("Col",B21),FALSE))</f>
        <v>-11</v>
      </c>
    </row>
    <row r="21" spans="1:109" ht="15">
      <c r="A21" s="18"/>
      <c r="B21" s="21"/>
      <c r="C21" s="15"/>
      <c r="D21" s="22" t="s">
        <v>176</v>
      </c>
      <c r="E21" s="23">
        <f>Weather_Input!C8</f>
        <v>63</v>
      </c>
      <c r="F21" s="24" t="s">
        <v>292</v>
      </c>
      <c r="G21" s="25">
        <f>IF(DAY(B20)=1,G20,G16+G20)</f>
        <v>0</v>
      </c>
      <c r="H21" s="30" t="s">
        <v>293</v>
      </c>
      <c r="I21" s="27">
        <f ca="1">G21-(VLOOKUP(B20,DD_Normal_Data,CELL("Col",C22),FALSE))</f>
        <v>-11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73.5</v>
      </c>
      <c r="F22" s="24" t="s">
        <v>295</v>
      </c>
      <c r="G22" s="25">
        <f>IF(AND(DAY(B20)=1,MONTH(B20)=8),G20,G17+G20)</f>
        <v>6403</v>
      </c>
      <c r="H22" s="26" t="s">
        <v>295</v>
      </c>
      <c r="I22" s="27">
        <f ca="1">G22-(VLOOKUP(B20,DD_Normal_Data,CELL("Col",D19),FALSE))</f>
        <v>241</v>
      </c>
    </row>
    <row r="23" spans="1:109" ht="15">
      <c r="A23" s="18"/>
      <c r="B23" s="21"/>
      <c r="C23" s="15"/>
      <c r="D23" s="32" t="str">
        <f>IF(Weather_Input!I8=""," ",Weather_Input!I8)</f>
        <v xml:space="preserve">  PARTLY SUNNY.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37013</v>
      </c>
      <c r="C25" s="15"/>
      <c r="D25" s="22" t="s">
        <v>289</v>
      </c>
      <c r="E25" s="23">
        <f>Weather_Input!B9</f>
        <v>84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-11</v>
      </c>
    </row>
    <row r="26" spans="1:109" ht="15">
      <c r="A26" s="18"/>
      <c r="B26" s="21"/>
      <c r="C26" s="15"/>
      <c r="D26" s="22" t="s">
        <v>176</v>
      </c>
      <c r="E26" s="23">
        <f>Weather_Input!C9</f>
        <v>63</v>
      </c>
      <c r="F26" s="24" t="s">
        <v>292</v>
      </c>
      <c r="G26" s="25">
        <f>IF(DAY(B25)=1,G25,G21+G25)</f>
        <v>0</v>
      </c>
      <c r="H26" s="30" t="s">
        <v>293</v>
      </c>
      <c r="I26" s="27">
        <f ca="1">G26-(VLOOKUP(B25,DD_Normal_Data,CELL("Col",C27),FALSE))</f>
        <v>-22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73.5</v>
      </c>
      <c r="F27" s="24" t="s">
        <v>295</v>
      </c>
      <c r="G27" s="25">
        <f>IF(AND(DAY(B25)=1,MONTH(B25)=8),G25,G22+G25)</f>
        <v>6403</v>
      </c>
      <c r="H27" s="26" t="s">
        <v>295</v>
      </c>
      <c r="I27" s="27">
        <f ca="1">G27-(VLOOKUP(B25,DD_Normal_Data,CELL("Col",D24),FALSE))</f>
        <v>230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37014</v>
      </c>
      <c r="C30" s="15"/>
      <c r="D30" s="22" t="s">
        <v>289</v>
      </c>
      <c r="E30" s="23">
        <f>Weather_Input!B10</f>
        <v>80</v>
      </c>
      <c r="F30" s="24" t="s">
        <v>290</v>
      </c>
      <c r="G30" s="25">
        <f>IF(E32&lt;65,65-(Weather_Input!B10+Weather_Input!C10)/2,0)</f>
        <v>0</v>
      </c>
      <c r="H30" s="26" t="s">
        <v>291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65</v>
      </c>
      <c r="F31" s="24" t="s">
        <v>292</v>
      </c>
      <c r="G31" s="25">
        <f>IF(DAY(B30)=1,G30,G26+G30)</f>
        <v>0</v>
      </c>
      <c r="H31" s="30" t="s">
        <v>293</v>
      </c>
      <c r="I31" s="27">
        <f ca="1">G31-(VLOOKUP(B30,DD_Normal_Data,CELL("Col",C32),FALSE))</f>
        <v>-33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72.5</v>
      </c>
      <c r="F32" s="24" t="s">
        <v>295</v>
      </c>
      <c r="G32" s="25">
        <f>IF(AND(DAY(B30)=1,MONTH(B30)=8),G30,G27+G30)</f>
        <v>6403</v>
      </c>
      <c r="H32" s="26" t="s">
        <v>295</v>
      </c>
      <c r="I32" s="27">
        <f ca="1">G32-(VLOOKUP(B30,DD_Normal_Data,CELL("Col",D29),FALSE))</f>
        <v>219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37009</v>
      </c>
      <c r="C36" s="91">
        <f>B10</f>
        <v>37010</v>
      </c>
      <c r="D36" s="91">
        <f>B15</f>
        <v>37011</v>
      </c>
      <c r="E36" s="91">
        <f xml:space="preserve">       B20</f>
        <v>37012</v>
      </c>
      <c r="F36" s="91">
        <f>B25</f>
        <v>37013</v>
      </c>
      <c r="G36" s="91">
        <f>B30</f>
        <v>37014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288</v>
      </c>
      <c r="C37" s="41">
        <f ca="1">(VLOOKUP(C36,PGL_Sendouts,(CELL("COL",PGL_Deliveries!C7))))/1000</f>
        <v>250</v>
      </c>
      <c r="D37" s="41">
        <f ca="1">(VLOOKUP(D36,PGL_Sendouts,(CELL("COL",PGL_Deliveries!C8))))/1000</f>
        <v>250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245</v>
      </c>
      <c r="H37" s="14"/>
      <c r="I37" s="15"/>
    </row>
    <row r="38" spans="1:9" ht="15">
      <c r="A38" s="15" t="s">
        <v>300</v>
      </c>
      <c r="B38" s="41">
        <f>PGL_6_Day_Report!D30</f>
        <v>583.51189999999997</v>
      </c>
      <c r="C38" s="41">
        <f>PGL_6_Day_Report!E30</f>
        <v>589.5385</v>
      </c>
      <c r="D38" s="41">
        <f>PGL_6_Day_Report!F30</f>
        <v>513.07949999999994</v>
      </c>
      <c r="E38" s="41">
        <f>PGL_6_Day_Report!G30</f>
        <v>453.24499999999995</v>
      </c>
      <c r="F38" s="41">
        <f>PGL_6_Day_Report!H30</f>
        <v>443.04999999999995</v>
      </c>
      <c r="G38" s="41">
        <f>PGL_6_Day_Report!I30</f>
        <v>448.04999999999995</v>
      </c>
      <c r="H38" s="14"/>
      <c r="I38" s="15"/>
    </row>
    <row r="39" spans="1:9" ht="15">
      <c r="A39" s="42" t="s">
        <v>109</v>
      </c>
      <c r="B39" s="41">
        <f>SUM(PGL_Supplies!Z7:AE7)/1000</f>
        <v>419.15199999999999</v>
      </c>
      <c r="C39" s="41">
        <f>SUM(PGL_Supplies!Z8:AE8)/1000</f>
        <v>419.15199999999999</v>
      </c>
      <c r="D39" s="41">
        <f>SUM(PGL_Supplies!Z9:AE9)/1000</f>
        <v>419.15199999999999</v>
      </c>
      <c r="E39" s="41">
        <f>SUM(PGL_Supplies!Z10:AE10)/1000</f>
        <v>414.53199999999998</v>
      </c>
      <c r="F39" s="41">
        <f>SUM(PGL_Supplies!Z11:AE11)/1000</f>
        <v>414.53199999999998</v>
      </c>
      <c r="G39" s="41">
        <f>SUM(PGL_Supplies!Z12:AE12)/1000</f>
        <v>414.53199999999998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40.64</v>
      </c>
      <c r="C41" s="41">
        <f>SUM(PGL_Requirements!R7:U7)/1000</f>
        <v>40.64</v>
      </c>
      <c r="D41" s="41">
        <f>SUM(PGL_Requirements!R7:U7)/1000</f>
        <v>40.64</v>
      </c>
      <c r="E41" s="41">
        <f>SUM(PGL_Requirements!R7:U7)/1000</f>
        <v>40.64</v>
      </c>
      <c r="F41" s="41">
        <f>SUM(PGL_Requirements!R7:U7)/1000</f>
        <v>40.64</v>
      </c>
      <c r="G41" s="41">
        <f>SUM(PGL_Requirements!R7:U7)/1000</f>
        <v>40.64</v>
      </c>
      <c r="H41" s="14"/>
      <c r="I41" s="15"/>
    </row>
    <row r="42" spans="1:9" ht="15">
      <c r="A42" s="15" t="s">
        <v>132</v>
      </c>
      <c r="B42" s="41">
        <f>PGL_Supplies!V7/1000</f>
        <v>220.76</v>
      </c>
      <c r="C42" s="41">
        <f>PGL_Supplies!V8/1000</f>
        <v>220.76</v>
      </c>
      <c r="D42" s="41">
        <f>PGL_Supplies!V9/1000</f>
        <v>220.76</v>
      </c>
      <c r="E42" s="41">
        <f>PGL_Supplies!V10/1000</f>
        <v>220.76</v>
      </c>
      <c r="F42" s="41">
        <f>PGL_Supplies!V11/1000</f>
        <v>220.76</v>
      </c>
      <c r="G42" s="41">
        <f>PGL_Supplies!V12/1000</f>
        <v>220.76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37009</v>
      </c>
      <c r="C44" s="91">
        <f t="shared" si="0"/>
        <v>37010</v>
      </c>
      <c r="D44" s="91">
        <f t="shared" si="0"/>
        <v>37011</v>
      </c>
      <c r="E44" s="91">
        <f t="shared" si="0"/>
        <v>37012</v>
      </c>
      <c r="F44" s="91">
        <f t="shared" si="0"/>
        <v>37013</v>
      </c>
      <c r="G44" s="91">
        <f t="shared" si="0"/>
        <v>37014</v>
      </c>
      <c r="H44" s="14"/>
      <c r="I44" s="15"/>
    </row>
    <row r="45" spans="1:9" ht="15">
      <c r="A45" s="15" t="s">
        <v>56</v>
      </c>
      <c r="B45" s="41">
        <f ca="1">NSG_6_Day_Report!D6</f>
        <v>56</v>
      </c>
      <c r="C45" s="41">
        <f ca="1">NSG_6_Day_Report!E6</f>
        <v>47</v>
      </c>
      <c r="D45" s="41">
        <f ca="1">NSG_6_Day_Report!F6</f>
        <v>46</v>
      </c>
      <c r="E45" s="41">
        <f ca="1">NSG_6_Day_Report!G6</f>
        <v>42</v>
      </c>
      <c r="F45" s="41">
        <f ca="1">NSG_6_Day_Report!H6</f>
        <v>42</v>
      </c>
      <c r="G45" s="41">
        <f ca="1">NSG_6_Day_Report!I6</f>
        <v>43</v>
      </c>
      <c r="H45" s="14"/>
      <c r="I45" s="15"/>
    </row>
    <row r="46" spans="1:9" ht="15">
      <c r="A46" s="42" t="s">
        <v>300</v>
      </c>
      <c r="B46" s="41">
        <f ca="1">NSG_6_Day_Report!D19</f>
        <v>76</v>
      </c>
      <c r="C46" s="41">
        <f ca="1">NSG_6_Day_Report!E19</f>
        <v>69.759</v>
      </c>
      <c r="D46" s="41">
        <f ca="1">NSG_6_Day_Report!F19</f>
        <v>66</v>
      </c>
      <c r="E46" s="41">
        <f ca="1">NSG_6_Day_Report!G19</f>
        <v>62</v>
      </c>
      <c r="F46" s="41">
        <f ca="1">NSG_6_Day_Report!H19</f>
        <v>62</v>
      </c>
      <c r="G46" s="41">
        <f ca="1">NSG_6_Day_Report!I19</f>
        <v>63</v>
      </c>
      <c r="H46" s="14"/>
      <c r="I46" s="15"/>
    </row>
    <row r="47" spans="1:9" ht="15">
      <c r="A47" s="42" t="s">
        <v>109</v>
      </c>
      <c r="B47" s="41">
        <f>SUM(NSG_Supplies!P7:R7)/1000</f>
        <v>69.754999999999995</v>
      </c>
      <c r="C47" s="41">
        <f>SUM(NSG_Supplies!P8:R8)/1000</f>
        <v>69.754999999999995</v>
      </c>
      <c r="D47" s="41">
        <f>SUM(NSG_Supplies!P9:R9)/1000</f>
        <v>69.754999999999995</v>
      </c>
      <c r="E47" s="41">
        <f>SUM(NSG_Supplies!P10:R10)/1000</f>
        <v>69.754999999999995</v>
      </c>
      <c r="F47" s="41">
        <f>SUM(NSG_Supplies!P11:R11)/1000</f>
        <v>69.754999999999995</v>
      </c>
      <c r="G47" s="41">
        <f>SUM(NSG_Supplies!P12:R12)/1000</f>
        <v>69.754999999999995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24.754999999999999</v>
      </c>
      <c r="C50" s="41">
        <f>NSG_Supplies!S8/1000</f>
        <v>24.754999999999999</v>
      </c>
      <c r="D50" s="41">
        <f>NSG_Supplies!S9/1000</f>
        <v>24.754999999999999</v>
      </c>
      <c r="E50" s="41">
        <f>NSG_Supplies!S10/1000</f>
        <v>24.754999999999999</v>
      </c>
      <c r="F50" s="41">
        <f>NSG_Supplies!S11/1000</f>
        <v>24.754999999999999</v>
      </c>
      <c r="G50" s="41">
        <f>NSG_Supplies!S12/1000</f>
        <v>24.754999999999999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37009</v>
      </c>
      <c r="C52" s="91">
        <f t="shared" si="1"/>
        <v>37010</v>
      </c>
      <c r="D52" s="91">
        <f t="shared" si="1"/>
        <v>37011</v>
      </c>
      <c r="E52" s="91">
        <f t="shared" si="1"/>
        <v>37012</v>
      </c>
      <c r="F52" s="91">
        <f t="shared" si="1"/>
        <v>37013</v>
      </c>
      <c r="G52" s="91">
        <f t="shared" si="1"/>
        <v>37014</v>
      </c>
      <c r="H52" s="14"/>
      <c r="I52" s="15"/>
    </row>
    <row r="53" spans="1:9" ht="15">
      <c r="A53" s="94" t="s">
        <v>304</v>
      </c>
      <c r="B53" s="41">
        <f>PGL_Requirements!P7/1000</f>
        <v>187.26</v>
      </c>
      <c r="C53" s="41">
        <f>PGL_Requirements!P8/1000</f>
        <v>200</v>
      </c>
      <c r="D53" s="41">
        <f>PGL_Requirements!P9/1000</f>
        <v>200</v>
      </c>
      <c r="E53" s="41">
        <f>PGL_Requirements!P10/1000</f>
        <v>160</v>
      </c>
      <c r="F53" s="41">
        <f>PGL_Requirements!P11/1000</f>
        <v>160</v>
      </c>
      <c r="G53" s="41">
        <f>PGL_Requirements!P12/1000</f>
        <v>160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738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310</v>
      </c>
    </row>
    <row r="4" spans="1:8">
      <c r="A4" s="99"/>
      <c r="B4" s="1141" t="str">
        <f>Six_Day_Summary!A10</f>
        <v>Sunday</v>
      </c>
      <c r="C4" s="1142" t="str">
        <f>Six_Day_Summary!A15</f>
        <v>Monday</v>
      </c>
      <c r="D4" s="1142" t="str">
        <f>Six_Day_Summary!A20</f>
        <v>Tuesday</v>
      </c>
      <c r="E4" s="1142" t="str">
        <f>Six_Day_Summary!A25</f>
        <v>Wednesday</v>
      </c>
      <c r="F4" s="1143" t="str">
        <f>Six_Day_Summary!A30</f>
        <v>Thursday</v>
      </c>
      <c r="G4" s="100"/>
    </row>
    <row r="5" spans="1:8">
      <c r="A5" s="103" t="s">
        <v>311</v>
      </c>
      <c r="B5" s="1144">
        <f>Weather_Input!A6</f>
        <v>37010</v>
      </c>
      <c r="C5" s="1145">
        <f>Weather_Input!A7</f>
        <v>37011</v>
      </c>
      <c r="D5" s="1145">
        <f>Weather_Input!A8</f>
        <v>37012</v>
      </c>
      <c r="E5" s="1145">
        <f>Weather_Input!A9</f>
        <v>37013</v>
      </c>
      <c r="F5" s="1146">
        <f>Weather_Input!A10</f>
        <v>37014</v>
      </c>
      <c r="G5" s="100"/>
    </row>
    <row r="6" spans="1:8">
      <c r="A6" s="100" t="s">
        <v>312</v>
      </c>
      <c r="B6" s="1147">
        <f>PGL_Supplies!AC8/1000+PGL_Supplies!L8/1000-PGL_Requirements!O8/1000-PGL_Requirements!T8/1000+B8</f>
        <v>62.290000000000006</v>
      </c>
      <c r="C6" s="1147">
        <f>PGL_Supplies!AC9/1000+PGL_Supplies!L9/1000-PGL_Requirements!O9/1000+C15-PGL_Requirements!T9/1000</f>
        <v>131.75</v>
      </c>
      <c r="D6" s="1147">
        <f>PGL_Supplies!AC10/1000+PGL_Supplies!L10/1000-PGL_Requirements!O10/1000+D15-PGL_Requirements!T10/1000</f>
        <v>131.75</v>
      </c>
      <c r="E6" s="1147">
        <f>PGL_Supplies!AC11/1000+PGL_Supplies!L11/1000-PGL_Requirements!O11/1000+E15-PGL_Requirements!T11/1000</f>
        <v>131.75</v>
      </c>
      <c r="F6" s="1148">
        <f>PGL_Supplies!AC12/1000+PGL_Supplies!L12/1000-PGL_Requirements!O12/1000+F15-PGL_Requirements!T12/1000</f>
        <v>131.75</v>
      </c>
      <c r="G6" s="100"/>
      <c r="H6" t="s">
        <v>11</v>
      </c>
    </row>
    <row r="7" spans="1:8">
      <c r="A7" s="100" t="s">
        <v>313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314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315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316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317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318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721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319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537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Sunday</v>
      </c>
      <c r="C21" s="1157" t="str">
        <f t="shared" si="0"/>
        <v>Monday</v>
      </c>
      <c r="D21" s="1157" t="str">
        <f t="shared" si="0"/>
        <v>Tuesday</v>
      </c>
      <c r="E21" s="1157" t="str">
        <f t="shared" si="0"/>
        <v>Wednesday</v>
      </c>
      <c r="F21" s="1158" t="str">
        <f t="shared" si="0"/>
        <v>Thursday</v>
      </c>
      <c r="G21" s="100"/>
    </row>
    <row r="22" spans="1:7">
      <c r="A22" s="107" t="s">
        <v>311</v>
      </c>
      <c r="B22" s="1159">
        <f t="shared" si="0"/>
        <v>37010</v>
      </c>
      <c r="C22" s="1159">
        <f t="shared" si="0"/>
        <v>37011</v>
      </c>
      <c r="D22" s="1159">
        <f t="shared" si="0"/>
        <v>37012</v>
      </c>
      <c r="E22" s="1159">
        <f t="shared" si="0"/>
        <v>37013</v>
      </c>
      <c r="F22" s="1160">
        <f t="shared" si="0"/>
        <v>37014</v>
      </c>
      <c r="G22" s="100"/>
    </row>
    <row r="23" spans="1:7">
      <c r="A23" s="100" t="s">
        <v>312</v>
      </c>
      <c r="B23" s="1153">
        <f>NSG_Supplies!R8/1000+NSG_Supplies!F8/1000-NSG_Requirements!H8/1000</f>
        <v>46.996000000000002</v>
      </c>
      <c r="C23" s="1153">
        <f>NSG_Supplies!R9/1000+NSG_Supplies!F9/1000-NSG_Requirements!H9/1000</f>
        <v>49.755000000000003</v>
      </c>
      <c r="D23" s="1153">
        <f>NSG_Supplies!R10/1000+NSG_Supplies!F10/1000-NSG_Requirements!H10/1000</f>
        <v>49.755000000000003</v>
      </c>
      <c r="E23" s="1153">
        <f>NSG_Supplies!R12/1000+NSG_Supplies!F11/1000-NSG_Requirements!H11/1000</f>
        <v>49.755000000000003</v>
      </c>
      <c r="F23" s="1148">
        <f>NSG_Supplies!R12/1000+NSG_Supplies!F12/1000-NSG_Requirements!H12/1000</f>
        <v>49.755000000000003</v>
      </c>
      <c r="G23" s="100"/>
    </row>
    <row r="24" spans="1:7">
      <c r="A24" s="100" t="s">
        <v>321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313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314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315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322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316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317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318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323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activeCell="A6" sqref="A6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>
        <v>0</v>
      </c>
      <c r="B1" s="810" t="s">
        <v>381</v>
      </c>
      <c r="C1" s="909">
        <f>Weather_Input!A6</f>
        <v>37010</v>
      </c>
      <c r="D1" s="910" t="s">
        <v>372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647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574</v>
      </c>
      <c r="I3" s="803" t="s">
        <v>573</v>
      </c>
    </row>
    <row r="4" spans="1:11" ht="15.75" customHeight="1" thickBot="1">
      <c r="A4" t="s">
        <v>11</v>
      </c>
      <c r="B4" s="100" t="s">
        <v>648</v>
      </c>
      <c r="C4" s="1137">
        <f>NSG_Supplies!E8/1000</f>
        <v>0</v>
      </c>
      <c r="D4" s="135">
        <f>NSG_Requirements!J8/1000</f>
        <v>20</v>
      </c>
      <c r="E4" s="802"/>
      <c r="F4" s="172" t="s">
        <v>547</v>
      </c>
      <c r="G4" s="60"/>
      <c r="H4" s="154">
        <f>PGL_Requirements!P8/1000</f>
        <v>200</v>
      </c>
      <c r="I4" s="176">
        <f>AVERAGE(H4/1.025)</f>
        <v>195.1219512195122</v>
      </c>
      <c r="J4" t="s">
        <v>11</v>
      </c>
    </row>
    <row r="5" spans="1:11" ht="15.75" customHeight="1" thickTop="1" thickBot="1">
      <c r="B5" s="437" t="s">
        <v>649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392</v>
      </c>
      <c r="C6" s="908"/>
      <c r="D6" s="122"/>
      <c r="E6" s="801"/>
      <c r="F6" t="s">
        <v>781</v>
      </c>
      <c r="G6" s="908">
        <f>AVERAGE(H4/24)</f>
        <v>8.3333333333333339</v>
      </c>
      <c r="H6" s="430"/>
      <c r="I6" s="1080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7" t="s">
        <v>627</v>
      </c>
      <c r="G7" s="1078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626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771</v>
      </c>
      <c r="C9" s="154">
        <f>NSG_Requirements!B8/1000</f>
        <v>0</v>
      </c>
      <c r="D9" s="60"/>
      <c r="E9" s="450"/>
      <c r="F9" s="1" t="s">
        <v>717</v>
      </c>
      <c r="G9" s="154">
        <f>PGL_Supplies!U8/1000</f>
        <v>0</v>
      </c>
      <c r="I9" s="161"/>
    </row>
    <row r="10" spans="1:11" ht="15.75" customHeight="1" thickTop="1" thickBot="1">
      <c r="B10" s="437" t="s">
        <v>552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242.78200000000001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754</v>
      </c>
      <c r="C11" s="154">
        <f>PGL_Supplies!Y8/1000</f>
        <v>159.39099999999999</v>
      </c>
      <c r="D11" s="789"/>
      <c r="E11" s="1130"/>
      <c r="F11" s="435" t="s">
        <v>378</v>
      </c>
      <c r="G11" s="447">
        <f>G8+G10</f>
        <v>242.78200000000001</v>
      </c>
      <c r="H11" s="434"/>
      <c r="I11" s="436"/>
    </row>
    <row r="12" spans="1:11" ht="15.75" customHeight="1">
      <c r="B12" s="249" t="s">
        <v>751</v>
      </c>
      <c r="C12" s="154">
        <f>PGL_Supplies!X8/1000</f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755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762</v>
      </c>
      <c r="C14" s="448">
        <f>C11+C12-D13</f>
        <v>159.39099999999999</v>
      </c>
      <c r="D14" s="438"/>
      <c r="E14" s="440">
        <f>AVERAGE(C14/24)</f>
        <v>6.6412916666666666</v>
      </c>
      <c r="F14" s="782" t="s">
        <v>550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760</v>
      </c>
      <c r="C15" s="154">
        <f>PGL_Supplies!Z8/1000</f>
        <v>40</v>
      </c>
      <c r="D15" s="60"/>
      <c r="E15" s="161"/>
      <c r="F15" s="782" t="s">
        <v>559</v>
      </c>
      <c r="G15" s="447">
        <f>SUM(G11)-G16</f>
        <v>239.16500000000002</v>
      </c>
      <c r="H15" s="438" t="s">
        <v>11</v>
      </c>
      <c r="I15" s="440">
        <f>AVERAGE(G15/24)</f>
        <v>9.9652083333333348</v>
      </c>
    </row>
    <row r="16" spans="1:11" ht="15.75" customHeight="1" thickTop="1" thickBot="1">
      <c r="B16" s="172" t="s">
        <v>713</v>
      </c>
      <c r="C16" s="154">
        <f>PGL_Supplies!R8/1000</f>
        <v>0</v>
      </c>
      <c r="D16" s="154">
        <f>PGL_Requirements!U8/1000</f>
        <v>40</v>
      </c>
      <c r="E16" s="161"/>
      <c r="F16" s="782" t="s">
        <v>570</v>
      </c>
      <c r="G16" s="448">
        <f>PGL_Requirements!H8/1000</f>
        <v>3.617</v>
      </c>
      <c r="H16" s="448" t="s">
        <v>11</v>
      </c>
      <c r="I16" s="440">
        <f>AVERAGE(G16/24)</f>
        <v>0.15070833333333333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90" t="s">
        <v>718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8" t="s">
        <v>548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549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554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761</v>
      </c>
      <c r="C21" s="154">
        <f>PGL_Supplies!AA8/1000</f>
        <v>4.62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4.62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4.62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553</v>
      </c>
      <c r="C25" s="448">
        <f>C22+C23-D24</f>
        <v>0</v>
      </c>
      <c r="D25" s="438"/>
      <c r="E25" s="440">
        <f>AVERAGE(C25/24)</f>
        <v>0</v>
      </c>
      <c r="F25" s="551" t="s">
        <v>551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715</v>
      </c>
    </row>
    <row r="27" spans="1:9" ht="15.75" customHeight="1">
      <c r="B27" t="s">
        <v>714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650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654</v>
      </c>
      <c r="D1" s="943"/>
      <c r="E1" s="943" t="s">
        <v>655</v>
      </c>
      <c r="F1" s="943"/>
      <c r="G1" s="1043" t="s">
        <v>324</v>
      </c>
      <c r="H1" s="1044">
        <f>Weather_Input!A6</f>
        <v>37010</v>
      </c>
      <c r="I1" s="932"/>
      <c r="J1" s="934"/>
      <c r="K1" s="934"/>
    </row>
    <row r="2" spans="1:22" ht="16.5" customHeight="1">
      <c r="A2" s="952" t="s">
        <v>682</v>
      </c>
      <c r="C2" s="1046">
        <v>316</v>
      </c>
      <c r="F2" s="1047">
        <v>315</v>
      </c>
      <c r="H2" s="934"/>
      <c r="I2" s="932" t="s">
        <v>684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656</v>
      </c>
      <c r="G4" s="960"/>
      <c r="H4" s="934"/>
      <c r="I4" s="932"/>
      <c r="J4" s="932" t="s">
        <v>680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652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10</v>
      </c>
      <c r="H9" s="954">
        <v>0</v>
      </c>
      <c r="I9" s="1051"/>
      <c r="K9" s="932" t="s">
        <v>686</v>
      </c>
      <c r="L9" s="954">
        <f>NSG_Deliveries!C6/1000</f>
        <v>47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685</v>
      </c>
      <c r="U10" s="934"/>
      <c r="V10" s="954"/>
    </row>
    <row r="11" spans="1:22" ht="14.4" customHeight="1">
      <c r="A11" s="954">
        <f>Billy_Sheet!C20</f>
        <v>0</v>
      </c>
      <c r="B11" s="1051"/>
      <c r="H11" s="954">
        <f>NSG_Supplies!U8/1000</f>
        <v>0</v>
      </c>
      <c r="K11" s="935" t="s">
        <v>687</v>
      </c>
      <c r="L11" s="960">
        <f>SUM(K4+K17+K19+H11+H9-L9)</f>
        <v>-3.9999999999977831E-3</v>
      </c>
      <c r="N11" s="935"/>
      <c r="O11" s="960"/>
      <c r="U11" s="934"/>
      <c r="V11" s="948"/>
    </row>
    <row r="12" spans="1:22" ht="14.4" customHeight="1">
      <c r="A12" s="932" t="s">
        <v>748</v>
      </c>
      <c r="H12" s="954"/>
      <c r="U12" s="934"/>
      <c r="V12" s="954"/>
    </row>
    <row r="13" spans="1:22" ht="14.4" customHeight="1">
      <c r="A13" s="1049">
        <f>PGL_Supplies!Y8/1000</f>
        <v>159.39099999999999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326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653</v>
      </c>
      <c r="C19" s="1045" t="s">
        <v>11</v>
      </c>
      <c r="J19" s="932" t="s">
        <v>681</v>
      </c>
      <c r="K19" s="954">
        <f>NSG_Supplies!R8/1000+NSG_Supplies!F8/1000-NSG_Requirements!H8/1000</f>
        <v>46.996000000000002</v>
      </c>
      <c r="N19" s="1057"/>
    </row>
    <row r="20" spans="1:17" ht="17.25" customHeight="1">
      <c r="A20" s="954">
        <f>Billy_Sheet!G15</f>
        <v>239.16500000000002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763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689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575</v>
      </c>
      <c r="K26" s="1059">
        <f>PGL_Deliveries!C6/1000</f>
        <v>250</v>
      </c>
      <c r="L26" s="932" t="s">
        <v>686</v>
      </c>
      <c r="M26" s="954">
        <f>NSG_Deliveries!C6/1000</f>
        <v>47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657</v>
      </c>
      <c r="B28" s="954"/>
      <c r="C28" s="934"/>
      <c r="D28" s="935"/>
      <c r="F28" s="932"/>
      <c r="G28" s="944" t="s">
        <v>662</v>
      </c>
      <c r="H28" s="433"/>
      <c r="J28" s="935" t="s">
        <v>688</v>
      </c>
      <c r="K28" s="960">
        <f>SUM(A42)</f>
        <v>205.93900000000005</v>
      </c>
      <c r="L28" s="935" t="s">
        <v>740</v>
      </c>
      <c r="M28" s="960">
        <f>SUM(J2+K17+K19+H11+H9-M26)</f>
        <v>19.996000000000009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37009</v>
      </c>
      <c r="G29" s="954">
        <f>PGL_Requirements!H7/1000</f>
        <v>20.364000000000001</v>
      </c>
      <c r="H29" s="933"/>
      <c r="J29" s="935" t="s">
        <v>690</v>
      </c>
      <c r="K29" s="954">
        <f>PGL_Supplies!AC8/1000+PGL_Supplies!L8/1000-PGL_Requirements!O8/1000</f>
        <v>62.290000000000006</v>
      </c>
    </row>
    <row r="30" spans="1:17" ht="10.5" customHeight="1">
      <c r="A30" s="937"/>
      <c r="B30" s="954"/>
      <c r="C30" s="935"/>
      <c r="D30" s="954"/>
      <c r="F30" s="1112">
        <f>PGL_Requirements!A8</f>
        <v>37010</v>
      </c>
      <c r="G30" s="954">
        <f>PGL_Requirements!H8/1000</f>
        <v>3.617</v>
      </c>
    </row>
    <row r="31" spans="1:17" ht="17.25" customHeight="1">
      <c r="A31" s="943" t="s">
        <v>659</v>
      </c>
      <c r="B31" s="1061"/>
      <c r="C31" s="938"/>
      <c r="D31" s="960"/>
      <c r="G31" s="944" t="s">
        <v>660</v>
      </c>
      <c r="H31" s="960"/>
      <c r="J31" s="935" t="s">
        <v>687</v>
      </c>
      <c r="K31" s="960">
        <f>SUM(K28+K29-K26)</f>
        <v>18.229000000000042</v>
      </c>
    </row>
    <row r="32" spans="1:17">
      <c r="A32" s="954">
        <f>PGL_Supplies!H8/1000</f>
        <v>1</v>
      </c>
      <c r="G32" s="954">
        <f>PGL_Requirements!P8/1000</f>
        <v>200</v>
      </c>
    </row>
    <row r="33" spans="1:11" ht="6.75" customHeight="1"/>
    <row r="34" spans="1:11">
      <c r="A34" s="932" t="s">
        <v>658</v>
      </c>
      <c r="G34" s="935" t="s">
        <v>661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664</v>
      </c>
      <c r="F37" s="932" t="s">
        <v>665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739</v>
      </c>
      <c r="E39" s="934" t="s">
        <v>663</v>
      </c>
      <c r="F39" s="934"/>
    </row>
    <row r="40" spans="1:11">
      <c r="A40" s="960">
        <f>SUM(A3:A35)</f>
        <v>409.55600000000004</v>
      </c>
      <c r="B40" s="948"/>
      <c r="C40" s="947"/>
      <c r="D40" s="948"/>
      <c r="E40" s="948"/>
      <c r="F40" s="1062"/>
      <c r="G40" s="1062">
        <f>SUM(G30:G35)</f>
        <v>203.61699999999999</v>
      </c>
      <c r="H40" s="950"/>
      <c r="I40" s="949"/>
    </row>
    <row r="41" spans="1:11">
      <c r="A41" s="951" t="s">
        <v>679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205.93900000000005</v>
      </c>
      <c r="B42" s="954"/>
      <c r="C42" s="948"/>
      <c r="D42" s="948"/>
      <c r="E42" s="948"/>
      <c r="F42" s="957"/>
      <c r="G42" s="959" t="s">
        <v>683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678</v>
      </c>
      <c r="G43" s="957" t="s">
        <v>677</v>
      </c>
      <c r="I43" s="954"/>
    </row>
    <row r="44" spans="1:11" ht="12.75" customHeight="1">
      <c r="A44" s="951" t="s">
        <v>666</v>
      </c>
      <c r="B44" s="954" t="s">
        <v>671</v>
      </c>
      <c r="C44" s="954" t="s">
        <v>672</v>
      </c>
      <c r="D44" s="954" t="s">
        <v>673</v>
      </c>
      <c r="E44" s="955"/>
      <c r="F44" s="955" t="s">
        <v>674</v>
      </c>
      <c r="G44" s="948" t="s">
        <v>676</v>
      </c>
      <c r="H44" s="934" t="s">
        <v>675</v>
      </c>
      <c r="I44" s="954"/>
      <c r="K44" s="934"/>
    </row>
    <row r="45" spans="1:11">
      <c r="A45" s="951" t="s">
        <v>670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667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668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669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359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37009</v>
      </c>
      <c r="B5" s="11">
        <v>65</v>
      </c>
      <c r="C5" s="49">
        <v>46</v>
      </c>
      <c r="D5" s="49">
        <v>8.6999999999999993</v>
      </c>
      <c r="E5" s="11">
        <v>55.3</v>
      </c>
      <c r="F5" s="11">
        <v>370</v>
      </c>
      <c r="G5" s="11">
        <v>6403</v>
      </c>
      <c r="H5" s="11">
        <v>12</v>
      </c>
      <c r="I5" s="911" t="s">
        <v>789</v>
      </c>
      <c r="J5" s="911" t="s">
        <v>11</v>
      </c>
      <c r="K5" s="11">
        <v>3</v>
      </c>
      <c r="L5" s="11">
        <v>1</v>
      </c>
      <c r="N5" s="15" t="str">
        <f>I5&amp;" "&amp;I5</f>
        <v xml:space="preserve">  INTERVALS OF CLOUDS AND SUN.   INTERVALS OF CLOUDS AND SUN.</v>
      </c>
      <c r="AE5" s="15">
        <v>1</v>
      </c>
      <c r="AH5" s="15" t="s">
        <v>34</v>
      </c>
    </row>
    <row r="6" spans="1:34" ht="16.5" customHeight="1">
      <c r="A6" s="88">
        <f>A5+1</f>
        <v>37010</v>
      </c>
      <c r="B6" s="11">
        <v>78</v>
      </c>
      <c r="C6" s="49">
        <v>56</v>
      </c>
      <c r="D6" s="49">
        <v>15</v>
      </c>
      <c r="E6" s="11" t="s">
        <v>11</v>
      </c>
      <c r="F6" s="11" t="s">
        <v>11</v>
      </c>
      <c r="G6" s="11"/>
      <c r="H6" s="11" t="s">
        <v>11</v>
      </c>
      <c r="I6" s="911" t="s">
        <v>788</v>
      </c>
      <c r="J6" s="911" t="s">
        <v>11</v>
      </c>
      <c r="K6" s="11">
        <v>1</v>
      </c>
      <c r="L6" s="11" t="s">
        <v>628</v>
      </c>
      <c r="N6" s="15" t="str">
        <f>I6&amp;" "&amp;J6</f>
        <v xml:space="preserve">  SEVERAL HOURS OF SUNSHINE.  </v>
      </c>
      <c r="AE6" s="15">
        <v>1</v>
      </c>
      <c r="AH6" s="15" t="s">
        <v>35</v>
      </c>
    </row>
    <row r="7" spans="1:34" ht="16.5" customHeight="1">
      <c r="A7" s="88">
        <f>A6+1</f>
        <v>37011</v>
      </c>
      <c r="B7" s="11">
        <v>82</v>
      </c>
      <c r="C7" s="49">
        <v>58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1" t="s">
        <v>790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SOME SUNSHINE WITH A CHANCE OF A THUNDERSTORM IN THE AFTERNOON.  </v>
      </c>
    </row>
    <row r="8" spans="1:34" ht="16.5" customHeight="1">
      <c r="A8" s="88">
        <f>A7+1</f>
        <v>37012</v>
      </c>
      <c r="B8" s="11">
        <v>84</v>
      </c>
      <c r="C8" s="49">
        <v>63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791</v>
      </c>
      <c r="J8" s="911" t="s">
        <v>11</v>
      </c>
      <c r="K8" s="11">
        <v>3</v>
      </c>
      <c r="L8" s="11"/>
      <c r="N8" s="15" t="str">
        <f>I8&amp;" "&amp;J8</f>
        <v xml:space="preserve">  PARTLY SUNNY.  </v>
      </c>
    </row>
    <row r="9" spans="1:34" ht="16.5" customHeight="1">
      <c r="A9" s="88">
        <f>A8+1</f>
        <v>37013</v>
      </c>
      <c r="B9" s="11">
        <v>84</v>
      </c>
      <c r="C9" s="49">
        <v>63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11" t="s">
        <v>791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37014</v>
      </c>
      <c r="B10" s="11">
        <v>80</v>
      </c>
      <c r="C10" s="49">
        <v>65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11" t="s">
        <v>791</v>
      </c>
      <c r="J10" s="911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15" zoomScale="75" workbookViewId="0">
      <selection activeCell="E40" sqref="E40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575</v>
      </c>
      <c r="B2" s="186">
        <f>PGL_Deliveries!U5/1000</f>
        <v>303.221</v>
      </c>
      <c r="C2" s="60"/>
      <c r="D2" s="121" t="s">
        <v>324</v>
      </c>
      <c r="E2" s="426">
        <f>Weather_Input!A5</f>
        <v>37009</v>
      </c>
      <c r="F2" s="60"/>
      <c r="H2"/>
      <c r="I2"/>
      <c r="J2"/>
      <c r="K2"/>
      <c r="L2"/>
      <c r="M2"/>
    </row>
    <row r="3" spans="1:13" ht="15">
      <c r="A3" s="99" t="s">
        <v>576</v>
      </c>
      <c r="B3" s="632">
        <f>PGL_Supplies!J7/1000</f>
        <v>0</v>
      </c>
      <c r="C3" s="185"/>
      <c r="D3" s="1128" t="s">
        <v>772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579</v>
      </c>
      <c r="B5" s="154">
        <f>PGL_Deliveries!D5/1000</f>
        <v>72.174999999999997</v>
      </c>
      <c r="C5" s="64"/>
      <c r="D5" s="59" t="s">
        <v>577</v>
      </c>
      <c r="E5" s="154">
        <f>PGL_Deliveries!O5/1000</f>
        <v>8.1000000000000003E-2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151.495</v>
      </c>
      <c r="C6" s="169"/>
      <c r="D6" s="59" t="s">
        <v>578</v>
      </c>
      <c r="E6" s="154">
        <f>PGL_Deliveries!P5/1000</f>
        <v>0.76500000000000001</v>
      </c>
      <c r="F6" s="171"/>
      <c r="H6"/>
      <c r="I6"/>
      <c r="J6"/>
      <c r="K6"/>
      <c r="L6"/>
      <c r="M6"/>
    </row>
    <row r="7" spans="1:13" ht="16.2" thickBot="1">
      <c r="A7" s="181" t="s">
        <v>581</v>
      </c>
      <c r="B7" s="228">
        <f>SUM(B5:B6)</f>
        <v>223.67000000000002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748</v>
      </c>
      <c r="B8" s="154">
        <f>PGL_Deliveries!V5/1000</f>
        <v>112.449</v>
      </c>
      <c r="C8" s="631"/>
      <c r="D8" s="117" t="s">
        <v>580</v>
      </c>
      <c r="E8" s="154">
        <f>PGL_Deliveries!N5/1000</f>
        <v>0.16200000000000001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0.19800000000000001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3.9870000000000001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13.301</v>
      </c>
      <c r="C11" s="64"/>
      <c r="D11" s="117" t="s">
        <v>582</v>
      </c>
      <c r="E11" s="154">
        <f>PGL_Deliveries!R5/1000</f>
        <v>1.1659999999999999</v>
      </c>
      <c r="F11" s="171"/>
      <c r="H11"/>
      <c r="I11"/>
      <c r="J11"/>
      <c r="K11"/>
      <c r="L11"/>
      <c r="M11"/>
    </row>
    <row r="12" spans="1:13" ht="15">
      <c r="A12" s="172" t="s">
        <v>583</v>
      </c>
      <c r="B12" s="154">
        <f>PGL_Supplies!K7/1000</f>
        <v>0</v>
      </c>
      <c r="C12" s="64"/>
      <c r="D12" s="117" t="s">
        <v>217</v>
      </c>
      <c r="E12" s="154">
        <f>PGL_Deliveries!G5/1000</f>
        <v>2.1999999999999999E-2</v>
      </c>
      <c r="F12" s="171"/>
      <c r="H12"/>
      <c r="I12"/>
      <c r="J12"/>
      <c r="K12"/>
      <c r="L12"/>
      <c r="M12"/>
    </row>
    <row r="13" spans="1:13" ht="15">
      <c r="A13" s="172" t="s">
        <v>584</v>
      </c>
      <c r="B13" s="154">
        <f>PGL_Deliveries!Y5/1000+PGL_Deliveries!Z5/1000+PGL_Deliveries!AA5/1000-PGL_Deliveries!BE5/1000</f>
        <v>233.16499999999999</v>
      </c>
      <c r="C13" s="64"/>
      <c r="D13" s="117" t="s">
        <v>219</v>
      </c>
      <c r="E13" s="154">
        <f>PGL_Deliveries!F5/1000</f>
        <v>33.954999999999998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35.314999999999998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-134.63199999999998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585</v>
      </c>
      <c r="B16" s="60"/>
      <c r="C16" s="226">
        <f>PGL_Deliveries!AO5/1000</f>
        <v>0.61299999999999999</v>
      </c>
      <c r="D16" s="117" t="s">
        <v>223</v>
      </c>
      <c r="E16" s="154">
        <f>PGL_Deliveries!L5/1000</f>
        <v>0.08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3.82</v>
      </c>
      <c r="F17" s="167"/>
      <c r="H17"/>
      <c r="I17"/>
      <c r="J17"/>
      <c r="K17"/>
      <c r="L17"/>
      <c r="M17"/>
    </row>
    <row r="18" spans="1:13" ht="16.2" thickBot="1">
      <c r="A18" s="180" t="s">
        <v>586</v>
      </c>
      <c r="B18" s="905">
        <f>SUM(B8:B17)-C16</f>
        <v>223.67</v>
      </c>
      <c r="C18" s="169"/>
      <c r="D18" s="179" t="s">
        <v>587</v>
      </c>
      <c r="E18" s="178">
        <f>SUM(E5:E17)</f>
        <v>79.550999999999988</v>
      </c>
      <c r="F18" s="167"/>
      <c r="H18"/>
      <c r="I18"/>
      <c r="J18"/>
      <c r="K18"/>
      <c r="L18"/>
      <c r="M18"/>
    </row>
    <row r="19" spans="1:13" ht="15">
      <c r="A19" s="444" t="s">
        <v>754</v>
      </c>
      <c r="B19" s="154">
        <f>PGL_Supplies!Y7/1000</f>
        <v>159.39099999999999</v>
      </c>
      <c r="C19" s="631"/>
      <c r="D19" s="117" t="s">
        <v>319</v>
      </c>
      <c r="E19" s="154">
        <f>PGL_Deliveries!AI5/1000</f>
        <v>6.0000000000000001E-3</v>
      </c>
      <c r="F19" s="171"/>
      <c r="H19"/>
      <c r="I19"/>
      <c r="J19"/>
      <c r="K19"/>
      <c r="L19"/>
      <c r="M19"/>
    </row>
    <row r="20" spans="1:13" ht="15">
      <c r="A20" s="172" t="s">
        <v>751</v>
      </c>
      <c r="B20" s="154">
        <f>PGL_Supplies!X7/1000</f>
        <v>0</v>
      </c>
      <c r="C20" s="64"/>
      <c r="D20" s="117" t="s">
        <v>189</v>
      </c>
      <c r="E20" s="154">
        <f>PGL_Deliveries!AW5/1000+B41</f>
        <v>2.8089</v>
      </c>
      <c r="F20" s="171"/>
      <c r="H20"/>
      <c r="I20"/>
      <c r="J20"/>
      <c r="K20"/>
      <c r="L20"/>
      <c r="M20"/>
    </row>
    <row r="21" spans="1:13" ht="16.2" thickBot="1">
      <c r="A21" s="172" t="s">
        <v>755</v>
      </c>
      <c r="C21" s="176">
        <f>PGL_Requirements!J7/1000</f>
        <v>0</v>
      </c>
      <c r="D21" s="630" t="s">
        <v>588</v>
      </c>
      <c r="E21" s="211">
        <f>SUM(E18:E20)</f>
        <v>82.365899999999982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4">
        <f>+B19+B20-C21</f>
        <v>159.39099999999999</v>
      </c>
      <c r="C22" s="1127"/>
      <c r="D22" s="251" t="s">
        <v>589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</v>
      </c>
      <c r="C23" s="64"/>
      <c r="D23" s="251" t="s">
        <v>590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765</v>
      </c>
      <c r="B24" s="633"/>
      <c r="C24" s="226">
        <f>PGL_Requirements!U7/1000</f>
        <v>40</v>
      </c>
      <c r="D24" s="60" t="s">
        <v>591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764</v>
      </c>
      <c r="B25" s="154">
        <f>PGL_Supplies!R7/1000</f>
        <v>0</v>
      </c>
      <c r="C25" s="64"/>
      <c r="D25" s="251" t="s">
        <v>593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595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592</v>
      </c>
      <c r="B27" s="154">
        <f>PGL_Supplies!AA7/1000</f>
        <v>4.62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594</v>
      </c>
      <c r="B28" s="154">
        <v>0</v>
      </c>
      <c r="C28" s="64"/>
      <c r="D28" s="251" t="s">
        <v>597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596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598</v>
      </c>
      <c r="B30" s="1081">
        <f>PGL_Supplies!AD7/1000</f>
        <v>0</v>
      </c>
      <c r="C30" s="64"/>
      <c r="D30" s="634" t="s">
        <v>600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599</v>
      </c>
      <c r="B31" s="154">
        <f>PGL_Supplies!AE7/1000</f>
        <v>0</v>
      </c>
      <c r="C31" s="64"/>
      <c r="D31" s="251" t="s">
        <v>601</v>
      </c>
      <c r="E31" s="60" t="s">
        <v>11</v>
      </c>
      <c r="F31" s="176">
        <f>PGL_Requirements!O7/1000</f>
        <v>49.384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602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736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603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131.75</v>
      </c>
      <c r="F34" s="171"/>
      <c r="H34"/>
      <c r="I34"/>
      <c r="J34"/>
      <c r="K34"/>
      <c r="L34"/>
      <c r="M34"/>
    </row>
    <row r="35" spans="1:13" ht="15">
      <c r="A35" s="172" t="s">
        <v>604</v>
      </c>
      <c r="B35" s="60"/>
      <c r="C35" s="64">
        <f>PGL_Deliveries!AC5/1000</f>
        <v>0</v>
      </c>
      <c r="D35" s="60" t="s">
        <v>605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606</v>
      </c>
      <c r="B36" s="68"/>
      <c r="C36" s="484">
        <f>PGL_Deliveries!AB5/1000</f>
        <v>0</v>
      </c>
      <c r="D36" s="174" t="s">
        <v>607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608</v>
      </c>
      <c r="B37" s="154" t="s">
        <v>11</v>
      </c>
      <c r="C37" s="226">
        <f>PGL_Requirements!P7/1000</f>
        <v>187.26</v>
      </c>
      <c r="D37" s="251" t="s">
        <v>609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610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611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0.627</v>
      </c>
      <c r="C40" s="64"/>
      <c r="D40" s="212" t="s">
        <v>224</v>
      </c>
      <c r="E40" s="211">
        <f>SUM(E22:E37)-SUM(F23:F39)-E33</f>
        <v>82.366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612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613</v>
      </c>
      <c r="B42" s="154">
        <f>PGL_Deliveries!AF5/1000</f>
        <v>52.640999999999998</v>
      </c>
      <c r="C42" s="64"/>
      <c r="D42" s="251" t="s">
        <v>524</v>
      </c>
      <c r="E42" s="808">
        <f>PGL_Supplies!AB7/1000</f>
        <v>242.78200000000001</v>
      </c>
      <c r="F42" s="171"/>
      <c r="H42"/>
      <c r="I42"/>
      <c r="J42"/>
      <c r="K42"/>
      <c r="L42"/>
      <c r="M42"/>
    </row>
    <row r="43" spans="1:13" ht="15">
      <c r="A43" s="172" t="s">
        <v>614</v>
      </c>
      <c r="B43" s="154">
        <f>PGL_Deliveries!AW5/1000</f>
        <v>2.8089</v>
      </c>
      <c r="C43" s="64"/>
      <c r="D43" s="60" t="s">
        <v>393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745</v>
      </c>
      <c r="B44" s="210" t="s">
        <v>11</v>
      </c>
      <c r="C44" s="226">
        <f>PGL_Requirements!R7/1000</f>
        <v>0.64</v>
      </c>
      <c r="D44" s="60" t="s">
        <v>527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615</v>
      </c>
      <c r="B45" s="60">
        <f>Weather_Input!B5</f>
        <v>65</v>
      </c>
      <c r="C45" s="185"/>
      <c r="D45" s="60" t="s">
        <v>528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616</v>
      </c>
      <c r="B46" s="239">
        <f>Weather_Input!C5</f>
        <v>46</v>
      </c>
      <c r="C46" s="162"/>
      <c r="D46" s="60" t="s">
        <v>625</v>
      </c>
      <c r="E46" s="808">
        <f>PGL_Supplies!T7/1000</f>
        <v>0</v>
      </c>
      <c r="F46" s="171"/>
    </row>
    <row r="47" spans="1:13" ht="15">
      <c r="A47" s="173" t="s">
        <v>617</v>
      </c>
      <c r="B47" s="60">
        <f>Weather_Input!E5</f>
        <v>55.3</v>
      </c>
      <c r="C47" s="162"/>
      <c r="D47" s="779" t="s">
        <v>624</v>
      </c>
      <c r="E47" s="68"/>
      <c r="F47" s="809">
        <f>PGL_Deliveries!BE5/1000</f>
        <v>19.57</v>
      </c>
    </row>
    <row r="48" spans="1:13" ht="15">
      <c r="A48" s="172" t="s">
        <v>618</v>
      </c>
      <c r="B48" s="227">
        <f>Weather_Input!D5</f>
        <v>8.6999999999999993</v>
      </c>
      <c r="C48" s="162"/>
      <c r="D48" s="251" t="s">
        <v>245</v>
      </c>
      <c r="E48" s="154">
        <f>PGL_Deliveries!AI5/1000</f>
        <v>6.0000000000000001E-3</v>
      </c>
      <c r="F48" s="161"/>
    </row>
    <row r="49" spans="1:6" ht="15">
      <c r="A49" s="172" t="s">
        <v>619</v>
      </c>
      <c r="B49" s="154">
        <f>PGL_Deliveries!AM5/1000</f>
        <v>1.0229999999999999</v>
      </c>
      <c r="C49" s="162"/>
      <c r="D49" s="60" t="s">
        <v>786</v>
      </c>
      <c r="E49" s="154">
        <f>PGL_Deliveries!AJ5/1000</f>
        <v>13.301</v>
      </c>
      <c r="F49" s="161"/>
    </row>
    <row r="50" spans="1:6" ht="15.6" outlineLevel="2" thickBot="1">
      <c r="A50" s="102" t="s">
        <v>620</v>
      </c>
      <c r="B50" s="163"/>
      <c r="C50" s="160"/>
      <c r="D50" s="168" t="s">
        <v>621</v>
      </c>
      <c r="E50" s="210">
        <f>PGL_Deliveries!AK5/1000</f>
        <v>0</v>
      </c>
      <c r="F50" s="443"/>
    </row>
    <row r="51" spans="1:6" ht="15" outlineLevel="2">
      <c r="A51" s="421" t="s">
        <v>622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activeCell="A10" sqref="A10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56.116999999999997</v>
      </c>
      <c r="C3" s="120"/>
      <c r="D3" s="230" t="s">
        <v>324</v>
      </c>
      <c r="E3" s="429">
        <f>Weather_Input!A5</f>
        <v>37009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56.116999999999997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9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56.116999999999997</v>
      </c>
      <c r="C8" s="161"/>
      <c r="D8" s="820" t="s">
        <v>643</v>
      </c>
      <c r="E8" s="814">
        <f>NSG_Deliveries!F5/1000</f>
        <v>0</v>
      </c>
      <c r="F8" s="813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633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2" t="s">
        <v>634</v>
      </c>
      <c r="E10" s="446">
        <f>NSG_Deliveries!N5/1000</f>
        <v>0</v>
      </c>
      <c r="F10" s="816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644</v>
      </c>
      <c r="E11" s="817">
        <f>NSG_Supplies!Q7/1000</f>
        <v>20</v>
      </c>
      <c r="F11" s="818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49.755000000000003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6.3620000000000001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56.117000000000004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37009</v>
      </c>
      <c r="C1" s="4"/>
    </row>
    <row r="2" spans="1:19">
      <c r="A2" s="111" t="s">
        <v>357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37008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152629</v>
      </c>
      <c r="O6" s="204">
        <v>0</v>
      </c>
      <c r="P6" s="204">
        <v>44762063</v>
      </c>
      <c r="Q6" s="204">
        <v>15045098</v>
      </c>
      <c r="R6" s="204">
        <v>29716965</v>
      </c>
      <c r="S6" s="204">
        <v>0</v>
      </c>
    </row>
    <row r="7" spans="1:19">
      <c r="A7" s="4">
        <f>B1</f>
        <v>37009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159391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44921454</v>
      </c>
      <c r="Q7">
        <f>IF(O7&gt;0,Q6+O7,Q6)</f>
        <v>15045098</v>
      </c>
      <c r="R7">
        <f>IF(P7&gt;Q7,P7-Q7,0)</f>
        <v>29876356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O6" sqref="AO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731</v>
      </c>
      <c r="BE1" t="s">
        <v>732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728</v>
      </c>
      <c r="BC2" t="s">
        <v>729</v>
      </c>
      <c r="BE2" s="1094">
        <v>1</v>
      </c>
      <c r="BF2" s="198" t="s">
        <v>729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710</v>
      </c>
      <c r="AP3" s="1074"/>
      <c r="AQ3" s="795" t="s">
        <v>711</v>
      </c>
      <c r="AR3" s="1074"/>
      <c r="AS3" s="795" t="s">
        <v>712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726</v>
      </c>
      <c r="BA3" s="122"/>
      <c r="BB3" s="162"/>
      <c r="BC3" s="122" t="s">
        <v>43</v>
      </c>
      <c r="BE3" s="1094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746</v>
      </c>
      <c r="W4" s="3" t="s">
        <v>68</v>
      </c>
      <c r="X4" s="3" t="s">
        <v>69</v>
      </c>
      <c r="Y4" s="3" t="s">
        <v>571</v>
      </c>
      <c r="Z4" s="3" t="s">
        <v>572</v>
      </c>
      <c r="AA4" s="3" t="s">
        <v>779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708</v>
      </c>
      <c r="AP4" s="3" t="s">
        <v>709</v>
      </c>
      <c r="AQ4" s="3" t="s">
        <v>708</v>
      </c>
      <c r="AR4" s="3" t="s">
        <v>709</v>
      </c>
      <c r="AS4" s="3" t="s">
        <v>708</v>
      </c>
      <c r="AT4" s="3" t="s">
        <v>709</v>
      </c>
      <c r="AU4" s="433" t="s">
        <v>203</v>
      </c>
      <c r="AV4" s="433" t="s">
        <v>744</v>
      </c>
      <c r="AW4" s="433" t="s">
        <v>212</v>
      </c>
      <c r="AX4" s="433" t="s">
        <v>707</v>
      </c>
      <c r="AY4" s="1"/>
      <c r="AZ4" s="1095" t="s">
        <v>42</v>
      </c>
      <c r="BA4" s="1096" t="s">
        <v>43</v>
      </c>
      <c r="BB4" s="1097" t="s">
        <v>725</v>
      </c>
      <c r="BC4" s="1097" t="s">
        <v>730</v>
      </c>
      <c r="BE4" s="198" t="s">
        <v>400</v>
      </c>
      <c r="BF4" s="198" t="s">
        <v>727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37009</v>
      </c>
      <c r="B5" s="1">
        <f>(Weather_Input!B5+Weather_Input!C5)/2</f>
        <v>55.5</v>
      </c>
      <c r="C5" s="912">
        <v>288000</v>
      </c>
      <c r="D5" s="913">
        <v>72175</v>
      </c>
      <c r="E5" s="913">
        <v>0</v>
      </c>
      <c r="F5" s="913">
        <v>33955</v>
      </c>
      <c r="G5" s="913">
        <v>22</v>
      </c>
      <c r="H5" s="913">
        <v>35315</v>
      </c>
      <c r="I5" s="913">
        <v>151495</v>
      </c>
      <c r="J5" s="913">
        <v>0</v>
      </c>
      <c r="K5" s="913">
        <v>0</v>
      </c>
      <c r="L5" s="913">
        <v>80</v>
      </c>
      <c r="M5" s="913">
        <v>3820</v>
      </c>
      <c r="N5" s="913">
        <v>162</v>
      </c>
      <c r="O5" s="913">
        <v>81</v>
      </c>
      <c r="P5" s="913">
        <v>765</v>
      </c>
      <c r="Q5" s="913">
        <v>198</v>
      </c>
      <c r="R5" s="913">
        <v>1166</v>
      </c>
      <c r="S5" s="918">
        <v>3987</v>
      </c>
      <c r="T5" s="1161">
        <v>0</v>
      </c>
      <c r="U5" s="912">
        <f>SUM(D5:S5)-T5</f>
        <v>303221</v>
      </c>
      <c r="V5" s="912">
        <v>112449</v>
      </c>
      <c r="W5" s="11">
        <v>0</v>
      </c>
      <c r="X5" s="11">
        <v>0</v>
      </c>
      <c r="Y5" s="11">
        <v>0</v>
      </c>
      <c r="Z5" s="11">
        <v>233165</v>
      </c>
      <c r="AA5" s="11">
        <v>19570</v>
      </c>
      <c r="AB5" s="11">
        <v>0</v>
      </c>
      <c r="AC5" s="11">
        <v>0</v>
      </c>
      <c r="AD5" s="11">
        <v>0</v>
      </c>
      <c r="AE5" s="11">
        <v>0</v>
      </c>
      <c r="AF5" s="11">
        <v>52641</v>
      </c>
      <c r="AG5" s="11">
        <v>0</v>
      </c>
      <c r="AH5" s="11">
        <v>0</v>
      </c>
      <c r="AI5" s="11">
        <v>6</v>
      </c>
      <c r="AJ5" s="11">
        <v>13301</v>
      </c>
      <c r="AK5" s="11">
        <v>0</v>
      </c>
      <c r="AL5" s="11">
        <v>0</v>
      </c>
      <c r="AM5" s="1">
        <v>1023</v>
      </c>
      <c r="AN5" s="1"/>
      <c r="AO5" s="1">
        <v>613</v>
      </c>
      <c r="AP5" s="1">
        <v>0</v>
      </c>
      <c r="AQ5" s="1">
        <v>49384</v>
      </c>
      <c r="AR5" s="1">
        <v>0</v>
      </c>
      <c r="AS5" s="1">
        <v>0</v>
      </c>
      <c r="AT5" s="1">
        <v>627</v>
      </c>
      <c r="AU5" s="1">
        <v>187260</v>
      </c>
      <c r="AV5" s="1">
        <v>640</v>
      </c>
      <c r="AW5" s="627">
        <f>AU5*0.015</f>
        <v>2808.9</v>
      </c>
      <c r="AX5" s="1">
        <v>0</v>
      </c>
      <c r="AY5" s="1"/>
      <c r="AZ5" s="1">
        <v>22</v>
      </c>
      <c r="BA5" s="1">
        <v>12</v>
      </c>
      <c r="BB5" s="1">
        <v>0</v>
      </c>
      <c r="BC5" s="1">
        <v>0</v>
      </c>
      <c r="BD5" s="1"/>
      <c r="BE5" s="1">
        <v>19570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37010</v>
      </c>
      <c r="B6" s="931">
        <f>(Weather_Input!B6+Weather_Input!C6)/2</f>
        <v>67</v>
      </c>
      <c r="C6" s="912">
        <v>250000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706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37011</v>
      </c>
      <c r="B7" s="931">
        <f>(Weather_Input!B7+Weather_Input!C7)/2</f>
        <v>70</v>
      </c>
      <c r="C7" s="912">
        <v>250000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538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37012</v>
      </c>
      <c r="B8" s="931">
        <f>(Weather_Input!B8+Weather_Input!C8)/2</f>
        <v>73.5</v>
      </c>
      <c r="C8" s="912">
        <v>240000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539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37013</v>
      </c>
      <c r="B9" s="931">
        <f>(Weather_Input!B9+Weather_Input!C9)/2</f>
        <v>73.5</v>
      </c>
      <c r="C9" s="912">
        <v>240000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540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37014</v>
      </c>
      <c r="B10" s="931">
        <f>(Weather_Input!B10+Weather_Input!C10)/2</f>
        <v>72.5</v>
      </c>
      <c r="C10" s="912">
        <v>245000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543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541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542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544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545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546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G1" zoomScale="75" workbookViewId="0">
      <selection activeCell="R5" sqref="R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704</v>
      </c>
      <c r="L2" t="s">
        <v>704</v>
      </c>
      <c r="M2" t="s">
        <v>704</v>
      </c>
      <c r="N2" t="s">
        <v>704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638</v>
      </c>
      <c r="G3" s="156" t="s">
        <v>82</v>
      </c>
      <c r="H3" s="3" t="s">
        <v>15</v>
      </c>
      <c r="I3" s="156" t="s">
        <v>83</v>
      </c>
      <c r="K3" t="s">
        <v>705</v>
      </c>
      <c r="L3" t="s">
        <v>705</v>
      </c>
      <c r="M3" t="s">
        <v>705</v>
      </c>
      <c r="N3" t="s">
        <v>705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702</v>
      </c>
      <c r="L4" s="1" t="s">
        <v>703</v>
      </c>
      <c r="M4" s="1" t="s">
        <v>702</v>
      </c>
      <c r="N4" s="1" t="s">
        <v>703</v>
      </c>
    </row>
    <row r="5" spans="1:14">
      <c r="A5" s="12">
        <f>Weather_Input!A5</f>
        <v>37009</v>
      </c>
      <c r="B5" s="1">
        <f>(Weather_Input!B5+Weather_Input!C5)/2</f>
        <v>55.5</v>
      </c>
      <c r="C5" s="912">
        <v>56000</v>
      </c>
      <c r="D5" s="912">
        <v>0</v>
      </c>
      <c r="E5" s="912">
        <v>56117</v>
      </c>
      <c r="F5" s="912">
        <v>0</v>
      </c>
      <c r="G5" s="912">
        <v>0</v>
      </c>
      <c r="H5" s="920">
        <f>SUM(D5:G5)</f>
        <v>56117</v>
      </c>
      <c r="I5" s="1">
        <v>1005</v>
      </c>
      <c r="J5" s="1" t="s">
        <v>11</v>
      </c>
      <c r="K5" s="1">
        <v>0</v>
      </c>
      <c r="L5" s="1">
        <v>6362</v>
      </c>
      <c r="M5" s="1">
        <v>20000</v>
      </c>
      <c r="N5" s="1">
        <v>0</v>
      </c>
    </row>
    <row r="6" spans="1:14">
      <c r="A6" s="12">
        <f>A5+1</f>
        <v>37010</v>
      </c>
      <c r="B6" s="931">
        <f>(Weather_Input!B6+Weather_Input!C6)/2</f>
        <v>67</v>
      </c>
      <c r="C6" s="912">
        <v>47000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37011</v>
      </c>
      <c r="B7" s="931">
        <f>(Weather_Input!B7+Weather_Input!C7)/2</f>
        <v>70</v>
      </c>
      <c r="C7" s="912">
        <v>46000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37012</v>
      </c>
      <c r="B8" s="931">
        <f>(Weather_Input!B8+Weather_Input!C8)/2</f>
        <v>73.5</v>
      </c>
      <c r="C8" s="912">
        <v>42000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37013</v>
      </c>
      <c r="B9" s="931">
        <f>(Weather_Input!B9+Weather_Input!C9)/2</f>
        <v>73.5</v>
      </c>
      <c r="C9" s="912">
        <v>42000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37014</v>
      </c>
      <c r="B10" s="931">
        <f>(Weather_Input!B10+Weather_Input!C10)/2</f>
        <v>72.5</v>
      </c>
      <c r="C10" s="912">
        <v>43000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7" sqref="H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637</v>
      </c>
      <c r="I4" s="3" t="s">
        <v>1</v>
      </c>
      <c r="J4" s="3" t="s">
        <v>757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400</v>
      </c>
      <c r="I5" s="109" t="s">
        <v>723</v>
      </c>
      <c r="J5" s="54" t="s">
        <v>746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770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5" t="s">
        <v>724</v>
      </c>
      <c r="J6" s="54" t="s">
        <v>756</v>
      </c>
      <c r="K6" s="54" t="s">
        <v>416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741</v>
      </c>
      <c r="S6" s="54" t="s">
        <v>103</v>
      </c>
      <c r="T6" s="1076" t="s">
        <v>720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3">
        <f>Weather_Input!A5</f>
        <v>37009</v>
      </c>
      <c r="B7" s="921">
        <v>0</v>
      </c>
      <c r="C7" s="922">
        <v>0</v>
      </c>
      <c r="D7" s="625">
        <v>4620</v>
      </c>
      <c r="E7" s="625">
        <v>0</v>
      </c>
      <c r="F7" s="921">
        <v>0</v>
      </c>
      <c r="G7" s="921">
        <v>617</v>
      </c>
      <c r="H7" s="923">
        <v>20364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49384</v>
      </c>
      <c r="P7" s="625">
        <v>187260</v>
      </c>
      <c r="Q7" s="627">
        <f t="shared" ref="Q7:Q12" si="0">P7*0.015</f>
        <v>2808.9</v>
      </c>
      <c r="R7" s="625">
        <v>640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37009</v>
      </c>
    </row>
    <row r="8" spans="1:89" s="1" customFormat="1" ht="13.2">
      <c r="A8" s="833">
        <f>A7+1</f>
        <v>37010</v>
      </c>
      <c r="B8" s="921">
        <v>0</v>
      </c>
      <c r="C8" s="922">
        <v>0</v>
      </c>
      <c r="D8" s="625">
        <v>4620</v>
      </c>
      <c r="E8" s="625">
        <v>0</v>
      </c>
      <c r="F8" s="921">
        <v>0</v>
      </c>
      <c r="G8" s="921">
        <v>20000</v>
      </c>
      <c r="H8" s="923">
        <v>3617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69460</v>
      </c>
      <c r="P8" s="625">
        <v>200000</v>
      </c>
      <c r="Q8" s="627">
        <f t="shared" si="0"/>
        <v>3000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37010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37011</v>
      </c>
      <c r="B9" s="921">
        <v>0</v>
      </c>
      <c r="C9" s="922">
        <v>0</v>
      </c>
      <c r="D9" s="625">
        <v>4620</v>
      </c>
      <c r="E9" s="625">
        <v>0</v>
      </c>
      <c r="F9" s="921">
        <v>0</v>
      </c>
      <c r="G9" s="921">
        <v>0</v>
      </c>
      <c r="H9" s="923">
        <v>29619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200000</v>
      </c>
      <c r="Q9" s="627">
        <f t="shared" si="0"/>
        <v>3000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37011</v>
      </c>
      <c r="AN9" s="624"/>
    </row>
    <row r="10" spans="1:89" s="1" customFormat="1" ht="13.2">
      <c r="A10" s="833">
        <f>A9+1</f>
        <v>37012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20390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160000</v>
      </c>
      <c r="Q10" s="627">
        <f t="shared" si="0"/>
        <v>2400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37012</v>
      </c>
    </row>
    <row r="11" spans="1:89" s="1" customFormat="1" ht="13.2">
      <c r="A11" s="833">
        <f>A10+1</f>
        <v>37013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160000</v>
      </c>
      <c r="Q11" s="627">
        <f t="shared" si="0"/>
        <v>2400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37013</v>
      </c>
    </row>
    <row r="12" spans="1:89" s="1" customFormat="1" ht="13.2">
      <c r="A12" s="833">
        <f>A11+1</f>
        <v>37014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37014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E1" zoomScale="75" workbookViewId="0">
      <selection activeCell="I8" sqref="I8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636</v>
      </c>
      <c r="V4" s="3" t="s">
        <v>768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723</v>
      </c>
      <c r="V5" s="3" t="s">
        <v>766</v>
      </c>
      <c r="W5" s="3"/>
      <c r="X5" s="59" t="s">
        <v>746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697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416</v>
      </c>
      <c r="U6" s="1076" t="s">
        <v>724</v>
      </c>
      <c r="V6" s="54" t="s">
        <v>767</v>
      </c>
      <c r="W6" s="54" t="s">
        <v>11</v>
      </c>
      <c r="X6" s="1126" t="s">
        <v>753</v>
      </c>
      <c r="Y6" s="69" t="s">
        <v>746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3">
        <f>Weather_Input!A5</f>
        <v>37009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1">
        <v>0</v>
      </c>
      <c r="H7" s="625">
        <v>627</v>
      </c>
      <c r="I7" s="625">
        <v>13301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220760</v>
      </c>
      <c r="W7" s="626">
        <v>0</v>
      </c>
      <c r="X7" s="624">
        <v>0</v>
      </c>
      <c r="Y7" s="924">
        <v>159391</v>
      </c>
      <c r="Z7" s="626">
        <v>40000</v>
      </c>
      <c r="AA7" s="1">
        <v>4620</v>
      </c>
      <c r="AB7" s="624">
        <v>242782</v>
      </c>
      <c r="AC7" s="624">
        <v>131750</v>
      </c>
      <c r="AD7" s="624">
        <v>0</v>
      </c>
      <c r="AE7" s="924">
        <v>0</v>
      </c>
      <c r="AF7" s="51">
        <f>Weather_Input!A5</f>
        <v>37009</v>
      </c>
      <c r="AI7" s="624"/>
      <c r="AJ7" s="624"/>
      <c r="AK7" s="624"/>
    </row>
    <row r="8" spans="1:37">
      <c r="A8" s="833">
        <f>A7+1</f>
        <v>37010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220760</v>
      </c>
      <c r="W8" s="626">
        <v>0</v>
      </c>
      <c r="X8" s="624">
        <v>0</v>
      </c>
      <c r="Y8" s="924">
        <v>159391</v>
      </c>
      <c r="Z8" s="626">
        <v>40000</v>
      </c>
      <c r="AA8" s="1">
        <v>4620</v>
      </c>
      <c r="AB8" s="624">
        <v>242782</v>
      </c>
      <c r="AC8" s="624">
        <v>131750</v>
      </c>
      <c r="AD8" s="624">
        <v>0</v>
      </c>
      <c r="AE8" s="924">
        <v>0</v>
      </c>
      <c r="AF8" s="833">
        <f>AF7+1</f>
        <v>37010</v>
      </c>
      <c r="AI8" s="624"/>
      <c r="AJ8" s="624"/>
      <c r="AK8" s="624"/>
    </row>
    <row r="9" spans="1:37" s="624" customFormat="1">
      <c r="A9" s="833">
        <f>A8+1</f>
        <v>37011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220760</v>
      </c>
      <c r="W9" s="626">
        <v>0</v>
      </c>
      <c r="X9" s="624">
        <v>0</v>
      </c>
      <c r="Y9" s="924">
        <v>159391</v>
      </c>
      <c r="Z9" s="626">
        <v>40000</v>
      </c>
      <c r="AA9" s="1">
        <v>4620</v>
      </c>
      <c r="AB9" s="624">
        <v>242782</v>
      </c>
      <c r="AC9" s="624">
        <v>131750</v>
      </c>
      <c r="AD9" s="624">
        <v>0</v>
      </c>
      <c r="AE9" s="924">
        <v>0</v>
      </c>
      <c r="AF9" s="833">
        <f>AF8+1</f>
        <v>37011</v>
      </c>
    </row>
    <row r="10" spans="1:37">
      <c r="A10" s="833">
        <f>A9+1</f>
        <v>37012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220760</v>
      </c>
      <c r="W10" s="626">
        <v>0</v>
      </c>
      <c r="X10" s="624">
        <v>0</v>
      </c>
      <c r="Y10" s="924">
        <v>159391</v>
      </c>
      <c r="Z10" s="626">
        <v>40000</v>
      </c>
      <c r="AA10" s="1">
        <v>0</v>
      </c>
      <c r="AB10" s="624">
        <v>242782</v>
      </c>
      <c r="AC10" s="624">
        <v>131750</v>
      </c>
      <c r="AD10" s="624">
        <v>0</v>
      </c>
      <c r="AE10" s="924">
        <v>0</v>
      </c>
      <c r="AF10" s="833">
        <f>AF9+1</f>
        <v>37012</v>
      </c>
      <c r="AI10" s="624"/>
      <c r="AJ10" s="624"/>
      <c r="AK10" s="624"/>
    </row>
    <row r="11" spans="1:37">
      <c r="A11" s="833">
        <f>A10+1</f>
        <v>37013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220760</v>
      </c>
      <c r="W11" s="626">
        <v>0</v>
      </c>
      <c r="X11" s="624">
        <v>0</v>
      </c>
      <c r="Y11" s="924">
        <v>159391</v>
      </c>
      <c r="Z11" s="626">
        <v>40000</v>
      </c>
      <c r="AA11" s="1">
        <v>0</v>
      </c>
      <c r="AB11" s="624">
        <v>242782</v>
      </c>
      <c r="AC11" s="624">
        <v>131750</v>
      </c>
      <c r="AD11" s="624">
        <v>0</v>
      </c>
      <c r="AE11" s="924">
        <v>0</v>
      </c>
      <c r="AF11" s="833">
        <f>AF10+1</f>
        <v>37013</v>
      </c>
    </row>
    <row r="12" spans="1:37">
      <c r="A12" s="833">
        <f>A11+1</f>
        <v>37014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220760</v>
      </c>
      <c r="W12" s="626">
        <v>0</v>
      </c>
      <c r="X12" s="624">
        <v>0</v>
      </c>
      <c r="Y12" s="924">
        <v>159391</v>
      </c>
      <c r="Z12" s="626">
        <v>40000</v>
      </c>
      <c r="AA12" s="1">
        <v>0</v>
      </c>
      <c r="AB12" s="624">
        <v>242782</v>
      </c>
      <c r="AC12" s="624">
        <v>131750</v>
      </c>
      <c r="AD12" s="624">
        <v>0</v>
      </c>
      <c r="AE12" s="924">
        <v>0</v>
      </c>
      <c r="AF12" s="833">
        <f>AF11+1</f>
        <v>37014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I1" zoomScale="75" workbookViewId="0">
      <selection activeCell="T1" sqref="T1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697</v>
      </c>
      <c r="I6" s="54" t="s">
        <v>100</v>
      </c>
      <c r="J6" s="54" t="s">
        <v>90</v>
      </c>
      <c r="K6" s="54" t="s">
        <v>555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4">
        <f>Weather_Input!A5</f>
        <v>37009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37009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37010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2759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37010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37011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37011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37012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37012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37013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37013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37014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37014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635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697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639</v>
      </c>
      <c r="R6" s="54" t="s">
        <v>131</v>
      </c>
      <c r="S6" s="1076" t="s">
        <v>38</v>
      </c>
      <c r="T6" s="54" t="s">
        <v>416</v>
      </c>
      <c r="U6" s="69" t="s">
        <v>61</v>
      </c>
    </row>
    <row r="7" spans="1:24">
      <c r="A7" s="833">
        <f>Weather_Input!A5</f>
        <v>37009</v>
      </c>
      <c r="B7" s="627">
        <v>0</v>
      </c>
      <c r="C7" s="628">
        <v>0</v>
      </c>
      <c r="D7" s="627">
        <v>0</v>
      </c>
      <c r="E7" s="627">
        <v>0</v>
      </c>
      <c r="F7" s="627">
        <v>6250</v>
      </c>
      <c r="G7" s="627">
        <f>(R7+S7+C7+PGL_Requirements!Y7+PGL_Requirements!Z7-NSG_Requirements!C7)*0.05</f>
        <v>3725.5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49755</v>
      </c>
      <c r="S7" s="627">
        <v>24755</v>
      </c>
      <c r="T7" s="627">
        <v>0</v>
      </c>
      <c r="U7" s="627">
        <v>0</v>
      </c>
      <c r="V7" s="833">
        <f>Weather_Input!A5</f>
        <v>37009</v>
      </c>
      <c r="W7" s="624"/>
      <c r="X7" s="624"/>
    </row>
    <row r="8" spans="1:24">
      <c r="A8" s="833">
        <f>A7+1</f>
        <v>37010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3725.5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49755</v>
      </c>
      <c r="S8" s="627">
        <v>24755</v>
      </c>
      <c r="T8" s="627">
        <v>0</v>
      </c>
      <c r="U8" s="627">
        <v>0</v>
      </c>
      <c r="V8" s="833">
        <f>V7+1</f>
        <v>37010</v>
      </c>
      <c r="W8" s="624"/>
      <c r="X8" s="624"/>
    </row>
    <row r="9" spans="1:24">
      <c r="A9" s="833">
        <f>A8+1</f>
        <v>37011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3725.5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49755</v>
      </c>
      <c r="S9" s="627">
        <v>24755</v>
      </c>
      <c r="T9" s="627">
        <v>0</v>
      </c>
      <c r="U9" s="627">
        <v>0</v>
      </c>
      <c r="V9" s="833">
        <f>V8+1</f>
        <v>37011</v>
      </c>
      <c r="W9" s="624"/>
      <c r="X9" s="624"/>
    </row>
    <row r="10" spans="1:24">
      <c r="A10" s="833">
        <f>A9+1</f>
        <v>37012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3725.5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49755</v>
      </c>
      <c r="S10" s="627">
        <v>24755</v>
      </c>
      <c r="T10" s="627">
        <v>0</v>
      </c>
      <c r="U10" s="627">
        <v>0</v>
      </c>
      <c r="V10" s="833">
        <f>V9+1</f>
        <v>37012</v>
      </c>
      <c r="W10" s="624"/>
      <c r="X10" s="624"/>
    </row>
    <row r="11" spans="1:24">
      <c r="A11" s="833">
        <f>A10+1</f>
        <v>37013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3725.5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49755</v>
      </c>
      <c r="S11" s="627">
        <v>24755</v>
      </c>
      <c r="T11" s="627">
        <v>0</v>
      </c>
      <c r="U11" s="627">
        <v>0</v>
      </c>
      <c r="V11" s="833">
        <f>V10+1</f>
        <v>37013</v>
      </c>
      <c r="W11" s="624"/>
      <c r="X11" s="624"/>
    </row>
    <row r="12" spans="1:24">
      <c r="A12" s="833">
        <f>A11+1</f>
        <v>37014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3725.5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49755</v>
      </c>
      <c r="S12" s="627">
        <v>24755</v>
      </c>
      <c r="T12" s="627">
        <v>0</v>
      </c>
      <c r="U12" s="627">
        <v>0</v>
      </c>
      <c r="V12" s="833">
        <f>V11+1</f>
        <v>37014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SAT</v>
      </c>
      <c r="I1" s="838">
        <f>D4</f>
        <v>37009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SAT</v>
      </c>
      <c r="E3" s="843" t="str">
        <f t="shared" si="0"/>
        <v>SUN</v>
      </c>
      <c r="F3" s="843" t="str">
        <f t="shared" si="0"/>
        <v>MON</v>
      </c>
      <c r="G3" s="843" t="str">
        <f t="shared" si="0"/>
        <v>TUE</v>
      </c>
      <c r="H3" s="843" t="str">
        <f t="shared" si="0"/>
        <v>WED</v>
      </c>
      <c r="I3" s="844" t="str">
        <f t="shared" si="0"/>
        <v>THU</v>
      </c>
    </row>
    <row r="4" spans="1:256" ht="16.2" thickBot="1">
      <c r="A4" s="845"/>
      <c r="B4" s="846"/>
      <c r="C4" s="846"/>
      <c r="D4" s="466">
        <f>Weather_Input!A5</f>
        <v>37009</v>
      </c>
      <c r="E4" s="466">
        <f>Weather_Input!A6</f>
        <v>37010</v>
      </c>
      <c r="F4" s="466">
        <f>Weather_Input!A7</f>
        <v>37011</v>
      </c>
      <c r="G4" s="466">
        <f>Weather_Input!A8</f>
        <v>37012</v>
      </c>
      <c r="H4" s="466">
        <f>Weather_Input!A9</f>
        <v>37013</v>
      </c>
      <c r="I4" s="467">
        <f>Weather_Input!A10</f>
        <v>37014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65/46/56</v>
      </c>
      <c r="E5" s="468" t="str">
        <f>TEXT(Weather_Input!B6,"0")&amp;"/"&amp;TEXT(Weather_Input!C6,"0") &amp; "/" &amp; TEXT((Weather_Input!B6+Weather_Input!C6)/2,"0")</f>
        <v>78/56/67</v>
      </c>
      <c r="F5" s="468" t="str">
        <f>TEXT(Weather_Input!B7,"0")&amp;"/"&amp;TEXT(Weather_Input!C7,"0") &amp; "/" &amp; TEXT((Weather_Input!B7+Weather_Input!C7)/2,"0")</f>
        <v>82/58/70</v>
      </c>
      <c r="G5" s="468" t="str">
        <f>TEXT(Weather_Input!B8,"0")&amp;"/"&amp;TEXT(Weather_Input!C8,"0") &amp; "/" &amp; TEXT((Weather_Input!B8+Weather_Input!C8)/2,"0")</f>
        <v>84/63/74</v>
      </c>
      <c r="H5" s="468" t="str">
        <f>TEXT(Weather_Input!B9,"0")&amp;"/"&amp;TEXT(Weather_Input!C9,"0") &amp; "/" &amp; TEXT((Weather_Input!B9+Weather_Input!C9)/2,"0")</f>
        <v>84/63/74</v>
      </c>
      <c r="I5" s="469" t="str">
        <f>TEXT(Weather_Input!B10,"0")&amp;"/"&amp;TEXT(Weather_Input!C10,"0") &amp; "/" &amp; TEXT((Weather_Input!B10+Weather_Input!C10)/2,"0")</f>
        <v>80/65/73</v>
      </c>
    </row>
    <row r="6" spans="1:256">
      <c r="A6" s="852" t="s">
        <v>139</v>
      </c>
      <c r="B6" s="840"/>
      <c r="C6" s="840"/>
      <c r="D6" s="468">
        <f>PGL_Deliveries!C5/1000</f>
        <v>288</v>
      </c>
      <c r="E6" s="468">
        <f>PGL_Deliveries!C6/1000</f>
        <v>250</v>
      </c>
      <c r="F6" s="468">
        <f>PGL_Deliveries!C7/1000</f>
        <v>250</v>
      </c>
      <c r="G6" s="468">
        <f>PGL_Deliveries!C8/1000</f>
        <v>240</v>
      </c>
      <c r="H6" s="468">
        <f>PGL_Deliveries!C9/1000</f>
        <v>240</v>
      </c>
      <c r="I6" s="469">
        <f>PGL_Deliveries!C10/1000</f>
        <v>245</v>
      </c>
    </row>
    <row r="7" spans="1:256">
      <c r="A7" s="852" t="s">
        <v>569</v>
      </c>
      <c r="B7" s="840" t="s">
        <v>416</v>
      </c>
      <c r="C7" s="840"/>
      <c r="D7" s="468">
        <f>PGL_Requirements!H7/1000*0.5</f>
        <v>10.182</v>
      </c>
      <c r="E7" s="468">
        <f>PGL_Requirements!H8/1000*0.5</f>
        <v>1.8085</v>
      </c>
      <c r="F7" s="468">
        <f>PGL_Requirements!H9/1000*0.5</f>
        <v>14.8095</v>
      </c>
      <c r="G7" s="468">
        <f>PGL_Requirements!H10/1000*0.5</f>
        <v>10.195</v>
      </c>
      <c r="H7" s="468">
        <f>PGL_Requirements!H11/1000*0.5</f>
        <v>0</v>
      </c>
      <c r="I7" s="469">
        <f>PGL_Requirements!H12/1000*0.5</f>
        <v>0</v>
      </c>
    </row>
    <row r="8" spans="1:256">
      <c r="A8" s="852" t="s">
        <v>722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416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187.26</v>
      </c>
      <c r="E13" s="468">
        <f>PGL_Requirements!P8/1000</f>
        <v>200</v>
      </c>
      <c r="F13" s="468">
        <f>PGL_Requirements!P9/1000</f>
        <v>200</v>
      </c>
      <c r="G13" s="468">
        <f>PGL_Requirements!P10/1000</f>
        <v>160</v>
      </c>
      <c r="H13" s="468">
        <f>PGL_Requirements!P11/1000</f>
        <v>160</v>
      </c>
      <c r="I13" s="469">
        <f>PGL_Requirements!P12/1000</f>
        <v>160</v>
      </c>
    </row>
    <row r="14" spans="1:256">
      <c r="A14" s="849"/>
      <c r="B14" s="840"/>
      <c r="C14" s="840" t="s">
        <v>101</v>
      </c>
      <c r="D14" s="468">
        <f>PGL_Requirements!Q7/1000</f>
        <v>2.8089</v>
      </c>
      <c r="E14" s="468">
        <f>PGL_Requirements!Q8/1000</f>
        <v>3</v>
      </c>
      <c r="F14" s="468">
        <f>PGL_Requirements!Q9/1000</f>
        <v>3</v>
      </c>
      <c r="G14" s="468">
        <f>PGL_Requirements!Q10/1000</f>
        <v>2.4</v>
      </c>
      <c r="H14" s="468">
        <f>PGL_Requirements!Q11/1000</f>
        <v>2.4</v>
      </c>
      <c r="I14" s="469">
        <f>PGL_Requirements!Q12/1000</f>
        <v>2.4</v>
      </c>
    </row>
    <row r="15" spans="1:256">
      <c r="A15" s="849"/>
      <c r="C15" s="840" t="s">
        <v>741</v>
      </c>
      <c r="D15" s="468">
        <f>PGL_Requirements!R7/1000</f>
        <v>0.64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>
      <c r="A16" s="849"/>
      <c r="C16" s="840" t="s">
        <v>774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720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49.384</v>
      </c>
      <c r="E19" s="468">
        <f>PGL_Requirements!O8/1000</f>
        <v>69.459999999999994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416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0.61699999999999999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759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4.62</v>
      </c>
      <c r="E27" s="468">
        <f>PGL_Requirements!D8/1000</f>
        <v>4.62</v>
      </c>
      <c r="F27" s="468">
        <f>PGL_Requirements!D9/1000</f>
        <v>4.62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416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583.51189999999997</v>
      </c>
      <c r="E30" s="472">
        <f t="shared" si="1"/>
        <v>589.5385</v>
      </c>
      <c r="F30" s="472">
        <f t="shared" si="1"/>
        <v>513.07949999999994</v>
      </c>
      <c r="G30" s="472">
        <f t="shared" si="1"/>
        <v>453.24499999999995</v>
      </c>
      <c r="H30" s="472">
        <f t="shared" si="1"/>
        <v>443.04999999999995</v>
      </c>
      <c r="I30" s="1175">
        <f t="shared" si="1"/>
        <v>448.04999999999995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0.627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416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722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623</v>
      </c>
      <c r="B43" s="840" t="s">
        <v>416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416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769</v>
      </c>
      <c r="B47" s="840" t="s">
        <v>747</v>
      </c>
      <c r="C47" s="840"/>
      <c r="D47" s="468">
        <f>PGL_Supplies!Y7/1000</f>
        <v>159.39099999999999</v>
      </c>
      <c r="E47" s="468">
        <f>PGL_Supplies!Y8/1000</f>
        <v>159.39099999999999</v>
      </c>
      <c r="F47" s="468">
        <f>PGL_Supplies!Y9/1000</f>
        <v>159.39099999999999</v>
      </c>
      <c r="G47" s="468">
        <f>PGL_Supplies!Y10/1000</f>
        <v>159.39099999999999</v>
      </c>
      <c r="H47" s="468">
        <f>PGL_Supplies!Y11/1000</f>
        <v>159.39099999999999</v>
      </c>
      <c r="I47" s="469">
        <f>PGL_Supplies!Y12/1000</f>
        <v>159.39099999999999</v>
      </c>
    </row>
    <row r="48" spans="1:9">
      <c r="A48" s="852"/>
      <c r="B48" s="840" t="s">
        <v>143</v>
      </c>
      <c r="C48" s="853"/>
      <c r="D48" s="468">
        <f>PGL_Supplies!Z7/1000</f>
        <v>40</v>
      </c>
      <c r="E48" s="468">
        <f>PGL_Supplies!Z8/1000</f>
        <v>40</v>
      </c>
      <c r="F48" s="468">
        <f>PGL_Supplies!Z9/1000</f>
        <v>40</v>
      </c>
      <c r="G48" s="468">
        <f>PGL_Supplies!Z10/1000</f>
        <v>40</v>
      </c>
      <c r="H48" s="468">
        <f>PGL_Supplies!Z11/1000</f>
        <v>40</v>
      </c>
      <c r="I48" s="469">
        <f>PGL_Supplies!Z12/1000</f>
        <v>40</v>
      </c>
    </row>
    <row r="49" spans="1:10">
      <c r="A49" s="852"/>
      <c r="B49" s="840" t="s">
        <v>147</v>
      </c>
      <c r="C49" s="853"/>
      <c r="D49" s="468">
        <f>PGL_Supplies!AA7/1000</f>
        <v>4.62</v>
      </c>
      <c r="E49" s="468">
        <f>PGL_Supplies!AA8/1000</f>
        <v>4.62</v>
      </c>
      <c r="F49" s="468">
        <f>PGL_Supplies!AA9/1000</f>
        <v>4.62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416</v>
      </c>
      <c r="C50" s="853"/>
      <c r="D50" s="468">
        <f>PGL_Supplies!AB7/1000</f>
        <v>242.78200000000001</v>
      </c>
      <c r="E50" s="468">
        <f>PGL_Supplies!AB8/1000</f>
        <v>242.78200000000001</v>
      </c>
      <c r="F50" s="468">
        <f>PGL_Supplies!AB9/1000</f>
        <v>242.78200000000001</v>
      </c>
      <c r="G50" s="468">
        <f>PGL_Supplies!AB10/1000</f>
        <v>242.78200000000001</v>
      </c>
      <c r="H50" s="468">
        <f>PGL_Supplies!AB11/1000</f>
        <v>242.78200000000001</v>
      </c>
      <c r="I50" s="469">
        <f>PGL_Supplies!AB12/1000</f>
        <v>242.78200000000001</v>
      </c>
    </row>
    <row r="51" spans="1:10">
      <c r="A51" s="852"/>
      <c r="B51" s="840" t="s">
        <v>141</v>
      </c>
      <c r="C51" s="840"/>
      <c r="D51" s="468">
        <f>PGL_Supplies!AC7/1000</f>
        <v>131.75</v>
      </c>
      <c r="E51" s="468">
        <f>PGL_Supplies!AC8/1000</f>
        <v>131.75</v>
      </c>
      <c r="F51" s="468">
        <f>PGL_Supplies!AC9/1000</f>
        <v>131.75</v>
      </c>
      <c r="G51" s="468">
        <f>PGL_Supplies!AC10/1000</f>
        <v>131.75</v>
      </c>
      <c r="H51" s="468">
        <f>PGL_Supplies!AC11/1000</f>
        <v>131.75</v>
      </c>
      <c r="I51" s="469">
        <f>PGL_Supplies!AC12/1000</f>
        <v>131.75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13.301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787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758</v>
      </c>
      <c r="B56" s="840" t="s">
        <v>747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416</v>
      </c>
      <c r="C59" s="840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592.47100000000012</v>
      </c>
      <c r="E61" s="478">
        <f t="shared" si="2"/>
        <v>589.54300000000001</v>
      </c>
      <c r="F61" s="478">
        <f t="shared" si="2"/>
        <v>589.54300000000001</v>
      </c>
      <c r="G61" s="478">
        <f t="shared" si="2"/>
        <v>584.923</v>
      </c>
      <c r="H61" s="478">
        <f t="shared" si="2"/>
        <v>584.923</v>
      </c>
      <c r="I61" s="1177">
        <f t="shared" si="2"/>
        <v>584.923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8.9591000000001486</v>
      </c>
      <c r="E62" s="479">
        <f t="shared" si="3"/>
        <v>4.500000000007276E-3</v>
      </c>
      <c r="F62" s="479">
        <f t="shared" si="3"/>
        <v>76.463500000000067</v>
      </c>
      <c r="G62" s="479">
        <f t="shared" si="3"/>
        <v>131.67800000000005</v>
      </c>
      <c r="H62" s="479">
        <f t="shared" si="3"/>
        <v>141.87300000000005</v>
      </c>
      <c r="I62" s="1178">
        <f t="shared" si="3"/>
        <v>136.87300000000005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773</v>
      </c>
      <c r="B64" s="1167"/>
      <c r="C64" s="1167"/>
      <c r="D64" s="1168">
        <f>PGL_Supplies!V7/1000</f>
        <v>220.76</v>
      </c>
      <c r="E64" s="1168">
        <f>PGL_Supplies!V8/1000</f>
        <v>220.76</v>
      </c>
      <c r="F64" s="1168">
        <f>PGL_Supplies!V9/1000</f>
        <v>220.76</v>
      </c>
      <c r="G64" s="1168">
        <f>PGL_Supplies!V10/1000</f>
        <v>220.76</v>
      </c>
      <c r="H64" s="1168">
        <f>PGL_Supplies!V11/1000</f>
        <v>220.76</v>
      </c>
      <c r="I64" s="1169">
        <f>PGL_Supplies!V12/1000</f>
        <v>220.76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2001-04-29T12:28:06Z</cp:lastPrinted>
  <dcterms:created xsi:type="dcterms:W3CDTF">1997-07-16T16:14:22Z</dcterms:created>
  <dcterms:modified xsi:type="dcterms:W3CDTF">2023-09-10T11:13:37Z</dcterms:modified>
</cp:coreProperties>
</file>