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<sst xmlns="http://schemas.openxmlformats.org/spreadsheetml/2006/main" count="2148" uniqueCount="800">
  <si>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</si>
  <si>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</si>
  <si>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</si>
  <si>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</si>
  <si>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</si>
  <si>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</si>
  <si>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</si>
  <si>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</si>
  <si>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</si>
  <si>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</si>
  <si>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</si>
  <si>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</si>
  <si>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</si>
  <si>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</si>
  <si>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</si>
  <si>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</si>
  <si>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</si>
  <si>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</si>
  <si>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</si>
  <si>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</si>
  <si>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</si>
  <si>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</si>
  <si>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</si>
  <si>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</si>
  <si>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</si>
  <si>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</si>
  <si>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</si>
  <si>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</si>
  <si>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</si>
  <si>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</si>
  <si>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</si>
  <si>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</si>
  <si>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</si>
  <si>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</si>
  <si>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</si>
  <si>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</si>
  <si>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</si>
  <si>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</si>
  <si>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</si>
  <si>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</si>
  <si>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</si>
  <si>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</si>
  <si>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</si>
  <si>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</si>
  <si>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</si>
  <si>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</si>
  <si>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</si>
  <si>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</si>
  <si>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</si>
  <si>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</si>
  <si>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</si>
  <si>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</si>
  <si>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</si>
  <si>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</si>
  <si>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</si>
  <si>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</si>
  <si>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</si>
  <si>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</si>
  <si>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</si>
  <si>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</si>
  <si>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</si>
  <si>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</si>
  <si>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</si>
  <si>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</si>
  <si>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</si>
  <si>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</si>
  <si>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</si>
  <si>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</si>
  <si>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</si>
  <si>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</si>
  <si>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</si>
  <si>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</si>
  <si>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</si>
  <si>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</si>
  <si>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</si>
  <si>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</si>
  <si>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</si>
  <si>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</si>
  <si>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</si>
  <si>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</si>
  <si>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</si>
  <si>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</si>
  <si>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</si>
  <si>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</si>
  <si>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</si>
  <si>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</si>
  <si>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</si>
  <si>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</si>
  <si>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</si>
  <si>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</si>
  <si>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</si>
  <si>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</si>
  <si>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</si>
  <si>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</si>
  <si>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</si>
  <si>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</si>
  <si>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</si>
  <si>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</si>
  <si>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</si>
  <si>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</si>
  <si>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</si>
  <si>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</si>
  <si>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</si>
  <si>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</si>
  <si>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</si>
  <si>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</si>
  <si>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</si>
  <si>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</si>
  <si>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</si>
  <si>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</si>
  <si>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</si>
  <si>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</si>
  <si>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</si>
  <si>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</si>
  <si>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</si>
  <si>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</si>
  <si>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</si>
  <si>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</si>
  <si>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</si>
  <si>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</si>
  <si>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</si>
  <si>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</si>
  <si>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</si>
  <si>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</si>
  <si>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</si>
  <si>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</si>
  <si>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</si>
  <si>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</si>
  <si>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</si>
  <si>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</si>
  <si>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</si>
  <si>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</si>
  <si>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</si>
  <si>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</si>
  <si>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</si>
  <si>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</si>
  <si>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</si>
  <si>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</si>
  <si>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</si>
  <si>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</si>
  <si>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</si>
  <si>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</si>
  <si>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</si>
  <si>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</si>
  <si>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</si>
  <si>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</si>
  <si>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</si>
  <si>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</si>
  <si>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</si>
  <si>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</si>
  <si>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</si>
  <si>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</si>
  <si>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</si>
  <si>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</si>
  <si>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</si>
  <si>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</si>
  <si>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</si>
  <si>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</si>
  <si>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</si>
  <si>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</si>
  <si>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</si>
  <si>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</si>
  <si>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</si>
  <si>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</si>
  <si>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</si>
  <si>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</si>
  <si>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</si>
  <si>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</si>
  <si>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</si>
  <si>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</si>
  <si>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</si>
  <si>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</si>
  <si>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</si>
  <si>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</si>
  <si>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</si>
  <si>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</si>
  <si>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</si>
  <si>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</si>
  <si>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</si>
  <si>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</si>
  <si>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</si>
  <si>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</si>
  <si>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</si>
  <si>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</si>
  <si>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</si>
  <si>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</si>
  <si>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</si>
  <si>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</si>
  <si>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</si>
  <si>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</si>
  <si>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</si>
  <si>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</si>
  <si>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</si>
  <si>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</si>
  <si>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</si>
  <si>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</si>
  <si>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</si>
  <si>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</si>
  <si>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</si>
  <si>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</si>
  <si>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</si>
  <si>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</si>
  <si>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</si>
  <si>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</si>
  <si>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</si>
  <si>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</si>
  <si>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</si>
  <si>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</si>
  <si>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</si>
  <si>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</si>
  <si>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</si>
  <si>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</si>
  <si>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</si>
  <si>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</si>
  <si>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</si>
  <si>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</si>
  <si>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</si>
  <si>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</si>
  <si>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</si>
  <si>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</si>
  <si>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</si>
  <si>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</si>
  <si>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</si>
  <si>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</si>
  <si>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</si>
  <si>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</si>
  <si>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</si>
  <si>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</si>
  <si>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</si>
  <si>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</si>
  <si>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</si>
  <si>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</si>
  <si>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</si>
  <si>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</si>
  <si>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</si>
  <si>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</si>
  <si>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</si>
  <si>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</si>
  <si>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</si>
  <si>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</si>
  <si>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</si>
  <si>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</si>
  <si>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</si>
  <si>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</si>
  <si>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</si>
  <si>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</si>
  <si>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</si>
  <si>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</si>
  <si>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</si>
  <si>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</si>
  <si>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</si>
  <si>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</si>
  <si>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</si>
  <si>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</si>
  <si>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</si>
  <si>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</si>
  <si>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</si>
  <si>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</si>
  <si>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</si>
  <si>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</si>
  <si>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</si>
  <si>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</si>
  <si>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</si>
  <si>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</si>
  <si>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</si>
  <si>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</si>
  <si>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</si>
  <si>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</si>
  <si>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</si>
  <si>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</si>
  <si>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</si>
  <si>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</si>
  <si>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</si>
  <si>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</si>
  <si>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</si>
  <si>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</si>
  <si>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</si>
  <si>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</si>
  <si>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</si>
  <si>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</si>
  <si>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</si>
  <si>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</si>
  <si>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</si>
  <si>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</si>
  <si>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</si>
  <si>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</si>
  <si>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</si>
  <si>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</si>
  <si>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</si>
  <si>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</si>
  <si>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</si>
  <si>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</si>
  <si>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</si>
  <si>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</si>
  <si>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</si>
  <si>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</si>
  <si>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</si>
  <si>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</si>
  <si>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</si>
  <si>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</si>
  <si>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</si>
  <si>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</si>
  <si>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</si>
  <si>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</si>
  <si>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</si>
  <si>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</si>
  <si>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</si>
  <si>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</si>
  <si>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</si>
  <si>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</si>
  <si>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</si>
  <si>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</si>
  <si>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</si>
  <si>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</si>
  <si>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</si>
  <si>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</si>
  <si>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</si>
  <si>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</si>
  <si>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</si>
  <si>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</si>
  <si>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</si>
  <si>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</si>
  <si>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</si>
  <si>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</si>
  <si>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</si>
  <si>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</si>
  <si>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</si>
  <si>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</si>
  <si>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</si>
  <si>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</si>
  <si>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</si>
  <si>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</si>
  <si>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</si>
  <si>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</si>
  <si>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</si>
  <si>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</si>
  <si>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</si>
  <si>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</si>
  <si>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</si>
  <si>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</si>
  <si>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</si>
  <si>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</si>
  <si>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</si>
  <si>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</si>
  <si>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</si>
  <si>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</si>
  <si>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</si>
  <si>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</si>
  <si>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</si>
  <si>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</si>
  <si>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</si>
  <si>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</si>
  <si>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</si>
  <si>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</si>
  <si>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</si>
  <si>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</si>
  <si>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</si>
  <si>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</si>
  <si>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</si>
  <si>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</si>
  <si>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</si>
  <si>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</si>
  <si>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</si>
  <si>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</si>
  <si>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</si>
  <si>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</si>
  <si>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</si>
  <si>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</si>
  <si>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</si>
  <si>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</si>
  <si>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</si>
  <si>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</si>
  <si>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</si>
  <si>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</si>
  <si>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</si>
  <si>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</si>
  <si>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</si>
  <si>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</si>
  <si>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</si>
  <si>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</si>
  <si>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</si>
  <si>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</si>
  <si>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</si>
  <si>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</si>
  <si>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</si>
  <si>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</si>
  <si>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</si>
  <si>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</si>
  <si>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</si>
  <si>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</si>
  <si>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</si>
  <si>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</si>
  <si>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</si>
  <si>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</si>
  <si>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</si>
  <si>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</si>
  <si>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</si>
  <si>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</si>
  <si>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</si>
  <si>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</si>
  <si>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</si>
  <si>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</si>
  <si>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</si>
  <si>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</si>
  <si>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</si>
  <si>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</si>
  <si>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</si>
  <si>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</si>
  <si>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</si>
  <si>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</si>
  <si>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</si>
  <si>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</si>
  <si>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</si>
  <si>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</si>
  <si>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</si>
  <si>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</si>
  <si>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</si>
  <si>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</si>
  <si>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</si>
  <si>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</si>
  <si>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</si>
  <si>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</si>
  <si>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</si>
  <si>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</si>
  <si>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</si>
  <si>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</si>
  <si>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</si>
  <si>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</si>
  <si>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</si>
  <si>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</si>
  <si>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</si>
  <si>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</si>
  <si>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</si>
  <si>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</si>
  <si>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</si>
  <si>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</si>
  <si>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</si>
  <si>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</si>
  <si>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</si>
  <si>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</si>
  <si>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</si>
  <si>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</si>
  <si>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</si>
  <si>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</si>
  <si>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</si>
  <si>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</si>
  <si>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</si>
  <si>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</si>
  <si>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</si>
  <si>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</si>
  <si>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</si>
  <si>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</si>
  <si>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</si>
  <si>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</si>
  <si>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</si>
  <si>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</si>
  <si>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</si>
  <si>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</si>
  <si>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</si>
  <si>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</si>
  <si>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</si>
  <si>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</si>
  <si>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</si>
  <si>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</si>
  <si>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</si>
  <si>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</si>
  <si>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</si>
  <si>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</si>
  <si>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</si>
  <si>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</si>
  <si>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</si>
  <si>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</si>
  <si>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</si>
  <si>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</si>
  <si>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</si>
  <si>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</si>
  <si>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</si>
  <si>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</si>
  <si>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</si>
  <si>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</si>
  <si>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</si>
  <si>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</si>
  <si>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</si>
  <si>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</si>
  <si>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</si>
  <si>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</si>
  <si>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</si>
  <si>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</si>
  <si>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</si>
  <si>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</si>
  <si>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</si>
  <si>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</si>
  <si>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</si>
  <si>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</si>
  <si>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</si>
  <si>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</si>
  <si>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</si>
  <si>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</si>
  <si>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</si>
  <si>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</si>
  <si>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</si>
  <si>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</si>
  <si>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</si>
  <si>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</si>
  <si>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</si>
  <si>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</si>
  <si>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</si>
  <si>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</si>
  <si>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</si>
  <si>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</si>
  <si>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</si>
  <si>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</si>
  <si>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</si>
  <si>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</si>
  <si>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</si>
  <si>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</si>
  <si>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</si>
  <si>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</si>
  <si>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</si>
  <si>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</si>
  <si>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</si>
  <si>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</si>
  <si>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</si>
  <si>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</si>
  <si>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</si>
  <si>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</si>
  <si>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</si>
  <si>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</si>
  <si>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</si>
  <si>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</si>
  <si>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</si>
  <si>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</si>
  <si>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</si>
  <si>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</si>
  <si>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</si>
  <si>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</si>
  <si>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</si>
  <si>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</si>
  <si>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</si>
  <si>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</si>
  <si>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</si>
  <si>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</si>
  <si>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</si>
  <si>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</si>
  <si>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</si>
  <si>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</si>
  <si>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</si>
  <si>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</si>
  <si>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</si>
  <si>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</si>
  <si>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</si>
  <si>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</si>
  <si>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</si>
  <si>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</si>
  <si>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</si>
  <si>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</si>
  <si>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</si>
  <si>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</si>
  <si>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</si>
  <si>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</si>
  <si>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</si>
  <si>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</si>
  <si>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</si>
  <si>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</si>
  <si>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</si>
  <si>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</si>
  <si>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</si>
  <si>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</si>
  <si>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</si>
  <si>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</si>
  <si>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</si>
  <si>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</si>
  <si>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</si>
  <si>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</si>
  <si>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</si>
  <si>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</si>
  <si>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</si>
  <si>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</si>
  <si>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</si>
  <si>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</si>
  <si>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</si>
  <si>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</si>
  <si>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</si>
  <si>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</si>
  <si>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</si>
  <si>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</si>
  <si>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</si>
  <si>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</si>
  <si>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</si>
  <si>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</si>
  <si>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</si>
  <si>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</si>
  <si>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</si>
  <si>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</si>
  <si>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</si>
  <si>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</si>
  <si>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</si>
  <si>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</si>
  <si>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</si>
  <si>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</si>
  <si>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</si>
  <si>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</si>
  <si>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</si>
  <si>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</si>
  <si>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</si>
  <si>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</si>
  <si>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</si>
  <si>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</si>
  <si>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</si>
  <si>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</si>
  <si>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</si>
  <si>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</si>
  <si>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</si>
  <si>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</si>
  <si>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</si>
  <si>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</si>
  <si>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</si>
  <si>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</si>
  <si>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</si>
  <si>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</si>
  <si>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</si>
  <si>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</si>
  <si>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</si>
  <si>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</si>
  <si>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</si>
  <si>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</si>
  <si>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</si>
  <si>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</si>
  <si>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</si>
  <si>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</si>
  <si>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</si>
  <si>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</si>
  <si>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</si>
  <si>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</si>
  <si>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</si>
  <si>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</si>
  <si>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</si>
  <si>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</si>
  <si>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</si>
  <si>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</si>
  <si>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</si>
  <si>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</si>
  <si>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</si>
  <si>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</si>
  <si>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</si>
  <si>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</si>
  <si>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</si>
  <si>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</si>
  <si>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</si>
  <si>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</si>
  <si>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</si>
  <si>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</si>
  <si>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</si>
  <si>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</si>
  <si>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</si>
  <si>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</si>
  <si>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</si>
  <si>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</si>
  <si>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</si>
  <si>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</si>
  <si>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</si>
  <si>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</si>
  <si>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</si>
  <si>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</si>
  <si>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</si>
  <si>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</si>
  <si>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</si>
  <si>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</si>
  <si>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</si>
  <si>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</si>
  <si>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</si>
  <si>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</si>
  <si>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</si>
  <si>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</si>
  <si>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</si>
  <si>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</si>
  <si>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</si>
  <si>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</si>
  <si>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</si>
  <si>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</si>
  <si>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</si>
  <si>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</si>
  <si>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</si>
  <si>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</si>
  <si>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</si>
  <si>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</si>
  <si>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</si>
  <si>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</si>
  <si>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</si>
  <si>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</si>
  <si>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</si>
  <si>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</si>
  <si>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</si>
  <si>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</si>
  <si>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</si>
  <si>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</si>
  <si>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</si>
  <si>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</si>
  <si>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</si>
  <si>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</si>
  <si>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</si>
  <si>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</si>
  <si>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</si>
  <si>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</si>
  <si>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</si>
  <si>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</si>
  <si>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</si>
  <si>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</si>
  <si>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</si>
  <si>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</si>
  <si>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</si>
  <si>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</si>
  <si>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</si>
  <si>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</si>
  <si>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</si>
  <si>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</si>
  <si>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</si>
  <si>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</si>
  <si>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</si>
  <si>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</si>
  <si>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</si>
  <si>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</si>
  <si>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</si>
  <si>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</si>
  <si>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</si>
  <si>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</si>
  <si>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</si>
  <si>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</si>
  <si>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</si>
  <si>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</si>
  <si>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</si>
  <si>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</si>
  <si>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</si>
  <si>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</si>
  <si>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</si>
  <si>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</si>
  <si>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</si>
  <si>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</si>
  <si>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</si>
  <si>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</si>
  <si>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</si>
  <si>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</si>
  <si>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</si>
  <si>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</si>
  <si>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</si>
  <si>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</si>
  <si>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</si>
  <si>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</si>
  <si>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</si>
  <si>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</si>
  <si>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</si>
  <si>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</si>
  <si>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</si>
  <si>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</si>
  <si>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</si>
  <si>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</si>
  <si>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</si>
  <si>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</si>
  <si>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</si>
  <si>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</si>
  <si>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</si>
  <si>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</si>
  <si>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</si>
  <si>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</si>
  <si>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</si>
  <si>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</si>
  <si>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</si>
  <si>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</si>
  <si>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</si>
  <si>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</si>
  <si>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</si>
  <si>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</si>
  <si>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</si>
  <si>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</si>
  <si>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</si>
  <si>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</si>
  <si>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</si>
  <si>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</si>
  <si>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</si>
  <si>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</si>
  <si>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</si>
  <si>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</si>
  <si>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</si>
  <si>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</si>
  <si>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</si>
  <si>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</si>
  <si>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</si>
  <si>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</si>
  <si>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</si>
  <si>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</si>
  <si>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</si>
  <si>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</si>
  <si>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</si>
  <si>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N/A</t>
  </si>
  <si>
    <t xml:space="preserve">MOSTLY SUNNY AND MILD.  LOWER TEMPS ALONG LAKE MICHIGAN WITH LAKE  </t>
  </si>
  <si>
    <t>BREEZES.</t>
  </si>
  <si>
    <t>BECOMING MOSTLY CLOUDY WITH CHANCE OF SHOWERS AFTER DARK.</t>
  </si>
  <si>
    <t>MOSTLY CLOUDY WITH A 50% CHANCE OF SHOWERS AND T-STORMS.</t>
  </si>
  <si>
    <t xml:space="preserve">PARTLY CLOUDY WITH A CHANCE OF SHOWERS AND T-STORMS. </t>
  </si>
  <si>
    <t>MOSTLY CLOUDY WITH A CHANCE OF SHOWERS AND T-STORMS.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</si>
</sst>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67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67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67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68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68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68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WED</v>
      </c>
      <c r="I1" s="880">
        <f>D4</f>
        <v>36999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WED</v>
      </c>
      <c r="E3" s="843" t="str">
        <f t="shared" si="0"/>
        <v>THU</v>
      </c>
      <c r="F3" s="843" t="str">
        <f t="shared" si="0"/>
        <v>FRI</v>
      </c>
      <c r="G3" s="843" t="str">
        <f t="shared" si="0"/>
        <v>SAT</v>
      </c>
      <c r="H3" s="843" t="str">
        <f t="shared" si="0"/>
        <v>SUN</v>
      </c>
      <c r="I3" s="844" t="str">
        <f t="shared" si="0"/>
        <v>MON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36999</v>
      </c>
      <c r="E4" s="847">
        <f>Weather_Input!A6</f>
        <v>37000</v>
      </c>
      <c r="F4" s="847">
        <f>Weather_Input!A7</f>
        <v>37001</v>
      </c>
      <c r="G4" s="847">
        <f>Weather_Input!A8</f>
        <v>37002</v>
      </c>
      <c r="H4" s="847">
        <f>Weather_Input!A9</f>
        <v>37003</v>
      </c>
      <c r="I4" s="848">
        <f>Weather_Input!A10</f>
        <v>37004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54/35/45</v>
      </c>
      <c r="E5" s="881" t="str">
        <f>TEXT(Weather_Input!B6,"0")&amp;"/"&amp;TEXT(Weather_Input!C6,"0") &amp; "/" &amp; TEXT((Weather_Input!B6+Weather_Input!C6)/2,"0")</f>
        <v>67/50/59</v>
      </c>
      <c r="F5" s="881" t="str">
        <f>TEXT(Weather_Input!B7,"0")&amp;"/"&amp;TEXT(Weather_Input!C7,"0") &amp; "/" &amp; TEXT((Weather_Input!B7+Weather_Input!C7)/2,"0")</f>
        <v>76/56/66</v>
      </c>
      <c r="G5" s="881" t="str">
        <f>TEXT(Weather_Input!B8,"0")&amp;"/"&amp;TEXT(Weather_Input!C8,"0") &amp; "/" &amp; TEXT((Weather_Input!B8+Weather_Input!C8)/2,"0")</f>
        <v>80/55/68</v>
      </c>
      <c r="H5" s="881" t="str">
        <f>TEXT(Weather_Input!B9,"0")&amp;"/"&amp;TEXT(Weather_Input!C9,"0") &amp; "/" &amp; TEXT((Weather_Input!B9+Weather_Input!C9)/2,"0")</f>
        <v>70/49/60</v>
      </c>
      <c r="I5" s="882" t="str">
        <f>TEXT(Weather_Input!B10,"0")&amp;"/"&amp;TEXT(Weather_Input!C10,"0") &amp; "/" &amp; TEXT((Weather_Input!B10+Weather_Input!C10)/2,"0")</f>
        <v>70/49/60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101</v>
      </c>
      <c r="E6" s="850">
        <f ca="1">VLOOKUP(E4,NSG_Sendouts,CELL("Col",NSG_Deliveries!C6),FALSE)/1000</f>
        <v>52</v>
      </c>
      <c r="F6" s="850">
        <f ca="1">VLOOKUP(F4,NSG_Sendouts,CELL("Col",NSG_Deliveries!C7),FALSE)/1000</f>
        <v>45</v>
      </c>
      <c r="G6" s="850">
        <f ca="1">VLOOKUP(G4,NSG_Sendouts,CELL("Col",NSG_Deliveries!C8),FALSE)/1000</f>
        <v>39</v>
      </c>
      <c r="H6" s="850">
        <f ca="1">VLOOKUP(H4,NSG_Sendouts,CELL("Col",NSG_Deliveries!C9),FALSE)/1000</f>
        <v>51</v>
      </c>
      <c r="I6" s="855">
        <f ca="1">VLOOKUP(I4,NSG_Sendouts,CELL("Col",NSG_Deliveries!C10),FALSE)/1000</f>
        <v>53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0</v>
      </c>
      <c r="F12" s="850">
        <f>NSG_Requirements!J9/1000</f>
        <v>0</v>
      </c>
      <c r="G12" s="850">
        <f>NSG_Requirements!J10/1000</f>
        <v>0</v>
      </c>
      <c r="H12" s="850">
        <f>NSG_Requirements!J11/1000</f>
        <v>0</v>
      </c>
      <c r="I12" s="851">
        <f>NSG_Requirements!J12/1000</f>
        <v>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121</v>
      </c>
      <c r="E19" s="859">
        <f t="shared" ca="1" si="1"/>
        <v>52</v>
      </c>
      <c r="F19" s="859">
        <f t="shared" ca="1" si="1"/>
        <v>45</v>
      </c>
      <c r="G19" s="859">
        <f t="shared" ca="1" si="1"/>
        <v>39</v>
      </c>
      <c r="H19" s="859">
        <f t="shared" ca="1" si="1"/>
        <v>51</v>
      </c>
      <c r="I19" s="860">
        <f t="shared" ca="1" si="1"/>
        <v>53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15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5.54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80.463999999999999</v>
      </c>
      <c r="E32" s="850">
        <f>NSG_Supplies!R8/1000</f>
        <v>61.203000000000003</v>
      </c>
      <c r="F32" s="850">
        <f>NSG_Supplies!R9/1000</f>
        <v>61.118000000000002</v>
      </c>
      <c r="G32" s="850">
        <f>NSG_Supplies!R10/1000</f>
        <v>61.118000000000002</v>
      </c>
      <c r="H32" s="850">
        <f>NSG_Supplies!R11/1000</f>
        <v>61.118000000000002</v>
      </c>
      <c r="I32" s="851">
        <f>NSG_Supplies!R12/1000</f>
        <v>61.118000000000002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121.00399999999999</v>
      </c>
      <c r="E37" s="890">
        <f t="shared" si="2"/>
        <v>81.203000000000003</v>
      </c>
      <c r="F37" s="890">
        <f t="shared" si="2"/>
        <v>81.117999999999995</v>
      </c>
      <c r="G37" s="890">
        <f t="shared" si="2"/>
        <v>81.117999999999995</v>
      </c>
      <c r="H37" s="890">
        <f t="shared" si="2"/>
        <v>81.117999999999995</v>
      </c>
      <c r="I37" s="891">
        <f t="shared" si="2"/>
        <v>81.117999999999995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3.9999999999906777E-3</v>
      </c>
      <c r="E38" s="894">
        <f t="shared" ca="1" si="3"/>
        <v>29.203000000000003</v>
      </c>
      <c r="F38" s="894">
        <f t="shared" ca="1" si="3"/>
        <v>36.117999999999995</v>
      </c>
      <c r="G38" s="894">
        <f t="shared" ca="1" si="3"/>
        <v>42.117999999999995</v>
      </c>
      <c r="H38" s="894">
        <f t="shared" ca="1" si="3"/>
        <v>30.117999999999995</v>
      </c>
      <c r="I38" s="895">
        <f t="shared" ca="1" si="3"/>
        <v>28.117999999999995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0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29.503</v>
      </c>
      <c r="E40" s="1173">
        <f>NSG_Supplies!S8/1000</f>
        <v>29.503</v>
      </c>
      <c r="F40" s="1173">
        <f>NSG_Supplies!S9/1000</f>
        <v>29.503</v>
      </c>
      <c r="G40" s="1173">
        <f>NSG_Supplies!S10/1000</f>
        <v>29.503</v>
      </c>
      <c r="H40" s="1173">
        <f>NSG_Supplies!S11/1000</f>
        <v>29.503</v>
      </c>
      <c r="I40" s="1174">
        <f>NSG_Supplies!S12/1000</f>
        <v>29.503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6</v>
      </c>
      <c r="E42" s="901">
        <f>Weather_Input!D6</f>
        <v>14</v>
      </c>
      <c r="F42" s="901">
        <f>Weather_Input!D7</f>
        <v>15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22" zoomScale="75" workbookViewId="0">
      <selection activeCell="A30" sqref="A30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36999</v>
      </c>
      <c r="G1" s="770" t="str">
        <f>CHOOSE(WEEKDAY(F1),"SUN","MON","TUE","WED","THU","FRI","SAT")</f>
        <v>WED</v>
      </c>
      <c r="H1" s="592" t="s">
        <v>258</v>
      </c>
      <c r="I1" s="593"/>
    </row>
    <row r="2" spans="1:9" ht="15.6">
      <c r="A2" s="258" t="s">
        <v>11</v>
      </c>
      <c r="B2" s="609" t="s">
        <v>696</v>
      </c>
      <c r="C2" s="962">
        <v>45</v>
      </c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54</v>
      </c>
      <c r="C4" s="964">
        <f>Weather_Input!C5</f>
        <v>35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635</v>
      </c>
      <c r="B5" s="965"/>
      <c r="C5" s="966">
        <f>PGL_Requirements!H7/1000</f>
        <v>0</v>
      </c>
      <c r="D5" s="620"/>
      <c r="E5" s="302"/>
      <c r="F5" s="620"/>
      <c r="G5" s="607"/>
      <c r="H5" s="302"/>
      <c r="I5" s="296"/>
    </row>
    <row r="6" spans="1:9" ht="15.6">
      <c r="A6" s="262" t="s">
        <v>424</v>
      </c>
      <c r="B6" s="1163" t="s">
        <v>11</v>
      </c>
      <c r="C6" s="967">
        <f>PGL_Deliveries!C5/1000</f>
        <v>605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212.08799999999999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71.56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-149.63999999999999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370.31400000000002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10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705</v>
      </c>
      <c r="B19" s="617" t="s">
        <v>11</v>
      </c>
      <c r="C19" s="511">
        <f>SUM(C9:C17)-C18</f>
        <v>514.32200000000012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90.677999999999884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432</v>
      </c>
      <c r="B24" s="973" t="s">
        <v>11</v>
      </c>
      <c r="C24" s="974">
        <f>SUM(B54+B56+B57)</f>
        <v>2.25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433</v>
      </c>
      <c r="B25" s="978" t="s">
        <v>11</v>
      </c>
      <c r="C25" s="979">
        <f>SUM(C22:C24)</f>
        <v>92.927999999999884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0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-11.08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-81.846000000000004</v>
      </c>
      <c r="D29" s="986" t="s">
        <v>11</v>
      </c>
      <c r="E29" s="985">
        <f>-PGL_Supplies!AC7/1000</f>
        <v>-81.846000000000004</v>
      </c>
      <c r="F29" s="307"/>
      <c r="G29" s="985">
        <f>-PGL_Supplies!AC7/1000</f>
        <v>-81.846000000000004</v>
      </c>
      <c r="H29" s="514"/>
      <c r="I29" s="987">
        <f>-PGL_Supplies!AC7/1000</f>
        <v>-81.846000000000004</v>
      </c>
      <c r="L29" s="1102"/>
    </row>
    <row r="30" spans="1:12" ht="16.2" thickBot="1">
      <c r="A30" s="326" t="s">
        <v>11</v>
      </c>
      <c r="B30" s="487" t="s">
        <v>11</v>
      </c>
      <c r="C30" s="1187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5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207.08799999999999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2" thickBot="1">
      <c r="A34" s="559" t="s">
        <v>448</v>
      </c>
      <c r="B34" s="1124">
        <f>+B33+B32-B31</f>
        <v>212.08799999999999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0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30.4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6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2" thickBot="1">
      <c r="A41" s="559" t="s">
        <v>448</v>
      </c>
      <c r="B41" s="566">
        <f>B40+B37-B36-B38+B39</f>
        <v>71.56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6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0.64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748</v>
      </c>
      <c r="B54" s="324">
        <f>PGL_Requirements!Q7/1000</f>
        <v>2.25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8" t="s">
        <v>457</v>
      </c>
      <c r="B55" s="519">
        <f>-B49+B50+B52+B56+B57-B53-B51</f>
        <v>-149.63999999999999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3.8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366.51400000000001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370.31400000000002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6" thickBot="1">
      <c r="A62" s="425" t="s">
        <v>109</v>
      </c>
      <c r="B62" s="1017">
        <f>PGL_Supplies!AD7/1000</f>
        <v>0</v>
      </c>
      <c r="C62" s="527" t="s">
        <v>11</v>
      </c>
      <c r="D62" s="349"/>
      <c r="E62" s="525"/>
      <c r="F62" s="1016" t="s">
        <v>700</v>
      </c>
      <c r="G62" s="594"/>
      <c r="H62" s="1087" t="s">
        <v>11</v>
      </c>
      <c r="I62" s="1085">
        <f>H57-I59-I61</f>
        <v>366.51400000000001</v>
      </c>
    </row>
    <row r="63" spans="1:9" ht="16.2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PGL_Requirements!H7/1000</f>
        <v>0</v>
      </c>
    </row>
    <row r="64" spans="1:9" ht="15.6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6" t="s">
        <v>787</v>
      </c>
      <c r="G64" s="434"/>
      <c r="H64" s="1116"/>
      <c r="I64" s="1011"/>
    </row>
    <row r="65" spans="1:9" ht="15.6">
      <c r="A65" s="370" t="s">
        <v>739</v>
      </c>
      <c r="B65" s="1029"/>
      <c r="C65" s="1035" t="s">
        <v>11</v>
      </c>
      <c r="D65" s="1035" t="s">
        <v>11</v>
      </c>
      <c r="E65" s="1184" t="s">
        <v>11</v>
      </c>
      <c r="F65" s="1185" t="s">
        <v>3</v>
      </c>
      <c r="H65" s="240"/>
      <c r="I65" s="1183"/>
    </row>
    <row r="66" spans="1:9" ht="16.2" thickBot="1">
      <c r="A66" s="1189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2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2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8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WED</v>
      </c>
      <c r="G1" s="1082">
        <f>Weather_Input!A5</f>
        <v>36999</v>
      </c>
      <c r="H1" s="589" t="s">
        <v>258</v>
      </c>
      <c r="I1" s="593"/>
    </row>
    <row r="2" spans="1:9" ht="20.399999999999999">
      <c r="A2" s="642" t="s">
        <v>11</v>
      </c>
      <c r="B2" s="793" t="s">
        <v>561</v>
      </c>
      <c r="C2" s="953">
        <v>45</v>
      </c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1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54</v>
      </c>
      <c r="C4" s="758">
        <f>Weather_Input!C5</f>
        <v>35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101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86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503</v>
      </c>
      <c r="B11" s="671"/>
      <c r="C11" s="672">
        <f>B38</f>
        <v>15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3.4" thickBot="1">
      <c r="A19" s="703" t="s">
        <v>433</v>
      </c>
      <c r="B19" s="704"/>
      <c r="C19" s="705">
        <f>C7+C12</f>
        <v>86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442</v>
      </c>
      <c r="B25" s="714"/>
      <c r="C25" s="711">
        <f>-NSG_Supplies!F7/1000</f>
        <v>-5.54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-80.463999999999999</v>
      </c>
      <c r="D26" s="718"/>
      <c r="E26" s="711">
        <f>-NSG_Supplies!R7/1000</f>
        <v>-80.463999999999999</v>
      </c>
      <c r="F26" s="718"/>
      <c r="G26" s="711">
        <f>-NSG_Supplies!R7/1000</f>
        <v>-80.463999999999999</v>
      </c>
      <c r="H26" s="717"/>
      <c r="I26" s="776">
        <f>-NSG_Supplies!R7/1000</f>
        <v>-80.463999999999999</v>
      </c>
    </row>
    <row r="27" spans="1:9" ht="20.399999999999999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399999999999999">
      <c r="A31" s="784" t="s">
        <v>538</v>
      </c>
      <c r="B31" s="759">
        <f>NSG_Supplies!L7/1000+PGL_Requirements!V7/1000</f>
        <v>15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510</v>
      </c>
      <c r="B38" s="762">
        <f>-B30+B31+B32-B33-B34-B35+B36+B37</f>
        <v>15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36999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54</v>
      </c>
      <c r="C5" s="266">
        <f>Weather_Input!C5</f>
        <v>35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605</v>
      </c>
      <c r="C8" s="274">
        <f>NSG_Deliveries!C5/1000</f>
        <v>101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71.56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243.04400000000001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57.087999999999994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-382.69200000000001</v>
      </c>
      <c r="C18" s="289">
        <f>-I63</f>
        <v>-15</v>
      </c>
      <c r="D18" s="290" t="s">
        <v>11</v>
      </c>
      <c r="E18" s="289">
        <f>-I63</f>
        <v>-15</v>
      </c>
      <c r="F18" s="290" t="s">
        <v>11</v>
      </c>
      <c r="G18" s="289">
        <f>-I63</f>
        <v>-15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222.30799999999999</v>
      </c>
      <c r="C20" s="295">
        <f>C8+C18+C19</f>
        <v>86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2.25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224.55799999999999</v>
      </c>
      <c r="C23" s="301">
        <f>C20</f>
        <v>86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-81.846000000000004</v>
      </c>
      <c r="C32" s="315">
        <f>-NSG_Supplies!R7/1000</f>
        <v>-80.463999999999999</v>
      </c>
      <c r="D32" s="315">
        <f>B32</f>
        <v>-81.846000000000004</v>
      </c>
      <c r="E32" s="315">
        <f>C32</f>
        <v>-80.463999999999999</v>
      </c>
      <c r="F32" s="315">
        <f>B32</f>
        <v>-81.846000000000004</v>
      </c>
      <c r="G32" s="315">
        <f>C32</f>
        <v>-80.463999999999999</v>
      </c>
      <c r="H32" s="320">
        <f>B32</f>
        <v>-81.846000000000004</v>
      </c>
      <c r="I32" s="321">
        <f>C32</f>
        <v>-80.463999999999999</v>
      </c>
    </row>
    <row r="33" spans="1:9" ht="17.100000000000001" customHeight="1">
      <c r="A33" s="319" t="s">
        <v>394</v>
      </c>
      <c r="B33" s="315">
        <f>-PGL_Supplies!X7/1000</f>
        <v>-5</v>
      </c>
      <c r="C33" s="315">
        <f>-NSG_Supplies!S7/1000</f>
        <v>-29.503</v>
      </c>
      <c r="D33" s="315">
        <f>B33</f>
        <v>-5</v>
      </c>
      <c r="E33" s="315">
        <f>C33</f>
        <v>-29.503</v>
      </c>
      <c r="F33" s="315">
        <f>B33</f>
        <v>-5</v>
      </c>
      <c r="G33" s="315">
        <f>C33</f>
        <v>-29.503</v>
      </c>
      <c r="H33" s="320">
        <f>B33</f>
        <v>-5</v>
      </c>
      <c r="I33" s="321">
        <f>C33</f>
        <v>-29.503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-11.08</v>
      </c>
      <c r="C36" s="315">
        <f>-NSG_Supplies!F7/1000</f>
        <v>-5.54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2.25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2.25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243.04400000000001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243.04400000000001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71.56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15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71.56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15</v>
      </c>
    </row>
    <row r="64" spans="1:9" ht="17.100000000000001" customHeight="1" thickBot="1">
      <c r="A64" s="425" t="s">
        <v>394</v>
      </c>
      <c r="B64" s="324">
        <f>PGL_Supplies!Y7/1000</f>
        <v>207.08799999999999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57.087999999999994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WED</v>
      </c>
      <c r="H73" s="406">
        <f>Weather_Input!A5</f>
        <v>36999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41.16</v>
      </c>
      <c r="D97" s="602"/>
      <c r="E97" s="614">
        <f>+C97</f>
        <v>41.16</v>
      </c>
      <c r="F97" s="602"/>
      <c r="G97" s="614">
        <f>+C97</f>
        <v>41.16</v>
      </c>
      <c r="H97" s="602"/>
      <c r="I97" s="285">
        <f>+C97</f>
        <v>41.16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243.04400000000001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207.08799999999999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-5</v>
      </c>
      <c r="C123" s="315">
        <f>-NSG_Supplies!S7/1000</f>
        <v>-29.503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2" thickBot="1">
      <c r="A133" s="559" t="s">
        <v>448</v>
      </c>
      <c r="B133" s="566">
        <f>B126+B127+B130+B131+B132-B125-B128-B129</f>
        <v>41.16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6" thickBot="1">
      <c r="A140" s="425" t="s">
        <v>394</v>
      </c>
      <c r="B140" s="324">
        <f>PGL_Supplies!V7/1000</f>
        <v>243.04400000000001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2" thickBot="1">
      <c r="A141" s="559" t="s">
        <v>448</v>
      </c>
      <c r="B141" s="561">
        <f>-B135+B136+B137-B138+B139+B140</f>
        <v>243.04400000000001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150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2.25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457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16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394</v>
      </c>
      <c r="B160" s="611">
        <f>PGL_Supplies!Y7/1000</f>
        <v>207.08799999999999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2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2" thickBot="1">
      <c r="A162" s="399" t="s">
        <v>457</v>
      </c>
      <c r="B162" s="612">
        <f>B154+B156+B158+B159+B160-B153-B155-B157-B161</f>
        <v>207.08799999999999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37000.140875347221</v>
      </c>
      <c r="F22" s="164" t="s">
        <v>272</v>
      </c>
      <c r="G22" s="191">
        <f ca="1">NOW()</f>
        <v>37000.140875347221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37000.140875347221</v>
      </c>
      <c r="F22" s="164" t="s">
        <v>272</v>
      </c>
      <c r="G22" s="191">
        <f ca="1">NOW()</f>
        <v>37000.140875347221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36999</v>
      </c>
      <c r="C5" s="15"/>
      <c r="D5" s="22" t="s">
        <v>290</v>
      </c>
      <c r="E5" s="23">
        <f>Weather_Input!B5</f>
        <v>54</v>
      </c>
      <c r="F5" s="24" t="s">
        <v>291</v>
      </c>
      <c r="G5" s="25">
        <f>Weather_Input!H5</f>
        <v>24</v>
      </c>
      <c r="H5" s="26" t="s">
        <v>292</v>
      </c>
      <c r="I5" s="27">
        <f ca="1">G5-(VLOOKUP(B5,DD_Normal_Data,CELL("Col",B6),FALSE))</f>
        <v>8</v>
      </c>
    </row>
    <row r="6" spans="1:109" ht="15">
      <c r="A6" s="18"/>
      <c r="B6" s="21"/>
      <c r="C6" s="15"/>
      <c r="D6" s="22" t="s">
        <v>176</v>
      </c>
      <c r="E6" s="23">
        <f>Weather_Input!C5</f>
        <v>35</v>
      </c>
      <c r="F6" s="24" t="s">
        <v>293</v>
      </c>
      <c r="G6" s="25">
        <f>Weather_Input!F5</f>
        <v>292</v>
      </c>
      <c r="H6" s="26" t="s">
        <v>294</v>
      </c>
      <c r="I6" s="27">
        <f ca="1">G6-(VLOOKUP(B5,DD_Normal_Data,CELL("Col",C7),FALSE))</f>
        <v>-52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44.5</v>
      </c>
      <c r="F7" s="24" t="s">
        <v>296</v>
      </c>
      <c r="G7" s="25">
        <f>Weather_Input!G5</f>
        <v>6325</v>
      </c>
      <c r="H7" s="26" t="s">
        <v>296</v>
      </c>
      <c r="I7" s="123">
        <f ca="1">G7-(VLOOKUP(B5,DD_Normal_Data,CELL("Col",D4),FALSE))</f>
        <v>333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MOSTLY SUNNY AND MILD.  LOWER TEMPS ALONG LAKE MICHIGAN WITH LAKE 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BREEZES.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37000</v>
      </c>
      <c r="C10" s="15"/>
      <c r="D10" s="153" t="s">
        <v>290</v>
      </c>
      <c r="E10" s="23">
        <f>Weather_Input!B6</f>
        <v>67</v>
      </c>
      <c r="F10" s="24" t="s">
        <v>291</v>
      </c>
      <c r="G10" s="25">
        <f>IF(E12&lt;65,65-(Weather_Input!B6+Weather_Input!C6)/2,0)</f>
        <v>6.5</v>
      </c>
      <c r="H10" s="26" t="s">
        <v>292</v>
      </c>
      <c r="I10" s="27">
        <f ca="1">G10-(VLOOKUP(B10,DD_Normal_Data,CELL("Col",B11),FALSE))</f>
        <v>-8.5</v>
      </c>
    </row>
    <row r="11" spans="1:109" ht="15">
      <c r="A11" s="18"/>
      <c r="B11" s="21"/>
      <c r="C11" s="15"/>
      <c r="D11" s="22" t="s">
        <v>176</v>
      </c>
      <c r="E11" s="23">
        <f>Weather_Input!C6</f>
        <v>50</v>
      </c>
      <c r="F11" s="24" t="s">
        <v>293</v>
      </c>
      <c r="G11" s="25">
        <f>IF(DAY(B10)=1,G10,G6+G10)</f>
        <v>298.5</v>
      </c>
      <c r="H11" s="30" t="s">
        <v>294</v>
      </c>
      <c r="I11" s="27">
        <f ca="1">G11-(VLOOKUP(B10,DD_Normal_Data,CELL("Col",C12),FALSE))</f>
        <v>-60.5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58.5</v>
      </c>
      <c r="F12" s="24" t="s">
        <v>296</v>
      </c>
      <c r="G12" s="25">
        <f>IF(AND(DAY(B10)=1,MONTH(B10)=8),G10,G7+G10)</f>
        <v>6331.5</v>
      </c>
      <c r="H12" s="26" t="s">
        <v>296</v>
      </c>
      <c r="I12" s="27">
        <f ca="1">G12-(VLOOKUP(B10,DD_Normal_Data,CELL("Col",D9),FALSE))</f>
        <v>324.5</v>
      </c>
    </row>
    <row r="13" spans="1:109" ht="15">
      <c r="A13" s="18"/>
      <c r="B13" s="21"/>
      <c r="C13" s="15"/>
      <c r="D13" s="32" t="str">
        <f>IF(Weather_Input!I6=""," ",Weather_Input!I6)</f>
        <v>BECOMING MOSTLY CLOUDY WITH CHANCE OF SHOWERS AFTER DARK.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37001</v>
      </c>
      <c r="C15" s="15"/>
      <c r="D15" s="22" t="s">
        <v>290</v>
      </c>
      <c r="E15" s="23">
        <f>Weather_Input!B7</f>
        <v>76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-15</v>
      </c>
    </row>
    <row r="16" spans="1:109" ht="15">
      <c r="A16" s="18"/>
      <c r="B16" s="20"/>
      <c r="C16" s="15"/>
      <c r="D16" s="22" t="s">
        <v>176</v>
      </c>
      <c r="E16" s="23">
        <f>Weather_Input!C7</f>
        <v>56</v>
      </c>
      <c r="F16" s="24" t="s">
        <v>293</v>
      </c>
      <c r="G16" s="25">
        <f>IF(DAY(B15)=1,G15,G11+G15)</f>
        <v>298.5</v>
      </c>
      <c r="H16" s="30" t="s">
        <v>294</v>
      </c>
      <c r="I16" s="27">
        <f ca="1">G16-(VLOOKUP(B15,DD_Normal_Data,CELL("Col",C17),FALSE))</f>
        <v>-75.5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66</v>
      </c>
      <c r="F17" s="24" t="s">
        <v>296</v>
      </c>
      <c r="G17" s="25">
        <f>IF(AND(DAY(B15)=1,MONTH(B15)=8),G15,G12+G15)</f>
        <v>6331.5</v>
      </c>
      <c r="H17" s="26" t="s">
        <v>296</v>
      </c>
      <c r="I17" s="27">
        <f ca="1">G17-(VLOOKUP(B15,DD_Normal_Data,CELL("Col",D14),FALSE))</f>
        <v>309.5</v>
      </c>
    </row>
    <row r="18" spans="1:109" ht="15">
      <c r="A18" s="18"/>
      <c r="B18" s="20"/>
      <c r="C18" s="15"/>
      <c r="D18" s="32" t="str">
        <f>IF(Weather_Input!I7=""," ",Weather_Input!I7)</f>
        <v>MOSTLY CLOUDY WITH A 50% CHANCE OF SHOWERS AND T-STORMS.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37002</v>
      </c>
      <c r="C20" s="15"/>
      <c r="D20" s="22" t="s">
        <v>290</v>
      </c>
      <c r="E20" s="23">
        <f>Weather_Input!B8</f>
        <v>80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-14</v>
      </c>
    </row>
    <row r="21" spans="1:109" ht="15">
      <c r="A21" s="18"/>
      <c r="B21" s="21"/>
      <c r="C21" s="15"/>
      <c r="D21" s="22" t="s">
        <v>176</v>
      </c>
      <c r="E21" s="23">
        <f>Weather_Input!C8</f>
        <v>55</v>
      </c>
      <c r="F21" s="24" t="s">
        <v>293</v>
      </c>
      <c r="G21" s="25">
        <f>IF(DAY(B20)=1,G20,G16+G20)</f>
        <v>298.5</v>
      </c>
      <c r="H21" s="30" t="s">
        <v>294</v>
      </c>
      <c r="I21" s="27">
        <f ca="1">G21-(VLOOKUP(B20,DD_Normal_Data,CELL("Col",C22),FALSE))</f>
        <v>-89.5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67.5</v>
      </c>
      <c r="F22" s="24" t="s">
        <v>296</v>
      </c>
      <c r="G22" s="25">
        <f>IF(AND(DAY(B20)=1,MONTH(B20)=8),G20,G17+G20)</f>
        <v>6331.5</v>
      </c>
      <c r="H22" s="26" t="s">
        <v>296</v>
      </c>
      <c r="I22" s="27">
        <f ca="1">G22-(VLOOKUP(B20,DD_Normal_Data,CELL("Col",D19),FALSE))</f>
        <v>295.5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 WITH A CHANCE OF SHOWERS AND T-STORMS.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37003</v>
      </c>
      <c r="C25" s="15"/>
      <c r="D25" s="22" t="s">
        <v>290</v>
      </c>
      <c r="E25" s="23">
        <f>Weather_Input!B9</f>
        <v>70</v>
      </c>
      <c r="F25" s="24" t="s">
        <v>291</v>
      </c>
      <c r="G25" s="25">
        <f>IF(E27&lt;65,65-(Weather_Input!B9+Weather_Input!C9)/2,0)</f>
        <v>5.5</v>
      </c>
      <c r="H25" s="26" t="s">
        <v>292</v>
      </c>
      <c r="I25" s="27">
        <f ca="1">G25-(VLOOKUP(B25,DD_Normal_Data,CELL("Col",B26),FALSE))</f>
        <v>-8.5</v>
      </c>
    </row>
    <row r="26" spans="1:109" ht="15">
      <c r="A26" s="18"/>
      <c r="B26" s="21"/>
      <c r="C26" s="15"/>
      <c r="D26" s="22" t="s">
        <v>176</v>
      </c>
      <c r="E26" s="23">
        <f>Weather_Input!C9</f>
        <v>49</v>
      </c>
      <c r="F26" s="24" t="s">
        <v>293</v>
      </c>
      <c r="G26" s="25">
        <f>IF(DAY(B25)=1,G25,G21+G25)</f>
        <v>304</v>
      </c>
      <c r="H26" s="30" t="s">
        <v>294</v>
      </c>
      <c r="I26" s="27">
        <f ca="1">G26-(VLOOKUP(B25,DD_Normal_Data,CELL("Col",C27),FALSE))</f>
        <v>-98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59.5</v>
      </c>
      <c r="F27" s="24" t="s">
        <v>296</v>
      </c>
      <c r="G27" s="25">
        <f>IF(AND(DAY(B25)=1,MONTH(B25)=8),G25,G22+G25)</f>
        <v>6337</v>
      </c>
      <c r="H27" s="26" t="s">
        <v>296</v>
      </c>
      <c r="I27" s="27">
        <f ca="1">G27-(VLOOKUP(B25,DD_Normal_Data,CELL("Col",D24),FALSE))</f>
        <v>287</v>
      </c>
    </row>
    <row r="28" spans="1:109" ht="15">
      <c r="A28" s="18"/>
      <c r="B28" s="20"/>
      <c r="C28" s="15"/>
      <c r="D28" s="32" t="str">
        <f>IF(Weather_Input!I9=""," ",Weather_Input!I9)</f>
        <v>MOSTLY CLOUDY WITH A CHANCE OF SHOWERS AND T-STORMS.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37004</v>
      </c>
      <c r="C30" s="15"/>
      <c r="D30" s="22" t="s">
        <v>290</v>
      </c>
      <c r="E30" s="23">
        <f>Weather_Input!B10</f>
        <v>70</v>
      </c>
      <c r="F30" s="24" t="s">
        <v>291</v>
      </c>
      <c r="G30" s="25">
        <f>IF(E32&lt;65,65-(Weather_Input!B10+Weather_Input!C10)/2,0)</f>
        <v>5.5</v>
      </c>
      <c r="H30" s="26" t="s">
        <v>292</v>
      </c>
      <c r="I30" s="27">
        <f ca="1">G30-(VLOOKUP(B30,DD_Normal_Data,CELL("Col",B31),FALSE))</f>
        <v>-8.5</v>
      </c>
    </row>
    <row r="31" spans="1:109" ht="15">
      <c r="A31" s="15"/>
      <c r="B31" s="15"/>
      <c r="C31" s="15"/>
      <c r="D31" s="22" t="s">
        <v>176</v>
      </c>
      <c r="E31" s="23">
        <f>Weather_Input!C10</f>
        <v>49</v>
      </c>
      <c r="F31" s="24" t="s">
        <v>293</v>
      </c>
      <c r="G31" s="25">
        <f>IF(DAY(B30)=1,G30,G26+G30)</f>
        <v>309.5</v>
      </c>
      <c r="H31" s="30" t="s">
        <v>294</v>
      </c>
      <c r="I31" s="27">
        <f ca="1">G31-(VLOOKUP(B30,DD_Normal_Data,CELL("Col",C32),FALSE))</f>
        <v>-106.5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59.5</v>
      </c>
      <c r="F32" s="24" t="s">
        <v>296</v>
      </c>
      <c r="G32" s="25">
        <f>IF(AND(DAY(B30)=1,MONTH(B30)=8),G30,G27+G30)</f>
        <v>6342.5</v>
      </c>
      <c r="H32" s="26" t="s">
        <v>296</v>
      </c>
      <c r="I32" s="27">
        <f ca="1">G32-(VLOOKUP(B30,DD_Normal_Data,CELL("Col",D29),FALSE))</f>
        <v>278.5</v>
      </c>
    </row>
    <row r="33" spans="1:9" ht="15">
      <c r="A33" s="15"/>
      <c r="B33" s="34"/>
      <c r="C33" s="15"/>
      <c r="D33" s="32" t="str">
        <f>IF(Weather_Input!I10=""," ",Weather_Input!I10)</f>
        <v>MOSTLY CLOUDY WITH A CHANCE OF SHOWERS AND T-STORMS.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36999</v>
      </c>
      <c r="C36" s="91">
        <f>B10</f>
        <v>37000</v>
      </c>
      <c r="D36" s="91">
        <f>B15</f>
        <v>37001</v>
      </c>
      <c r="E36" s="91">
        <f xml:space="preserve">       B20</f>
        <v>37002</v>
      </c>
      <c r="F36" s="91">
        <f>B25</f>
        <v>37003</v>
      </c>
      <c r="G36" s="91">
        <f>B30</f>
        <v>37004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605</v>
      </c>
      <c r="C37" s="41">
        <f ca="1">(VLOOKUP(C36,PGL_Sendouts,(CELL("COL",PGL_Deliveries!C7))))/1000</f>
        <v>370</v>
      </c>
      <c r="D37" s="41">
        <f ca="1">(VLOOKUP(D36,PGL_Sendouts,(CELL("COL",PGL_Deliveries!C8))))/1000</f>
        <v>280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315</v>
      </c>
      <c r="G37" s="41">
        <f ca="1">(VLOOKUP(G36,PGL_Sendouts,(CELL("COL",PGL_Deliveries!C10))))/1000</f>
        <v>330</v>
      </c>
      <c r="H37" s="14"/>
      <c r="I37" s="15"/>
    </row>
    <row r="38" spans="1:9" ht="15">
      <c r="A38" s="15" t="s">
        <v>301</v>
      </c>
      <c r="B38" s="41">
        <f>PGL_6_Day_Report!D30</f>
        <v>757.89</v>
      </c>
      <c r="C38" s="41">
        <f>PGL_6_Day_Report!E30</f>
        <v>560.00149999999996</v>
      </c>
      <c r="D38" s="41">
        <f>PGL_6_Day_Report!F30</f>
        <v>468.41499999999996</v>
      </c>
      <c r="E38" s="41">
        <f>PGL_6_Day_Report!G30</f>
        <v>428.41499999999996</v>
      </c>
      <c r="F38" s="41">
        <f>PGL_6_Day_Report!H30</f>
        <v>503.41499999999996</v>
      </c>
      <c r="G38" s="41">
        <f>PGL_6_Day_Report!I30</f>
        <v>518.41499999999996</v>
      </c>
      <c r="H38" s="14"/>
      <c r="I38" s="15"/>
    </row>
    <row r="39" spans="1:9" ht="15">
      <c r="A39" s="42" t="s">
        <v>109</v>
      </c>
      <c r="B39" s="41">
        <f>SUM(PGL_Supplies!Z7:AE7)/1000</f>
        <v>489.52</v>
      </c>
      <c r="C39" s="41">
        <f>SUM(PGL_Supplies!Z8:AE8)/1000</f>
        <v>557.93399999999997</v>
      </c>
      <c r="D39" s="41">
        <f>SUM(PGL_Supplies!Z9:AE9)/1000</f>
        <v>557.93399999999997</v>
      </c>
      <c r="E39" s="41">
        <f>SUM(PGL_Supplies!Z10:AE10)/1000</f>
        <v>557.93399999999997</v>
      </c>
      <c r="F39" s="41">
        <f>SUM(PGL_Supplies!Z11:AE11)/1000</f>
        <v>557.93399999999997</v>
      </c>
      <c r="G39" s="41">
        <f>SUM(PGL_Supplies!Z12:AE12)/1000</f>
        <v>557.93399999999997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243.04400000000001</v>
      </c>
      <c r="C42" s="41">
        <f>PGL_Supplies!V8/1000</f>
        <v>243.04400000000001</v>
      </c>
      <c r="D42" s="41">
        <f>PGL_Supplies!V9/1000</f>
        <v>243.04400000000001</v>
      </c>
      <c r="E42" s="41">
        <f>PGL_Supplies!V10/1000</f>
        <v>243.04400000000001</v>
      </c>
      <c r="F42" s="41">
        <f>PGL_Supplies!V11/1000</f>
        <v>243.04400000000001</v>
      </c>
      <c r="G42" s="41">
        <f>PGL_Supplies!V12/1000</f>
        <v>243.04400000000001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36999</v>
      </c>
      <c r="C44" s="91">
        <f t="shared" si="0"/>
        <v>37000</v>
      </c>
      <c r="D44" s="91">
        <f t="shared" si="0"/>
        <v>37001</v>
      </c>
      <c r="E44" s="91">
        <f t="shared" si="0"/>
        <v>37002</v>
      </c>
      <c r="F44" s="91">
        <f t="shared" si="0"/>
        <v>37003</v>
      </c>
      <c r="G44" s="91">
        <f t="shared" si="0"/>
        <v>37004</v>
      </c>
      <c r="H44" s="14"/>
      <c r="I44" s="15"/>
    </row>
    <row r="45" spans="1:9" ht="15">
      <c r="A45" s="15" t="s">
        <v>56</v>
      </c>
      <c r="B45" s="41">
        <f ca="1">NSG_6_Day_Report!D6</f>
        <v>101</v>
      </c>
      <c r="C45" s="41">
        <f ca="1">NSG_6_Day_Report!E6</f>
        <v>52</v>
      </c>
      <c r="D45" s="41">
        <f ca="1">NSG_6_Day_Report!F6</f>
        <v>45</v>
      </c>
      <c r="E45" s="41">
        <f ca="1">NSG_6_Day_Report!G6</f>
        <v>39</v>
      </c>
      <c r="F45" s="41">
        <f ca="1">NSG_6_Day_Report!H6</f>
        <v>51</v>
      </c>
      <c r="G45" s="41">
        <f ca="1">NSG_6_Day_Report!I6</f>
        <v>53</v>
      </c>
      <c r="H45" s="14"/>
      <c r="I45" s="15"/>
    </row>
    <row r="46" spans="1:9" ht="15">
      <c r="A46" s="42" t="s">
        <v>301</v>
      </c>
      <c r="B46" s="41">
        <f ca="1">NSG_6_Day_Report!D19</f>
        <v>121</v>
      </c>
      <c r="C46" s="41">
        <f ca="1">NSG_6_Day_Report!E19</f>
        <v>52</v>
      </c>
      <c r="D46" s="41">
        <f ca="1">NSG_6_Day_Report!F19</f>
        <v>45</v>
      </c>
      <c r="E46" s="41">
        <f ca="1">NSG_6_Day_Report!G19</f>
        <v>39</v>
      </c>
      <c r="F46" s="41">
        <f ca="1">NSG_6_Day_Report!H19</f>
        <v>51</v>
      </c>
      <c r="G46" s="41">
        <f ca="1">NSG_6_Day_Report!I19</f>
        <v>53</v>
      </c>
      <c r="H46" s="14"/>
      <c r="I46" s="15"/>
    </row>
    <row r="47" spans="1:9" ht="15">
      <c r="A47" s="42" t="s">
        <v>109</v>
      </c>
      <c r="B47" s="41">
        <f>SUM(NSG_Supplies!P7:R7)/1000</f>
        <v>100.464</v>
      </c>
      <c r="C47" s="41">
        <f>SUM(NSG_Supplies!P8:R8)/1000</f>
        <v>81.203000000000003</v>
      </c>
      <c r="D47" s="41">
        <f>SUM(NSG_Supplies!P9:R9)/1000</f>
        <v>81.117999999999995</v>
      </c>
      <c r="E47" s="41">
        <f>SUM(NSG_Supplies!P10:R10)/1000</f>
        <v>81.117999999999995</v>
      </c>
      <c r="F47" s="41">
        <f>SUM(NSG_Supplies!P11:R11)/1000</f>
        <v>81.117999999999995</v>
      </c>
      <c r="G47" s="41">
        <f>SUM(NSG_Supplies!P12:R12)/1000</f>
        <v>81.117999999999995</v>
      </c>
      <c r="H47" s="14"/>
      <c r="I47" s="15"/>
    </row>
    <row r="48" spans="1:9" ht="15">
      <c r="A48" s="42" t="s">
        <v>302</v>
      </c>
      <c r="B48" s="41">
        <f>SUM(NSG_Supplies!I7:M7)/1000</f>
        <v>15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29.503</v>
      </c>
      <c r="C50" s="41">
        <f>NSG_Supplies!S8/1000</f>
        <v>29.503</v>
      </c>
      <c r="D50" s="41">
        <f>NSG_Supplies!S9/1000</f>
        <v>29.503</v>
      </c>
      <c r="E50" s="41">
        <f>NSG_Supplies!S10/1000</f>
        <v>29.503</v>
      </c>
      <c r="F50" s="41">
        <f>NSG_Supplies!S11/1000</f>
        <v>29.503</v>
      </c>
      <c r="G50" s="41">
        <f>NSG_Supplies!S12/1000</f>
        <v>29.503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36999</v>
      </c>
      <c r="C52" s="91">
        <f t="shared" si="1"/>
        <v>37000</v>
      </c>
      <c r="D52" s="91">
        <f t="shared" si="1"/>
        <v>37001</v>
      </c>
      <c r="E52" s="91">
        <f t="shared" si="1"/>
        <v>37002</v>
      </c>
      <c r="F52" s="91">
        <f t="shared" si="1"/>
        <v>37003</v>
      </c>
      <c r="G52" s="91">
        <f t="shared" si="1"/>
        <v>37004</v>
      </c>
      <c r="H52" s="14"/>
      <c r="I52" s="15"/>
    </row>
    <row r="53" spans="1:9" ht="15">
      <c r="A53" s="94" t="s">
        <v>305</v>
      </c>
      <c r="B53" s="41">
        <f>PGL_Requirements!P7/1000</f>
        <v>150</v>
      </c>
      <c r="C53" s="41">
        <f>PGL_Requirements!P8/1000</f>
        <v>185</v>
      </c>
      <c r="D53" s="41">
        <f>PGL_Requirements!P9/1000</f>
        <v>185</v>
      </c>
      <c r="E53" s="41">
        <f>PGL_Requirements!P10/1000</f>
        <v>185</v>
      </c>
      <c r="F53" s="41">
        <f>PGL_Requirements!P11/1000</f>
        <v>185</v>
      </c>
      <c r="G53" s="41">
        <f>PGL_Requirements!P12/1000</f>
        <v>185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311</v>
      </c>
    </row>
    <row r="4" spans="1:8">
      <c r="A4" s="99"/>
      <c r="B4" s="1141" t="str">
        <f>Six_Day_Summary!A10</f>
        <v>Thursday</v>
      </c>
      <c r="C4" s="1142" t="str">
        <f>Six_Day_Summary!A15</f>
        <v>Friday</v>
      </c>
      <c r="D4" s="1142" t="str">
        <f>Six_Day_Summary!A20</f>
        <v>Saturday</v>
      </c>
      <c r="E4" s="1142" t="str">
        <f>Six_Day_Summary!A25</f>
        <v>Sunday</v>
      </c>
      <c r="F4" s="1143" t="str">
        <f>Six_Day_Summary!A30</f>
        <v>Monday</v>
      </c>
      <c r="G4" s="100"/>
    </row>
    <row r="5" spans="1:8">
      <c r="A5" s="103" t="s">
        <v>312</v>
      </c>
      <c r="B5" s="1144">
        <f>Weather_Input!A6</f>
        <v>37000</v>
      </c>
      <c r="C5" s="1145">
        <f>Weather_Input!A7</f>
        <v>37001</v>
      </c>
      <c r="D5" s="1145">
        <f>Weather_Input!A8</f>
        <v>37002</v>
      </c>
      <c r="E5" s="1145">
        <f>Weather_Input!A9</f>
        <v>37003</v>
      </c>
      <c r="F5" s="1146">
        <f>Weather_Input!A10</f>
        <v>37004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179.55699999999999</v>
      </c>
      <c r="C6" s="1147">
        <f>PGL_Supplies!AC9/1000+PGL_Supplies!L9/1000-PGL_Requirements!O9/1000+C15-PGL_Requirements!T9/1000</f>
        <v>179.55699999999999</v>
      </c>
      <c r="D6" s="1147">
        <f>PGL_Supplies!AC10/1000+PGL_Supplies!L10/1000-PGL_Requirements!O10/1000+D15-PGL_Requirements!T10/1000</f>
        <v>179.55699999999999</v>
      </c>
      <c r="E6" s="1147">
        <f>PGL_Supplies!AC11/1000+PGL_Supplies!L11/1000-PGL_Requirements!O11/1000+E15-PGL_Requirements!T11/1000</f>
        <v>179.55699999999999</v>
      </c>
      <c r="F6" s="1148">
        <f>PGL_Supplies!AC12/1000+PGL_Supplies!L12/1000-PGL_Requirements!O12/1000+F15-PGL_Requirements!T12/1000</f>
        <v>179.55699999999999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90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Thursday</v>
      </c>
      <c r="C21" s="1157" t="str">
        <f t="shared" si="0"/>
        <v>Friday</v>
      </c>
      <c r="D21" s="1157" t="str">
        <f t="shared" si="0"/>
        <v>Saturday</v>
      </c>
      <c r="E21" s="1157" t="str">
        <f t="shared" si="0"/>
        <v>Sunday</v>
      </c>
      <c r="F21" s="1158" t="str">
        <f t="shared" si="0"/>
        <v>Monday</v>
      </c>
      <c r="G21" s="100"/>
    </row>
    <row r="22" spans="1:7">
      <c r="A22" s="107" t="s">
        <v>312</v>
      </c>
      <c r="B22" s="1159">
        <f t="shared" si="0"/>
        <v>37000</v>
      </c>
      <c r="C22" s="1159">
        <f t="shared" si="0"/>
        <v>37001</v>
      </c>
      <c r="D22" s="1159">
        <f t="shared" si="0"/>
        <v>37002</v>
      </c>
      <c r="E22" s="1159">
        <f t="shared" si="0"/>
        <v>37003</v>
      </c>
      <c r="F22" s="1160">
        <f t="shared" si="0"/>
        <v>37004</v>
      </c>
      <c r="G22" s="100"/>
    </row>
    <row r="23" spans="1:7">
      <c r="A23" s="100" t="s">
        <v>313</v>
      </c>
      <c r="B23" s="1153">
        <f>NSG_Supplies!R8/1000+NSG_Supplies!F8/1000-NSG_Requirements!H8/1000</f>
        <v>61.203000000000003</v>
      </c>
      <c r="C23" s="1153">
        <f>NSG_Supplies!R9/1000+NSG_Supplies!F9/1000-NSG_Requirements!H9/1000</f>
        <v>61.118000000000002</v>
      </c>
      <c r="D23" s="1153">
        <f>NSG_Supplies!R10/1000+NSG_Supplies!F10/1000-NSG_Requirements!H10/1000</f>
        <v>61.118000000000002</v>
      </c>
      <c r="E23" s="1153">
        <f>NSG_Supplies!R12/1000+NSG_Supplies!F11/1000-NSG_Requirements!H11/1000</f>
        <v>61.118000000000002</v>
      </c>
      <c r="F23" s="1148">
        <f>NSG_Supplies!R12/1000+NSG_Supplies!F12/1000-NSG_Requirements!H12/1000</f>
        <v>61.118000000000002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0" t="s">
        <v>382</v>
      </c>
      <c r="C1" s="909">
        <f>Weather_Input!A6</f>
        <v>37000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0</v>
      </c>
      <c r="E4" s="802"/>
      <c r="F4" s="172" t="s">
        <v>552</v>
      </c>
      <c r="G4" s="60"/>
      <c r="H4" s="154">
        <f>PGL_Requirements!P8/1000</f>
        <v>185</v>
      </c>
      <c r="I4" s="176">
        <f>AVERAGE(H4/1.025)</f>
        <v>180.48780487804879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7.708333333333333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337.21699999999998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144.90899999999999</v>
      </c>
      <c r="D11" s="789"/>
      <c r="E11" s="1130"/>
      <c r="F11" s="435" t="s">
        <v>379</v>
      </c>
      <c r="G11" s="447">
        <f>G8+G10</f>
        <v>337.21699999999998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144.90899999999999</v>
      </c>
      <c r="D14" s="438"/>
      <c r="E14" s="440">
        <f>AVERAGE(C14/24)</f>
        <v>6.0378749999999997</v>
      </c>
      <c r="F14" s="782" t="s">
        <v>555</v>
      </c>
      <c r="G14" s="448">
        <v>140</v>
      </c>
      <c r="H14" s="438"/>
      <c r="I14" s="440">
        <f>AVERAGE(G14/24)</f>
        <v>5.833333333333333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SUM(G11)-G14</f>
        <v>197.21699999999998</v>
      </c>
      <c r="H15" s="438" t="s">
        <v>11</v>
      </c>
      <c r="I15" s="440">
        <f>AVERAGE(G15/24)</f>
        <v>8.2173749999999988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0</v>
      </c>
      <c r="E16" s="161"/>
      <c r="F16" s="782" t="s">
        <v>575</v>
      </c>
      <c r="G16" s="448">
        <f>PGL_Requirements!H8/1000</f>
        <v>3.173</v>
      </c>
      <c r="H16" s="448" t="s">
        <v>11</v>
      </c>
      <c r="I16" s="440">
        <f>AVERAGE(G16/24)</f>
        <v>0.13220833333333334</v>
      </c>
    </row>
    <row r="17" spans="1:9" ht="15.75" customHeight="1" thickTop="1" thickBot="1">
      <c r="B17" s="435" t="s">
        <v>379</v>
      </c>
      <c r="C17" s="447">
        <f>SUM(C15:C16)-SUM(D15:D16)</f>
        <v>41.16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30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71.16</v>
      </c>
      <c r="D20" s="441" t="s">
        <v>11</v>
      </c>
      <c r="E20" s="440">
        <f>AVERAGE(C20/24)</f>
        <v>2.9649999999999999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17" workbookViewId="0">
      <selection activeCell="C39" sqref="C39"/>
    </sheetView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37000</v>
      </c>
      <c r="I1" s="932"/>
      <c r="J1" s="934"/>
      <c r="K1" s="934"/>
    </row>
    <row r="2" spans="1:22" ht="16.5" customHeight="1">
      <c r="A2" s="952" t="s">
        <v>687</v>
      </c>
      <c r="C2" s="1046">
        <v>274</v>
      </c>
      <c r="F2" s="1047">
        <v>278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20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140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52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" customHeight="1">
      <c r="A11" s="954">
        <f>Billy_Sheet!C20</f>
        <v>71.16</v>
      </c>
      <c r="B11" s="1051"/>
      <c r="H11" s="954">
        <f>NSG_Supplies!U8/1000</f>
        <v>0</v>
      </c>
      <c r="K11" s="935" t="s">
        <v>692</v>
      </c>
      <c r="L11" s="960">
        <f>SUM(K4+K17+K19+H11+H9-L9)</f>
        <v>29.203000000000003</v>
      </c>
      <c r="N11" s="935"/>
      <c r="O11" s="960"/>
      <c r="U11" s="934"/>
      <c r="V11" s="948"/>
    </row>
    <row r="12" spans="1:22" ht="14.4" customHeight="1">
      <c r="A12" s="932" t="s">
        <v>753</v>
      </c>
      <c r="H12" s="954"/>
      <c r="U12" s="934"/>
      <c r="V12" s="954"/>
    </row>
    <row r="13" spans="1:22" ht="14.4" customHeight="1">
      <c r="A13" s="1049">
        <f>PGL_Supplies!Y8/1000</f>
        <v>144.90899999999999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293</v>
      </c>
      <c r="F15" s="1052">
        <v>293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334</v>
      </c>
      <c r="D18" s="1054"/>
      <c r="E18" s="1054"/>
      <c r="F18" s="1047">
        <v>801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61.203000000000003</v>
      </c>
      <c r="N19" s="1057"/>
    </row>
    <row r="20" spans="1:17" ht="17.25" customHeight="1">
      <c r="A20" s="954">
        <f>Billy_Sheet!G15</f>
        <v>197.21699999999998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</v>
      </c>
      <c r="H26" s="935"/>
      <c r="I26" s="935"/>
      <c r="J26" s="935" t="s">
        <v>580</v>
      </c>
      <c r="K26" s="1059">
        <f>PGL_Deliveries!C6/1000</f>
        <v>370</v>
      </c>
      <c r="L26" s="932" t="s">
        <v>691</v>
      </c>
      <c r="M26" s="954">
        <f>NSG_Deliveries!C6/1000</f>
        <v>52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376.11299999999994</v>
      </c>
      <c r="L28" s="935" t="s">
        <v>745</v>
      </c>
      <c r="M28" s="960">
        <f>SUM(J2+K17+K19+H11+H9-M26)</f>
        <v>29.203000000000003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36999</v>
      </c>
      <c r="G29" s="954">
        <f>PGL_Requirements!H7/1000</f>
        <v>0</v>
      </c>
      <c r="H29" s="933"/>
      <c r="J29" s="935" t="s">
        <v>695</v>
      </c>
      <c r="K29" s="954">
        <f>PGL_Supplies!AC8/1000+PGL_Supplies!L8/1000-PGL_Requirements!O8/1000</f>
        <v>179.55699999999999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37000</v>
      </c>
      <c r="G30" s="954">
        <f>PGL_Requirements!H8/1000</f>
        <v>3.173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185.66999999999996</v>
      </c>
    </row>
    <row r="32" spans="1:17">
      <c r="A32" s="954">
        <f>PGL_Supplies!H8/1000</f>
        <v>1</v>
      </c>
      <c r="G32" s="954">
        <f>PGL_Requirements!P8/1000</f>
        <v>185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338</v>
      </c>
      <c r="F38" s="1052">
        <v>752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564.28599999999994</v>
      </c>
      <c r="B40" s="948"/>
      <c r="C40" s="947"/>
      <c r="D40" s="948"/>
      <c r="E40" s="948"/>
      <c r="F40" s="1062"/>
      <c r="G40" s="1062">
        <f>SUM(G30:G35)</f>
        <v>188.173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376.11299999999994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285.5</v>
      </c>
      <c r="E45" s="1067"/>
      <c r="F45" s="1068">
        <v>6.7000000000000004E-2</v>
      </c>
      <c r="G45" s="1069">
        <f>(C45-D45)*F45</f>
        <v>8.3414999999999999</v>
      </c>
      <c r="H45" s="1069">
        <f>(D45-B45)*F45</f>
        <v>2.3785000000000003</v>
      </c>
      <c r="I45" s="954"/>
      <c r="J45" s="1070"/>
    </row>
    <row r="46" spans="1:11">
      <c r="A46" s="934" t="s">
        <v>672</v>
      </c>
      <c r="B46" s="1071">
        <v>781</v>
      </c>
      <c r="C46" s="1065">
        <v>781</v>
      </c>
      <c r="D46" s="1066">
        <f>SUM(F18+F38)/2</f>
        <v>776.5</v>
      </c>
      <c r="E46" s="1067"/>
      <c r="F46" s="1068">
        <v>0.13900000000000001</v>
      </c>
      <c r="G46" s="1069">
        <f>(C46-D46)*F46</f>
        <v>0.62550000000000006</v>
      </c>
      <c r="H46" s="1069">
        <f>(D46-B46)*F46</f>
        <v>-0.62550000000000006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283.5</v>
      </c>
      <c r="E47" s="1067"/>
      <c r="F47" s="1068">
        <v>0.14099999999999999</v>
      </c>
      <c r="G47" s="1069">
        <f>(C47-D47)*F47</f>
        <v>17.836499999999997</v>
      </c>
      <c r="H47" s="1069">
        <f>(D47-B47)*F47</f>
        <v>4.7234999999999996</v>
      </c>
      <c r="I47" s="954"/>
    </row>
    <row r="48" spans="1:11">
      <c r="A48" s="934" t="s">
        <v>674</v>
      </c>
      <c r="B48" s="1071">
        <v>290</v>
      </c>
      <c r="C48" s="1065">
        <v>750</v>
      </c>
      <c r="D48" s="1066">
        <f>SUM(C18+C38)/2</f>
        <v>336</v>
      </c>
      <c r="E48" s="1067"/>
      <c r="F48" s="1068">
        <v>0.161</v>
      </c>
      <c r="G48" s="1069">
        <f>(C48-D48)*F48</f>
        <v>66.653999999999996</v>
      </c>
      <c r="H48" s="1069">
        <f>(D48-B48)*F48</f>
        <v>7.4060000000000006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93.457499999999996</v>
      </c>
      <c r="H49" s="1069">
        <f>SUM(H45:H48)</f>
        <v>13.8825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36999</v>
      </c>
      <c r="B5" s="11">
        <v>54</v>
      </c>
      <c r="C5" s="49">
        <v>35</v>
      </c>
      <c r="D5" s="49">
        <v>6</v>
      </c>
      <c r="E5" s="11" t="s">
        <v>793</v>
      </c>
      <c r="F5" s="11">
        <v>292</v>
      </c>
      <c r="G5" s="11">
        <v>6325</v>
      </c>
      <c r="H5" s="11">
        <v>24</v>
      </c>
      <c r="I5" s="911" t="s">
        <v>794</v>
      </c>
      <c r="J5" s="911" t="s">
        <v>795</v>
      </c>
      <c r="K5" s="11">
        <v>4</v>
      </c>
      <c r="L5" s="11">
        <v>1</v>
      </c>
      <c r="N5" s="15" t="str">
        <f>I5&amp;" "&amp;I5</f>
        <v xml:space="preserve">MOSTLY SUNNY AND MILD.  LOWER TEMPS ALONG LAKE MICHIGAN WITH LAKE   MOSTLY SUNNY AND MILD.  LOWER TEMPS ALONG LAKE MICHIGAN WITH LAKE  </v>
      </c>
      <c r="AE5" s="15">
        <v>1</v>
      </c>
      <c r="AH5" s="15" t="s">
        <v>34</v>
      </c>
    </row>
    <row r="6" spans="1:34" ht="16.5" customHeight="1">
      <c r="A6" s="88">
        <f>A5+1</f>
        <v>37000</v>
      </c>
      <c r="B6" s="11">
        <v>67</v>
      </c>
      <c r="C6" s="49">
        <v>50</v>
      </c>
      <c r="D6" s="49">
        <v>14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11</v>
      </c>
      <c r="K6" s="11">
        <v>1</v>
      </c>
      <c r="L6" s="11" t="s">
        <v>633</v>
      </c>
      <c r="N6" s="15" t="str">
        <f>I6&amp;" "&amp;J6</f>
        <v xml:space="preserve">BECOMING MOSTLY CLOUDY WITH CHANCE OF SHOWERS AFTER DARK.  </v>
      </c>
      <c r="AE6" s="15">
        <v>1</v>
      </c>
      <c r="AH6" s="15" t="s">
        <v>35</v>
      </c>
    </row>
    <row r="7" spans="1:34" ht="16.5" customHeight="1">
      <c r="A7" s="88">
        <f>A6+1</f>
        <v>37001</v>
      </c>
      <c r="B7" s="11">
        <v>76</v>
      </c>
      <c r="C7" s="49">
        <v>56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797</v>
      </c>
      <c r="J7" s="911" t="s">
        <v>11</v>
      </c>
      <c r="K7" s="11">
        <v>2</v>
      </c>
      <c r="L7" s="11" t="s">
        <v>22</v>
      </c>
      <c r="N7" s="15" t="str">
        <f>I7&amp;" "&amp;J7</f>
        <v xml:space="preserve">MOSTLY CLOUDY WITH A 50% CHANCE OF SHOWERS AND T-STORMS.  </v>
      </c>
    </row>
    <row r="8" spans="1:34" ht="16.5" customHeight="1">
      <c r="A8" s="88">
        <f>A7+1</f>
        <v>37002</v>
      </c>
      <c r="B8" s="11">
        <v>80</v>
      </c>
      <c r="C8" s="49">
        <v>55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798</v>
      </c>
      <c r="J8" s="911" t="s">
        <v>11</v>
      </c>
      <c r="K8" s="11">
        <v>5</v>
      </c>
      <c r="L8" s="11"/>
      <c r="N8" s="15" t="str">
        <f>I8&amp;" "&amp;J8</f>
        <v xml:space="preserve">PARTLY CLOUDY WITH A CHANCE OF SHOWERS AND T-STORMS.   </v>
      </c>
    </row>
    <row r="9" spans="1:34" ht="16.5" customHeight="1">
      <c r="A9" s="88">
        <f>A8+1</f>
        <v>37003</v>
      </c>
      <c r="B9" s="11">
        <v>70</v>
      </c>
      <c r="C9" s="49">
        <v>49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1" t="s">
        <v>799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MOSTLY CLOUDY WITH A CHANCE OF SHOWERS AND T-STORMS.  </v>
      </c>
    </row>
    <row r="10" spans="1:34" ht="16.5" customHeight="1">
      <c r="A10" s="88">
        <f>A9+1</f>
        <v>37004</v>
      </c>
      <c r="B10" s="11">
        <v>70</v>
      </c>
      <c r="C10" s="49">
        <v>49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1" t="s">
        <v>799</v>
      </c>
      <c r="J10" s="911" t="s">
        <v>11</v>
      </c>
      <c r="K10" s="11">
        <v>2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4.149</v>
      </c>
      <c r="C2" s="60"/>
      <c r="D2" s="121" t="s">
        <v>325</v>
      </c>
      <c r="E2" s="426">
        <f>Weather_Input!A5</f>
        <v>36999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223.28700000000001</v>
      </c>
      <c r="C8" s="631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1.145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4.149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9.4120000000000008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307.74700000000001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-256.875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5.8940000000000001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5">
        <f>SUM(B8:B17)-C16</f>
        <v>278.822</v>
      </c>
      <c r="C18" s="169"/>
      <c r="D18" s="179" t="s">
        <v>592</v>
      </c>
      <c r="E18" s="178">
        <f>SUM(E5:E17)</f>
        <v>4.149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207.08799999999999</v>
      </c>
      <c r="C19" s="631"/>
      <c r="D19" s="117" t="s">
        <v>320</v>
      </c>
      <c r="E19" s="154">
        <f>PGL_Deliveries!AI5/1000</f>
        <v>1.2999999999999999E-2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5</v>
      </c>
      <c r="C20" s="64"/>
      <c r="D20" s="117" t="s">
        <v>189</v>
      </c>
      <c r="E20" s="154">
        <f>PGL_Deliveries!AW5/1000+B41-0.001</f>
        <v>3.8737500000000002</v>
      </c>
      <c r="F20" s="171"/>
      <c r="H20"/>
      <c r="I20"/>
      <c r="J20"/>
      <c r="K20"/>
      <c r="L20"/>
      <c r="M20"/>
    </row>
    <row r="21" spans="1:13" ht="16.2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8.0357500000000002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212.08799999999999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81.846000000000004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81.846000000000004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1.6E-2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366.51400000000001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3.8587500000000001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750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54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35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6</v>
      </c>
      <c r="C48" s="162"/>
      <c r="D48" s="251" t="s">
        <v>245</v>
      </c>
      <c r="E48" s="154">
        <f>PGL_Deliveries!AI5/1000</f>
        <v>1.2999999999999999E-2</v>
      </c>
      <c r="F48" s="161"/>
    </row>
    <row r="49" spans="1:6" ht="15">
      <c r="A49" s="172" t="s">
        <v>624</v>
      </c>
      <c r="B49" s="154">
        <f>PGL_Deliveries!AM5/1000</f>
        <v>1.0309999999999999</v>
      </c>
      <c r="C49" s="162"/>
      <c r="D49" s="60" t="s">
        <v>791</v>
      </c>
      <c r="E49" s="154">
        <f>PGL_Deliveries!AJ5/1000</f>
        <v>9.4120000000000008</v>
      </c>
      <c r="F49" s="161"/>
    </row>
    <row r="50" spans="1:6" ht="15.6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0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36999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14.090999999999999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80.463999999999999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0.82199999999999995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15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81.286000000000001</v>
      </c>
      <c r="C27" s="148"/>
      <c r="D27" s="241" t="s">
        <v>355</v>
      </c>
      <c r="E27" s="221">
        <f>SUM(E18:E26)-SUM(F18:F26)</f>
        <v>15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36999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36998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229414</v>
      </c>
      <c r="O6" s="204">
        <v>0</v>
      </c>
      <c r="P6" s="204">
        <v>43307725</v>
      </c>
      <c r="Q6" s="204">
        <v>15045098</v>
      </c>
      <c r="R6" s="204">
        <v>28262627</v>
      </c>
      <c r="S6" s="204">
        <v>0</v>
      </c>
    </row>
    <row r="7" spans="1:19">
      <c r="A7" s="4">
        <f>B1</f>
        <v>36999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207088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43514813</v>
      </c>
      <c r="Q7">
        <f>IF(O7&gt;0,Q6+O7,Q6)</f>
        <v>15045098</v>
      </c>
      <c r="R7">
        <f>IF(P7&gt;Q7,P7-Q7,0)</f>
        <v>28469715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36999</v>
      </c>
      <c r="B5" s="1">
        <f>(Weather_Input!B5+Weather_Input!C5)/2</f>
        <v>44.5</v>
      </c>
      <c r="C5" s="912">
        <v>605000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4149</v>
      </c>
      <c r="T5" s="1161">
        <v>0</v>
      </c>
      <c r="U5" s="912">
        <f>SUM(D5:S5)-T5</f>
        <v>4149</v>
      </c>
      <c r="V5" s="912">
        <v>223287</v>
      </c>
      <c r="W5" s="11">
        <v>1145</v>
      </c>
      <c r="X5" s="11">
        <v>0</v>
      </c>
      <c r="Y5" s="11">
        <v>0</v>
      </c>
      <c r="Z5" s="11">
        <v>307747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16</v>
      </c>
      <c r="AH5" s="11">
        <v>0</v>
      </c>
      <c r="AI5" s="11">
        <v>13</v>
      </c>
      <c r="AJ5" s="11">
        <v>9412</v>
      </c>
      <c r="AK5" s="11">
        <v>0</v>
      </c>
      <c r="AL5" s="11">
        <v>0</v>
      </c>
      <c r="AM5" s="1">
        <v>1031</v>
      </c>
      <c r="AN5" s="1"/>
      <c r="AO5" s="1">
        <v>5894</v>
      </c>
      <c r="AP5" s="1">
        <v>0</v>
      </c>
      <c r="AQ5" s="1">
        <v>11242</v>
      </c>
      <c r="AR5" s="1">
        <v>0</v>
      </c>
      <c r="AS5" s="1">
        <v>0</v>
      </c>
      <c r="AT5" s="1">
        <v>1045</v>
      </c>
      <c r="AU5" s="1">
        <v>257250</v>
      </c>
      <c r="AV5" s="1">
        <v>670</v>
      </c>
      <c r="AW5" s="627">
        <f>AU5*0.015</f>
        <v>3858.75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37000</v>
      </c>
      <c r="B6" s="931">
        <f>(Weather_Input!B6+Weather_Input!C6)/2</f>
        <v>58.5</v>
      </c>
      <c r="C6" s="912">
        <v>370000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37001</v>
      </c>
      <c r="B7" s="931">
        <f>(Weather_Input!B7+Weather_Input!C7)/2</f>
        <v>66</v>
      </c>
      <c r="C7" s="912">
        <v>280000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37002</v>
      </c>
      <c r="B8" s="931">
        <f>(Weather_Input!B8+Weather_Input!C8)/2</f>
        <v>67.5</v>
      </c>
      <c r="C8" s="912">
        <v>240000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37003</v>
      </c>
      <c r="B9" s="931">
        <f>(Weather_Input!B9+Weather_Input!C9)/2</f>
        <v>59.5</v>
      </c>
      <c r="C9" s="912">
        <v>315000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37004</v>
      </c>
      <c r="B10" s="931">
        <f>(Weather_Input!B10+Weather_Input!C10)/2</f>
        <v>59.5</v>
      </c>
      <c r="C10" s="912">
        <v>330000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36999</v>
      </c>
      <c r="B5" s="1">
        <f>(Weather_Input!B5+Weather_Input!C5)/2</f>
        <v>44.5</v>
      </c>
      <c r="C5" s="912">
        <v>101000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1010</v>
      </c>
      <c r="J5" s="1" t="s">
        <v>11</v>
      </c>
      <c r="K5" s="1">
        <v>0</v>
      </c>
      <c r="L5" s="1">
        <v>822</v>
      </c>
      <c r="M5" s="1">
        <v>14091</v>
      </c>
      <c r="N5" s="1">
        <v>0</v>
      </c>
    </row>
    <row r="6" spans="1:14">
      <c r="A6" s="12">
        <f>A5+1</f>
        <v>37000</v>
      </c>
      <c r="B6" s="931">
        <f>(Weather_Input!B6+Weather_Input!C6)/2</f>
        <v>58.5</v>
      </c>
      <c r="C6" s="912">
        <v>52000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37001</v>
      </c>
      <c r="B7" s="931">
        <f>(Weather_Input!B7+Weather_Input!C7)/2</f>
        <v>66</v>
      </c>
      <c r="C7" s="912">
        <v>45000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37002</v>
      </c>
      <c r="B8" s="931">
        <f>(Weather_Input!B8+Weather_Input!C8)/2</f>
        <v>67.5</v>
      </c>
      <c r="C8" s="912">
        <v>39000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37003</v>
      </c>
      <c r="B9" s="931">
        <f>(Weather_Input!B9+Weather_Input!C9)/2</f>
        <v>59.5</v>
      </c>
      <c r="C9" s="912">
        <v>51000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37004</v>
      </c>
      <c r="B10" s="931">
        <f>(Weather_Input!B10+Weather_Input!C10)/2</f>
        <v>59.5</v>
      </c>
      <c r="C10" s="912">
        <v>53000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2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1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3">
        <f>Weather_Input!A5</f>
        <v>36999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0</v>
      </c>
      <c r="H7" s="923">
        <v>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0</v>
      </c>
      <c r="P7" s="625">
        <v>150000</v>
      </c>
      <c r="Q7" s="627">
        <f t="shared" ref="Q7:Q12" si="0">P7*0.015</f>
        <v>2250</v>
      </c>
      <c r="R7" s="625">
        <v>640</v>
      </c>
      <c r="S7" s="625">
        <v>0</v>
      </c>
      <c r="T7" s="625">
        <v>0</v>
      </c>
      <c r="U7" s="624">
        <v>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36999</v>
      </c>
    </row>
    <row r="8" spans="1:89" s="1" customFormat="1" ht="13.2">
      <c r="A8" s="833">
        <f>A7+1</f>
        <v>37000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3173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185000</v>
      </c>
      <c r="Q8" s="627">
        <f t="shared" si="0"/>
        <v>2775</v>
      </c>
      <c r="R8" s="625">
        <v>640</v>
      </c>
      <c r="S8" s="625">
        <v>0</v>
      </c>
      <c r="T8" s="625">
        <v>0</v>
      </c>
      <c r="U8" s="624">
        <v>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37000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37001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185000</v>
      </c>
      <c r="Q9" s="627">
        <f t="shared" si="0"/>
        <v>2775</v>
      </c>
      <c r="R9" s="625">
        <v>640</v>
      </c>
      <c r="S9" s="625">
        <v>0</v>
      </c>
      <c r="T9" s="625">
        <v>0</v>
      </c>
      <c r="U9" s="624">
        <v>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37001</v>
      </c>
      <c r="AN9" s="624"/>
    </row>
    <row r="10" spans="1:89" s="1" customFormat="1" ht="13.2">
      <c r="A10" s="833">
        <f>A9+1</f>
        <v>37002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185000</v>
      </c>
      <c r="Q10" s="627">
        <f t="shared" si="0"/>
        <v>2775</v>
      </c>
      <c r="R10" s="625">
        <v>640</v>
      </c>
      <c r="S10" s="625">
        <v>0</v>
      </c>
      <c r="T10" s="625">
        <v>0</v>
      </c>
      <c r="U10" s="624">
        <v>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37002</v>
      </c>
    </row>
    <row r="11" spans="1:89" s="1" customFormat="1" ht="13.2">
      <c r="A11" s="833">
        <f>A10+1</f>
        <v>37003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185000</v>
      </c>
      <c r="Q11" s="627">
        <f t="shared" si="0"/>
        <v>2775</v>
      </c>
      <c r="R11" s="625">
        <v>640</v>
      </c>
      <c r="S11" s="625">
        <v>0</v>
      </c>
      <c r="T11" s="625">
        <v>0</v>
      </c>
      <c r="U11" s="624">
        <v>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37003</v>
      </c>
    </row>
    <row r="12" spans="1:89" s="1" customFormat="1" ht="13.2">
      <c r="A12" s="833">
        <f>A11+1</f>
        <v>37004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185000</v>
      </c>
      <c r="Q12" s="627">
        <f t="shared" si="0"/>
        <v>2775</v>
      </c>
      <c r="R12" s="625">
        <v>640</v>
      </c>
      <c r="S12" s="625">
        <v>0</v>
      </c>
      <c r="T12" s="625">
        <v>0</v>
      </c>
      <c r="U12" s="624">
        <v>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37004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36999</v>
      </c>
      <c r="B7" s="627">
        <v>0</v>
      </c>
      <c r="C7" s="628">
        <v>30400</v>
      </c>
      <c r="D7" s="627">
        <v>0</v>
      </c>
      <c r="E7" s="627">
        <v>3800</v>
      </c>
      <c r="F7" s="627">
        <v>0</v>
      </c>
      <c r="G7" s="921">
        <v>0</v>
      </c>
      <c r="H7" s="625">
        <v>1000</v>
      </c>
      <c r="I7" s="625">
        <v>10000</v>
      </c>
      <c r="J7" s="625">
        <v>0</v>
      </c>
      <c r="K7" s="924">
        <v>0</v>
      </c>
      <c r="L7" s="626">
        <v>11080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243044</v>
      </c>
      <c r="W7" s="626">
        <v>0</v>
      </c>
      <c r="X7" s="624">
        <v>5000</v>
      </c>
      <c r="Y7" s="924">
        <v>207088</v>
      </c>
      <c r="Z7" s="626">
        <v>41160</v>
      </c>
      <c r="AA7" s="1">
        <v>0</v>
      </c>
      <c r="AB7" s="624">
        <v>366514</v>
      </c>
      <c r="AC7" s="624">
        <v>81846</v>
      </c>
      <c r="AD7" s="624">
        <v>0</v>
      </c>
      <c r="AE7" s="924">
        <v>0</v>
      </c>
      <c r="AF7" s="51">
        <f>Weather_Input!A5</f>
        <v>36999</v>
      </c>
      <c r="AI7" s="624"/>
      <c r="AJ7" s="624"/>
      <c r="AK7" s="624"/>
    </row>
    <row r="8" spans="1:37">
      <c r="A8" s="833">
        <f>A7+1</f>
        <v>37000</v>
      </c>
      <c r="B8" s="627">
        <v>0</v>
      </c>
      <c r="C8" s="628">
        <v>30000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243044</v>
      </c>
      <c r="W8" s="626">
        <v>0</v>
      </c>
      <c r="X8" s="624">
        <v>0</v>
      </c>
      <c r="Y8" s="924">
        <v>144909</v>
      </c>
      <c r="Z8" s="626">
        <v>41160</v>
      </c>
      <c r="AA8" s="1">
        <v>0</v>
      </c>
      <c r="AB8" s="624">
        <v>337217</v>
      </c>
      <c r="AC8" s="624">
        <v>179557</v>
      </c>
      <c r="AD8" s="624">
        <v>0</v>
      </c>
      <c r="AE8" s="924">
        <v>0</v>
      </c>
      <c r="AF8" s="833">
        <f>AF7+1</f>
        <v>37000</v>
      </c>
      <c r="AI8" s="624"/>
      <c r="AJ8" s="624"/>
      <c r="AK8" s="624"/>
    </row>
    <row r="9" spans="1:37" s="624" customFormat="1">
      <c r="A9" s="833">
        <f>A8+1</f>
        <v>37001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243044</v>
      </c>
      <c r="W9" s="626">
        <v>0</v>
      </c>
      <c r="X9" s="624">
        <v>0</v>
      </c>
      <c r="Y9" s="924">
        <v>131973</v>
      </c>
      <c r="Z9" s="626">
        <v>41160</v>
      </c>
      <c r="AA9" s="1">
        <v>0</v>
      </c>
      <c r="AB9" s="624">
        <v>337217</v>
      </c>
      <c r="AC9" s="624">
        <v>179557</v>
      </c>
      <c r="AD9" s="624">
        <v>0</v>
      </c>
      <c r="AE9" s="924">
        <v>0</v>
      </c>
      <c r="AF9" s="833">
        <f>AF8+1</f>
        <v>37001</v>
      </c>
    </row>
    <row r="10" spans="1:37">
      <c r="A10" s="833">
        <f>A9+1</f>
        <v>37002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243044</v>
      </c>
      <c r="W10" s="626">
        <v>0</v>
      </c>
      <c r="X10" s="624">
        <v>0</v>
      </c>
      <c r="Y10" s="924">
        <v>121063</v>
      </c>
      <c r="Z10" s="626">
        <v>41160</v>
      </c>
      <c r="AA10" s="1">
        <v>0</v>
      </c>
      <c r="AB10" s="624">
        <v>337217</v>
      </c>
      <c r="AC10" s="624">
        <v>179557</v>
      </c>
      <c r="AD10" s="624">
        <v>0</v>
      </c>
      <c r="AE10" s="924">
        <v>0</v>
      </c>
      <c r="AF10" s="833">
        <f>AF9+1</f>
        <v>37002</v>
      </c>
      <c r="AI10" s="624"/>
      <c r="AJ10" s="624"/>
      <c r="AK10" s="624"/>
    </row>
    <row r="11" spans="1:37">
      <c r="A11" s="833">
        <f>A10+1</f>
        <v>37003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243044</v>
      </c>
      <c r="W11" s="626">
        <v>0</v>
      </c>
      <c r="X11" s="624">
        <v>0</v>
      </c>
      <c r="Y11" s="924">
        <v>121063</v>
      </c>
      <c r="Z11" s="626">
        <v>41160</v>
      </c>
      <c r="AA11" s="1">
        <v>0</v>
      </c>
      <c r="AB11" s="624">
        <v>337217</v>
      </c>
      <c r="AC11" s="624">
        <v>179557</v>
      </c>
      <c r="AD11" s="624">
        <v>0</v>
      </c>
      <c r="AE11" s="924">
        <v>0</v>
      </c>
      <c r="AF11" s="833">
        <f>AF10+1</f>
        <v>37003</v>
      </c>
    </row>
    <row r="12" spans="1:37">
      <c r="A12" s="833">
        <f>A11+1</f>
        <v>37004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243044</v>
      </c>
      <c r="W12" s="626">
        <v>0</v>
      </c>
      <c r="X12" s="624">
        <v>0</v>
      </c>
      <c r="Y12" s="924">
        <v>121063</v>
      </c>
      <c r="Z12" s="626">
        <v>41160</v>
      </c>
      <c r="AA12" s="1">
        <v>0</v>
      </c>
      <c r="AB12" s="624">
        <v>337217</v>
      </c>
      <c r="AC12" s="624">
        <v>179557</v>
      </c>
      <c r="AD12" s="624">
        <v>0</v>
      </c>
      <c r="AE12" s="924">
        <v>0</v>
      </c>
      <c r="AF12" s="833">
        <f>AF11+1</f>
        <v>37004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4">
        <f>Weather_Input!A5</f>
        <v>36999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36999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37000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37000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37001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37001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37002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37002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37003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37003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37004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37004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36999</v>
      </c>
      <c r="B7" s="627">
        <v>0</v>
      </c>
      <c r="C7" s="628">
        <v>0</v>
      </c>
      <c r="D7" s="627">
        <v>0</v>
      </c>
      <c r="E7" s="627">
        <v>0</v>
      </c>
      <c r="F7" s="627">
        <v>5540</v>
      </c>
      <c r="G7" s="627">
        <f>(R7+S7+C7+PGL_Requirements!Y7+PGL_Requirements!Z7-NSG_Requirements!C7)*0.05</f>
        <v>5498.35</v>
      </c>
      <c r="H7" s="628">
        <v>0</v>
      </c>
      <c r="I7" s="627">
        <v>0</v>
      </c>
      <c r="J7" s="627">
        <v>0</v>
      </c>
      <c r="K7" s="627">
        <v>0</v>
      </c>
      <c r="L7" s="627">
        <v>15000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80464</v>
      </c>
      <c r="S7" s="627">
        <v>29503</v>
      </c>
      <c r="T7" s="627">
        <v>0</v>
      </c>
      <c r="U7" s="627">
        <v>0</v>
      </c>
      <c r="V7" s="833">
        <f>Weather_Input!A5</f>
        <v>36999</v>
      </c>
      <c r="W7" s="624"/>
      <c r="X7" s="624"/>
    </row>
    <row r="8" spans="1:24">
      <c r="A8" s="833">
        <f>A7+1</f>
        <v>37000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4535.3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61203</v>
      </c>
      <c r="S8" s="627">
        <v>29503</v>
      </c>
      <c r="T8" s="627">
        <v>0</v>
      </c>
      <c r="U8" s="627">
        <v>0</v>
      </c>
      <c r="V8" s="833">
        <f>V7+1</f>
        <v>37000</v>
      </c>
      <c r="W8" s="624"/>
      <c r="X8" s="624"/>
    </row>
    <row r="9" spans="1:24">
      <c r="A9" s="833">
        <f>A8+1</f>
        <v>37001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4531.05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61118</v>
      </c>
      <c r="S9" s="627">
        <v>29503</v>
      </c>
      <c r="T9" s="627">
        <v>0</v>
      </c>
      <c r="U9" s="627">
        <v>0</v>
      </c>
      <c r="V9" s="833">
        <f>V8+1</f>
        <v>37001</v>
      </c>
      <c r="W9" s="624"/>
      <c r="X9" s="624"/>
    </row>
    <row r="10" spans="1:24">
      <c r="A10" s="833">
        <f>A9+1</f>
        <v>37002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4531.05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61118</v>
      </c>
      <c r="S10" s="627">
        <v>29503</v>
      </c>
      <c r="T10" s="627">
        <v>0</v>
      </c>
      <c r="U10" s="627">
        <v>0</v>
      </c>
      <c r="V10" s="833">
        <f>V9+1</f>
        <v>37002</v>
      </c>
      <c r="W10" s="624"/>
      <c r="X10" s="624"/>
    </row>
    <row r="11" spans="1:24">
      <c r="A11" s="833">
        <f>A10+1</f>
        <v>37003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4531.05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61118</v>
      </c>
      <c r="S11" s="627">
        <v>29503</v>
      </c>
      <c r="T11" s="627">
        <v>0</v>
      </c>
      <c r="U11" s="627">
        <v>0</v>
      </c>
      <c r="V11" s="833">
        <f>V10+1</f>
        <v>37003</v>
      </c>
      <c r="W11" s="624"/>
      <c r="X11" s="624"/>
    </row>
    <row r="12" spans="1:24">
      <c r="A12" s="833">
        <f>A11+1</f>
        <v>37004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4531.05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61118</v>
      </c>
      <c r="S12" s="627">
        <v>29503</v>
      </c>
      <c r="T12" s="627">
        <v>0</v>
      </c>
      <c r="U12" s="627">
        <v>0</v>
      </c>
      <c r="V12" s="833">
        <f>V11+1</f>
        <v>37004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WED</v>
      </c>
      <c r="I1" s="838">
        <f>D4</f>
        <v>36999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WED</v>
      </c>
      <c r="E3" s="843" t="str">
        <f t="shared" si="0"/>
        <v>THU</v>
      </c>
      <c r="F3" s="843" t="str">
        <f t="shared" si="0"/>
        <v>FRI</v>
      </c>
      <c r="G3" s="843" t="str">
        <f t="shared" si="0"/>
        <v>SAT</v>
      </c>
      <c r="H3" s="843" t="str">
        <f t="shared" si="0"/>
        <v>SUN</v>
      </c>
      <c r="I3" s="844" t="str">
        <f t="shared" si="0"/>
        <v>MON</v>
      </c>
    </row>
    <row r="4" spans="1:256" ht="16.2" thickBot="1">
      <c r="A4" s="845"/>
      <c r="B4" s="846"/>
      <c r="C4" s="846"/>
      <c r="D4" s="466">
        <f>Weather_Input!A5</f>
        <v>36999</v>
      </c>
      <c r="E4" s="466">
        <f>Weather_Input!A6</f>
        <v>37000</v>
      </c>
      <c r="F4" s="466">
        <f>Weather_Input!A7</f>
        <v>37001</v>
      </c>
      <c r="G4" s="466">
        <f>Weather_Input!A8</f>
        <v>37002</v>
      </c>
      <c r="H4" s="466">
        <f>Weather_Input!A9</f>
        <v>37003</v>
      </c>
      <c r="I4" s="467">
        <f>Weather_Input!A10</f>
        <v>37004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54/35/45</v>
      </c>
      <c r="E5" s="468" t="str">
        <f>TEXT(Weather_Input!B6,"0")&amp;"/"&amp;TEXT(Weather_Input!C6,"0") &amp; "/" &amp; TEXT((Weather_Input!B6+Weather_Input!C6)/2,"0")</f>
        <v>67/50/59</v>
      </c>
      <c r="F5" s="468" t="str">
        <f>TEXT(Weather_Input!B7,"0")&amp;"/"&amp;TEXT(Weather_Input!C7,"0") &amp; "/" &amp; TEXT((Weather_Input!B7+Weather_Input!C7)/2,"0")</f>
        <v>76/56/66</v>
      </c>
      <c r="G5" s="468" t="str">
        <f>TEXT(Weather_Input!B8,"0")&amp;"/"&amp;TEXT(Weather_Input!C8,"0") &amp; "/" &amp; TEXT((Weather_Input!B8+Weather_Input!C8)/2,"0")</f>
        <v>80/55/68</v>
      </c>
      <c r="H5" s="468" t="str">
        <f>TEXT(Weather_Input!B9,"0")&amp;"/"&amp;TEXT(Weather_Input!C9,"0") &amp; "/" &amp; TEXT((Weather_Input!B9+Weather_Input!C9)/2,"0")</f>
        <v>70/49/60</v>
      </c>
      <c r="I5" s="469" t="str">
        <f>TEXT(Weather_Input!B10,"0")&amp;"/"&amp;TEXT(Weather_Input!C10,"0") &amp; "/" &amp; TEXT((Weather_Input!B10+Weather_Input!C10)/2,"0")</f>
        <v>70/49/60</v>
      </c>
    </row>
    <row r="6" spans="1:256">
      <c r="A6" s="852" t="s">
        <v>139</v>
      </c>
      <c r="B6" s="840"/>
      <c r="C6" s="840"/>
      <c r="D6" s="468">
        <f>PGL_Deliveries!C5/1000</f>
        <v>605</v>
      </c>
      <c r="E6" s="468">
        <f>PGL_Deliveries!C6/1000</f>
        <v>370</v>
      </c>
      <c r="F6" s="468">
        <f>PGL_Deliveries!C7/1000</f>
        <v>280</v>
      </c>
      <c r="G6" s="468">
        <f>PGL_Deliveries!C8/1000</f>
        <v>240</v>
      </c>
      <c r="H6" s="468">
        <f>PGL_Deliveries!C9/1000</f>
        <v>315</v>
      </c>
      <c r="I6" s="469">
        <f>PGL_Deliveries!C10/1000</f>
        <v>330</v>
      </c>
    </row>
    <row r="7" spans="1:256">
      <c r="A7" s="852" t="s">
        <v>574</v>
      </c>
      <c r="B7" s="840" t="s">
        <v>421</v>
      </c>
      <c r="C7" s="840"/>
      <c r="D7" s="468">
        <f>PGL_Requirements!H7/1000*0.5</f>
        <v>0</v>
      </c>
      <c r="E7" s="468">
        <f>PGL_Requirements!H8/1000*0.5</f>
        <v>1.5865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150</v>
      </c>
      <c r="E13" s="468">
        <f>PGL_Requirements!P8/1000</f>
        <v>185</v>
      </c>
      <c r="F13" s="468">
        <f>PGL_Requirements!P9/1000</f>
        <v>185</v>
      </c>
      <c r="G13" s="468">
        <f>PGL_Requirements!P10/1000</f>
        <v>185</v>
      </c>
      <c r="H13" s="468">
        <f>PGL_Requirements!P11/1000</f>
        <v>185</v>
      </c>
      <c r="I13" s="469">
        <f>PGL_Requirements!P12/1000</f>
        <v>185</v>
      </c>
    </row>
    <row r="14" spans="1:256">
      <c r="A14" s="849"/>
      <c r="B14" s="840"/>
      <c r="C14" s="840" t="s">
        <v>101</v>
      </c>
      <c r="D14" s="468">
        <f>PGL_Requirements!Q7/1000</f>
        <v>2.25</v>
      </c>
      <c r="E14" s="468">
        <f>PGL_Requirements!Q8/1000</f>
        <v>2.7749999999999999</v>
      </c>
      <c r="F14" s="468">
        <f>PGL_Requirements!Q9/1000</f>
        <v>2.7749999999999999</v>
      </c>
      <c r="G14" s="468">
        <f>PGL_Requirements!Q10/1000</f>
        <v>2.7749999999999999</v>
      </c>
      <c r="H14" s="468">
        <f>PGL_Requirements!Q11/1000</f>
        <v>2.7749999999999999</v>
      </c>
      <c r="I14" s="469">
        <f>PGL_Requirements!Q12/1000</f>
        <v>2.7749999999999999</v>
      </c>
    </row>
    <row r="15" spans="1:256">
      <c r="A15" s="849"/>
      <c r="C15" s="840" t="s">
        <v>746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757.89</v>
      </c>
      <c r="E30" s="472">
        <f t="shared" si="1"/>
        <v>560.00149999999996</v>
      </c>
      <c r="F30" s="472">
        <f t="shared" si="1"/>
        <v>468.41499999999996</v>
      </c>
      <c r="G30" s="472">
        <f t="shared" si="1"/>
        <v>428.41499999999996</v>
      </c>
      <c r="H30" s="472">
        <f t="shared" si="1"/>
        <v>503.41499999999996</v>
      </c>
      <c r="I30" s="1175">
        <f t="shared" si="1"/>
        <v>518.41499999999996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11.08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774</v>
      </c>
      <c r="B47" s="840" t="s">
        <v>752</v>
      </c>
      <c r="C47" s="840"/>
      <c r="D47" s="468">
        <f>PGL_Supplies!Y7/1000</f>
        <v>207.08799999999999</v>
      </c>
      <c r="E47" s="468">
        <f>PGL_Supplies!Y8/1000</f>
        <v>144.90899999999999</v>
      </c>
      <c r="F47" s="468">
        <f>PGL_Supplies!Y9/1000</f>
        <v>131.97300000000001</v>
      </c>
      <c r="G47" s="468">
        <f>PGL_Supplies!Y10/1000</f>
        <v>121.063</v>
      </c>
      <c r="H47" s="468">
        <f>PGL_Supplies!Y11/1000</f>
        <v>121.063</v>
      </c>
      <c r="I47" s="469">
        <f>PGL_Supplies!Y12/1000</f>
        <v>121.063</v>
      </c>
    </row>
    <row r="48" spans="1:9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>
      <c r="A50" s="852"/>
      <c r="B50" s="840" t="s">
        <v>421</v>
      </c>
      <c r="C50" s="853"/>
      <c r="D50" s="468">
        <f>PGL_Supplies!AB7/1000</f>
        <v>366.51400000000001</v>
      </c>
      <c r="E50" s="468">
        <f>PGL_Supplies!AB8/1000</f>
        <v>337.21699999999998</v>
      </c>
      <c r="F50" s="468">
        <f>PGL_Supplies!AB9/1000</f>
        <v>337.21699999999998</v>
      </c>
      <c r="G50" s="468">
        <f>PGL_Supplies!AB10/1000</f>
        <v>337.21699999999998</v>
      </c>
      <c r="H50" s="468">
        <f>PGL_Supplies!AB11/1000</f>
        <v>337.21699999999998</v>
      </c>
      <c r="I50" s="469">
        <f>PGL_Supplies!AB12/1000</f>
        <v>337.21699999999998</v>
      </c>
    </row>
    <row r="51" spans="1:10">
      <c r="A51" s="852"/>
      <c r="B51" s="840" t="s">
        <v>141</v>
      </c>
      <c r="C51" s="840"/>
      <c r="D51" s="468">
        <f>PGL_Supplies!AC7/1000</f>
        <v>81.846000000000004</v>
      </c>
      <c r="E51" s="468">
        <f>PGL_Supplies!AC8/1000</f>
        <v>179.55699999999999</v>
      </c>
      <c r="F51" s="468">
        <f>PGL_Supplies!AC9/1000</f>
        <v>179.55699999999999</v>
      </c>
      <c r="G51" s="468">
        <f>PGL_Supplies!AC10/1000</f>
        <v>179.55699999999999</v>
      </c>
      <c r="H51" s="468">
        <f>PGL_Supplies!AC11/1000</f>
        <v>179.55699999999999</v>
      </c>
      <c r="I51" s="469">
        <f>PGL_Supplies!AC12/1000</f>
        <v>179.55699999999999</v>
      </c>
    </row>
    <row r="52" spans="1:10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10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763</v>
      </c>
      <c r="B56" s="840" t="s">
        <v>752</v>
      </c>
      <c r="C56" s="840"/>
      <c r="D56" s="468">
        <f>PGL_Supplies!X7/1000</f>
        <v>5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30.4</v>
      </c>
      <c r="E57" s="468">
        <f>PGL_Supplies!C8/1000</f>
        <v>30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421</v>
      </c>
      <c r="C59" s="840"/>
      <c r="D59" s="468">
        <f>PGL_Supplies!E7/1000</f>
        <v>3.8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757.88799999999992</v>
      </c>
      <c r="E61" s="478">
        <f t="shared" si="2"/>
        <v>743.84299999999996</v>
      </c>
      <c r="F61" s="478">
        <f t="shared" si="2"/>
        <v>700.90700000000004</v>
      </c>
      <c r="G61" s="478">
        <f t="shared" si="2"/>
        <v>689.99699999999996</v>
      </c>
      <c r="H61" s="478">
        <f t="shared" si="2"/>
        <v>689.99699999999996</v>
      </c>
      <c r="I61" s="1177">
        <f t="shared" si="2"/>
        <v>689.99699999999996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183.8415</v>
      </c>
      <c r="F62" s="479">
        <f t="shared" si="3"/>
        <v>232.49200000000008</v>
      </c>
      <c r="G62" s="479">
        <f t="shared" si="3"/>
        <v>261.58199999999999</v>
      </c>
      <c r="H62" s="479">
        <f t="shared" si="3"/>
        <v>186.58199999999999</v>
      </c>
      <c r="I62" s="1178">
        <f t="shared" si="3"/>
        <v>171.58199999999999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2.0000000000663931E-3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2" thickTop="1" thickBot="1">
      <c r="A64" s="1166" t="s">
        <v>778</v>
      </c>
      <c r="B64" s="1167"/>
      <c r="C64" s="1167"/>
      <c r="D64" s="1168">
        <f>PGL_Supplies!V7/1000</f>
        <v>243.04400000000001</v>
      </c>
      <c r="E64" s="1168">
        <f>PGL_Supplies!V8/1000</f>
        <v>243.04400000000001</v>
      </c>
      <c r="F64" s="1168">
        <f>PGL_Supplies!V9/1000</f>
        <v>243.04400000000001</v>
      </c>
      <c r="G64" s="1168">
        <f>PGL_Supplies!V10/1000</f>
        <v>243.04400000000001</v>
      </c>
      <c r="H64" s="1168">
        <f>PGL_Supplies!V11/1000</f>
        <v>243.04400000000001</v>
      </c>
      <c r="I64" s="1169">
        <f>PGL_Supplies!V12/1000</f>
        <v>243.04400000000001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2001-04-18T18:07:30Z</cp:lastPrinted>
  <dcterms:created xsi:type="dcterms:W3CDTF">1997-07-16T16:14:22Z</dcterms:created>
  <dcterms:modified xsi:type="dcterms:W3CDTF">2023-09-10T11:13:38Z</dcterms:modified>
</cp:coreProperties>
</file>