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2196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<sst xmlns="http://schemas.openxmlformats.org/spreadsheetml/2006/main" count="2125" uniqueCount="805">
  <si>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</si>
  <si>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</si>
  <si>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</si>
  <si>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</si>
  <si>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</si>
  <si>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</si>
  <si>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</si>
  <si>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</si>
  <si>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</si>
  <si>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</si>
  <si>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</si>
  <si>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</si>
  <si>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</si>
  <si>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</si>
  <si>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</si>
  <si>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</si>
  <si>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</si>
  <si>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</si>
  <si>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</si>
  <si>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</si>
  <si>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</si>
  <si>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</si>
  <si>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</si>
  <si>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</si>
  <si>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</si>
  <si>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</si>
  <si>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</si>
  <si>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</si>
  <si>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</si>
  <si>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</si>
  <si>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</si>
  <si>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</si>
  <si>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</si>
  <si>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</si>
  <si>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</si>
  <si>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</si>
  <si>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</si>
  <si>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</si>
  <si>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</si>
  <si>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</si>
  <si>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</si>
  <si>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</si>
  <si>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</si>
  <si>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</si>
  <si>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</si>
  <si>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</si>
  <si>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</si>
  <si>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</si>
  <si>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</si>
  <si>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</si>
  <si>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</si>
  <si>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</si>
  <si>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</si>
  <si>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</si>
  <si>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</si>
  <si>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</si>
  <si>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</si>
  <si>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</si>
  <si>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</si>
  <si>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</si>
  <si>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</si>
  <si>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</si>
  <si>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</si>
  <si>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</si>
  <si>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</si>
  <si>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</si>
  <si>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</si>
  <si>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</si>
  <si>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</si>
  <si>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</si>
  <si>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</si>
  <si>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</si>
  <si>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</si>
  <si>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</si>
  <si>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</si>
  <si>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</si>
  <si>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</si>
  <si>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</si>
  <si>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</si>
  <si>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</si>
  <si>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</si>
  <si>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</si>
  <si>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</si>
  <si>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</si>
  <si>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</si>
  <si>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</si>
  <si>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</si>
  <si>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</si>
  <si>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</si>
  <si>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</si>
  <si>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</si>
  <si>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</si>
  <si>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</si>
  <si>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</si>
  <si>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</si>
  <si>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</si>
  <si>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</si>
  <si>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</si>
  <si>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</si>
  <si>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</si>
  <si>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</si>
  <si>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</si>
  <si>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</si>
  <si>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</si>
  <si>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</si>
  <si>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</si>
  <si>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</si>
  <si>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</si>
  <si>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</si>
  <si>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</si>
  <si>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</si>
  <si>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</si>
  <si>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</si>
  <si>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</si>
  <si>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</si>
  <si>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</si>
  <si>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</si>
  <si>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</si>
  <si>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</si>
  <si>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</si>
  <si>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</si>
  <si>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</si>
  <si>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</si>
  <si>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</si>
  <si>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</si>
  <si>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</si>
  <si>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</si>
  <si>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</si>
  <si>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</si>
  <si>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</si>
  <si>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</si>
  <si>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</si>
  <si>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</si>
  <si>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</si>
  <si>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</si>
  <si>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</si>
  <si>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</si>
  <si>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</si>
  <si>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</si>
  <si>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</si>
  <si>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</si>
  <si>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</si>
  <si>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</si>
  <si>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</si>
  <si>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</si>
  <si>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</si>
  <si>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</si>
  <si>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</si>
  <si>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</si>
  <si>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</si>
  <si>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</si>
  <si>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</si>
  <si>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</si>
  <si>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</si>
  <si>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</si>
  <si>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</si>
  <si>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</si>
  <si>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</si>
  <si>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</si>
  <si>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</si>
  <si>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</si>
  <si>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</si>
  <si>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</si>
  <si>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</si>
  <si>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</si>
  <si>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</si>
  <si>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</si>
  <si>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</si>
  <si>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</si>
  <si>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</si>
  <si>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</si>
  <si>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</si>
  <si>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</si>
  <si>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</si>
  <si>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</si>
  <si>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</si>
  <si>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</si>
  <si>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</si>
  <si>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</si>
  <si>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</si>
  <si>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</si>
  <si>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</si>
  <si>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</si>
  <si>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</si>
  <si>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</si>
  <si>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</si>
  <si>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</si>
  <si>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</si>
  <si>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</si>
  <si>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</si>
  <si>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</si>
  <si>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</si>
  <si>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</si>
  <si>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</si>
  <si>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</si>
  <si>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</si>
  <si>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</si>
  <si>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</si>
  <si>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</si>
  <si>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</si>
  <si>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</si>
  <si>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</si>
  <si>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</si>
  <si>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</si>
  <si>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</si>
  <si>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</si>
  <si>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</si>
  <si>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</si>
  <si>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</si>
  <si>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</si>
  <si>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</si>
  <si>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</si>
  <si>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</si>
  <si>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</si>
  <si>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</si>
  <si>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</si>
  <si>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</si>
  <si>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</si>
  <si>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</si>
  <si>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</si>
  <si>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</si>
  <si>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</si>
  <si>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</si>
  <si>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</si>
  <si>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</si>
  <si>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</si>
  <si>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</si>
  <si>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</si>
  <si>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</si>
  <si>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</si>
  <si>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</si>
  <si>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</si>
  <si>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</si>
  <si>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</si>
  <si>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</si>
  <si>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</si>
  <si>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</si>
  <si>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</si>
  <si>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</si>
  <si>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</si>
  <si>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</si>
  <si>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</si>
  <si>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</si>
  <si>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</si>
  <si>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</si>
  <si>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</si>
  <si>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</si>
  <si>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</si>
  <si>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</si>
  <si>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</si>
  <si>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</si>
  <si>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</si>
  <si>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</si>
  <si>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</si>
  <si>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</si>
  <si>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</si>
  <si>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</si>
  <si>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</si>
  <si>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</si>
  <si>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</si>
  <si>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</si>
  <si>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</si>
  <si>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</si>
  <si>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</si>
  <si>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</si>
  <si>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</si>
  <si>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</si>
  <si>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</si>
  <si>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</si>
  <si>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</si>
  <si>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</si>
  <si>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</si>
  <si>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</si>
  <si>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</si>
  <si>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</si>
  <si>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</si>
  <si>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</si>
  <si>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</si>
  <si>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</si>
  <si>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</si>
  <si>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</si>
  <si>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</si>
  <si>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</si>
  <si>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</si>
  <si>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</si>
  <si>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</si>
  <si>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</si>
  <si>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</si>
  <si>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</si>
  <si>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</si>
  <si>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</si>
  <si>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</si>
  <si>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</si>
  <si>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</si>
  <si>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</si>
  <si>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</si>
  <si>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</si>
  <si>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</si>
  <si>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</si>
  <si>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</si>
  <si>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</si>
  <si>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</si>
  <si>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</si>
  <si>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</si>
  <si>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</si>
  <si>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</si>
  <si>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</si>
  <si>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</si>
  <si>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</si>
  <si>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</si>
  <si>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</si>
  <si>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</si>
  <si>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</si>
  <si>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</si>
  <si>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</si>
  <si>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</si>
  <si>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</si>
  <si>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</si>
  <si>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</si>
  <si>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</si>
  <si>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</si>
  <si>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</si>
  <si>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</si>
  <si>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</si>
  <si>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</si>
  <si>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</si>
  <si>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</si>
  <si>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</si>
  <si>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</si>
  <si>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</si>
  <si>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</si>
  <si>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</si>
  <si>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</si>
  <si>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</si>
  <si>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</si>
  <si>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</si>
  <si>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</si>
  <si>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</si>
  <si>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</si>
  <si>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</si>
  <si>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</si>
  <si>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</si>
  <si>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</si>
  <si>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</si>
  <si>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</si>
  <si>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</si>
  <si>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</si>
  <si>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</si>
  <si>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</si>
  <si>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</si>
  <si>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</si>
  <si>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</si>
  <si>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</si>
  <si>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</si>
  <si>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</si>
  <si>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</si>
  <si>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</si>
  <si>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</si>
  <si>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</si>
  <si>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</si>
  <si>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</si>
  <si>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</si>
  <si>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</si>
  <si>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</si>
  <si>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</si>
  <si>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</si>
  <si>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</si>
  <si>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</si>
  <si>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</si>
  <si>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</si>
  <si>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</si>
  <si>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</si>
  <si>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</si>
  <si>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</si>
  <si>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</si>
  <si>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</si>
  <si>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</si>
  <si>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</si>
  <si>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</si>
  <si>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</si>
  <si>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</si>
  <si>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</si>
  <si>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</si>
  <si>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</si>
  <si>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</si>
  <si>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</si>
  <si>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</si>
  <si>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</si>
  <si>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</si>
  <si>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</si>
  <si>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</si>
  <si>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</si>
  <si>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</si>
  <si>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</si>
  <si>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</si>
  <si>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</si>
  <si>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</si>
  <si>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</si>
  <si>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</si>
  <si>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</si>
  <si>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</si>
  <si>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</si>
  <si>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</si>
  <si>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</si>
  <si>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</si>
  <si>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</si>
  <si>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</si>
  <si>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</si>
  <si>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</si>
  <si>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</si>
  <si>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</si>
  <si>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</si>
  <si>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</si>
  <si>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</si>
  <si>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</si>
  <si>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</si>
  <si>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</si>
  <si>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</si>
  <si>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</si>
  <si>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</si>
  <si>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</si>
  <si>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</si>
  <si>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</si>
  <si>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</si>
  <si>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</si>
  <si>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</si>
  <si>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</si>
  <si>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</si>
  <si>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</si>
  <si>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</si>
  <si>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</si>
  <si>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</si>
  <si>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</si>
  <si>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</si>
  <si>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</si>
  <si>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</si>
  <si>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</si>
  <si>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</si>
  <si>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</si>
  <si>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</si>
  <si>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</si>
  <si>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</si>
  <si>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</si>
  <si>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</si>
  <si>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</si>
  <si>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</si>
  <si>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</si>
  <si>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</si>
  <si>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</si>
  <si>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</si>
  <si>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</si>
  <si>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</si>
  <si>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</si>
  <si>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</si>
  <si>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</si>
  <si>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</si>
  <si>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</si>
  <si>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</si>
  <si>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</si>
  <si>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</si>
  <si>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</si>
  <si>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</si>
  <si>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</si>
  <si>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</si>
  <si>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</si>
  <si>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</si>
  <si>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</si>
  <si>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</si>
  <si>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</si>
  <si>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</si>
  <si>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</si>
  <si>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</si>
  <si>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</si>
  <si>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</si>
  <si>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</si>
  <si>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</si>
  <si>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</si>
  <si>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</si>
  <si>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</si>
  <si>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</si>
  <si>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</si>
  <si>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</si>
  <si>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</si>
  <si>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</si>
  <si>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</si>
  <si>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</si>
  <si>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</si>
  <si>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</si>
  <si>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</si>
  <si>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</si>
  <si>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</si>
  <si>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</si>
  <si>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</si>
  <si>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</si>
  <si>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</si>
  <si>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</si>
  <si>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</si>
  <si>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</si>
  <si>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</si>
  <si>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</si>
  <si>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</si>
  <si>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</si>
  <si>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</si>
  <si>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</si>
  <si>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</si>
  <si>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</si>
  <si>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</si>
  <si>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</si>
  <si>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</si>
  <si>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</si>
  <si>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</si>
  <si>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</si>
  <si>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</si>
  <si>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</si>
  <si>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</si>
  <si>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</si>
  <si>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</si>
  <si>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</si>
  <si>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</si>
  <si>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</si>
  <si>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</si>
  <si>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</si>
  <si>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</si>
  <si>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</si>
  <si>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</si>
  <si>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</si>
  <si>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</si>
  <si>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</si>
  <si>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</si>
  <si>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</si>
  <si>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</si>
  <si>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</si>
  <si>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</si>
  <si>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</si>
  <si>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</si>
  <si>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</si>
  <si>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</si>
  <si>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</si>
  <si>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</si>
  <si>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</si>
  <si>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</si>
  <si>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</si>
  <si>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</si>
  <si>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</si>
  <si>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</si>
  <si>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</si>
  <si>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</si>
  <si>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</si>
  <si>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</si>
  <si>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</si>
  <si>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</si>
  <si>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</si>
  <si>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</si>
  <si>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</si>
  <si>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</si>
  <si>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</si>
  <si>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</si>
  <si>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</si>
  <si>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</si>
  <si>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</si>
  <si>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</si>
  <si>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</si>
  <si>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</si>
  <si>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</si>
  <si>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</si>
  <si>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</si>
  <si>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</si>
  <si>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</si>
  <si>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</si>
  <si>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</si>
  <si>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</si>
  <si>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</si>
  <si>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</si>
  <si>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</si>
  <si>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</si>
  <si>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</si>
  <si>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</si>
  <si>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</si>
  <si>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</si>
  <si>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</si>
  <si>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</si>
  <si>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</si>
  <si>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</si>
  <si>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</si>
  <si>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</si>
  <si>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</si>
  <si>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</si>
  <si>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</si>
  <si>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</si>
  <si>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</si>
  <si>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</si>
  <si>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</si>
  <si>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</si>
  <si>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</si>
  <si>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</si>
  <si>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</si>
  <si>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</si>
  <si>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</si>
  <si>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</si>
  <si>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</si>
  <si>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</si>
  <si>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</si>
  <si>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</si>
  <si>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</si>
  <si>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</si>
  <si>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</si>
  <si>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</si>
  <si>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</si>
  <si>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</si>
  <si>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</si>
  <si>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</si>
  <si>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</si>
  <si>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</si>
  <si>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</si>
  <si>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</si>
  <si>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</si>
  <si>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</si>
  <si>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</si>
  <si>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</si>
  <si>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</si>
  <si>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</si>
  <si>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</si>
  <si>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</si>
  <si>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</si>
  <si>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</si>
  <si>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</si>
  <si>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</si>
  <si>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</si>
  <si>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</si>
  <si>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</si>
  <si>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</si>
  <si>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</si>
  <si>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</si>
  <si>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</si>
  <si>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</si>
  <si>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</si>
  <si>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</si>
  <si>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</si>
  <si>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</si>
  <si>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</si>
  <si>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</si>
  <si>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</si>
  <si>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</si>
  <si>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</si>
  <si>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</si>
  <si>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</si>
  <si>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</si>
  <si>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</si>
  <si>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</si>
  <si>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</si>
  <si>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</si>
  <si>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</si>
  <si>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</si>
  <si>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</si>
  <si>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</si>
  <si>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</si>
  <si>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</si>
  <si>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</si>
  <si>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</si>
  <si>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</si>
  <si>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</si>
  <si>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</si>
  <si>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</si>
  <si>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</si>
  <si>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</si>
  <si>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</si>
  <si>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</si>
  <si>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</si>
  <si>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</si>
  <si>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</si>
  <si>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</si>
  <si>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</si>
  <si>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</si>
  <si>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</si>
  <si>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</si>
  <si>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</si>
  <si>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</si>
  <si>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</si>
  <si>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</si>
  <si>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</si>
  <si>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</si>
  <si>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</si>
  <si>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</si>
  <si>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</si>
  <si>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</si>
  <si>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</si>
  <si>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</si>
  <si>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</si>
  <si>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</si>
  <si>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</si>
  <si>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</si>
  <si>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</si>
  <si>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</si>
  <si>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</si>
  <si>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</si>
  <si>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</si>
  <si>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</si>
  <si>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</si>
  <si>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</si>
  <si>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</si>
  <si>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</si>
  <si>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</si>
  <si>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</si>
  <si>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</si>
  <si>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</si>
  <si>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</si>
  <si>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</si>
  <si>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</si>
  <si>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</si>
  <si>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</si>
  <si>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</si>
  <si>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</si>
  <si>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</si>
  <si>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</si>
  <si>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</si>
  <si>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</si>
  <si>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</si>
  <si>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</si>
  <si>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</si>
  <si>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</si>
  <si>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</si>
  <si>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</si>
  <si>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</si>
  <si>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</si>
  <si>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</si>
  <si>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</si>
  <si>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</si>
  <si>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</si>
  <si>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</si>
  <si>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</si>
  <si>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</si>
  <si>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</si>
  <si>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</si>
  <si>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</si>
  <si>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</si>
  <si>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</si>
  <si>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</si>
  <si>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</si>
  <si>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</si>
  <si>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</si>
  <si>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</si>
  <si>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</si>
  <si>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</si>
  <si>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</si>
  <si>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</si>
  <si>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</si>
  <si>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</si>
  <si>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</si>
  <si>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</si>
  <si>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</si>
  <si>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</si>
  <si>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</si>
  <si>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</si>
  <si>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</si>
  <si>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</si>
  <si>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</si>
  <si>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</si>
  <si>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</si>
  <si>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</si>
  <si>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</si>
  <si>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</si>
  <si>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</si>
  <si>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</si>
  <si>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</si>
  <si>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</si>
  <si>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</si>
  <si>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</si>
  <si>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</si>
  <si>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</si>
  <si>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</si>
  <si>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</si>
  <si>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</si>
  <si>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</si>
  <si>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</si>
  <si>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</si>
  <si>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</si>
  <si>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</si>
  <si>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</si>
  <si>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</si>
  <si>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</si>
  <si>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</si>
  <si>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</si>
  <si>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</si>
  <si>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</si>
  <si>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</si>
  <si>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</si>
  <si>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</si>
  <si>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</si>
  <si>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</si>
  <si>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</si>
  <si>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</si>
  <si>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</si>
  <si>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</si>
  <si>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</si>
  <si>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</si>
  <si>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</si>
  <si>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</si>
  <si>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>PARTLY SUNNY AND WARMER. 30% CHANCE OF RAIN IN THE AFTERNOON. TO-</t>
  </si>
  <si>
    <t>NIGHT CLOUDY WITH A 40% CHANCE OF RAIN. LOW IN THE 60S HIGH IN THE LOW 80S.</t>
  </si>
  <si>
    <t xml:space="preserve">  PARTLY  SUNNY  SCATTERED  MORNING  SHOWERS  OR T-STORMS.   WIND S 10 TO </t>
  </si>
  <si>
    <t xml:space="preserve"> 15 MPH. TONIGHT… FAIR  WITH LIGHT NE WIND.  OVERNIGHT LOW UPPER 50S.</t>
  </si>
  <si>
    <t xml:space="preserve">  PARTLY CLOUDY WITH A CHANCE OF T-STORMS. </t>
  </si>
  <si>
    <t xml:space="preserve">  SUNNY</t>
  </si>
  <si>
    <t xml:space="preserve">   PARTLY  CLOUDY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</si>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</sst>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3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3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3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3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3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3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TUE</v>
      </c>
      <c r="I1" s="878">
        <f>D4</f>
        <v>37026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37026</v>
      </c>
      <c r="E4" s="845">
        <f>Weather_Input!A6</f>
        <v>37027</v>
      </c>
      <c r="F4" s="845">
        <f>Weather_Input!A7</f>
        <v>37028</v>
      </c>
      <c r="G4" s="845">
        <f>Weather_Input!A8</f>
        <v>37029</v>
      </c>
      <c r="H4" s="845">
        <f>Weather_Input!A9</f>
        <v>37030</v>
      </c>
      <c r="I4" s="846">
        <f>Weather_Input!A10</f>
        <v>37031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88/70/79</v>
      </c>
      <c r="E5" s="879" t="str">
        <f>TEXT(Weather_Input!B6,"0")&amp;"/"&amp;TEXT(Weather_Input!C6,"0") &amp; "/" &amp; TEXT((Weather_Input!B6+Weather_Input!C6)/2,"0")</f>
        <v>84/57/71</v>
      </c>
      <c r="F5" s="879" t="str">
        <f>TEXT(Weather_Input!B7,"0")&amp;"/"&amp;TEXT(Weather_Input!C7,"0") &amp; "/" &amp; TEXT((Weather_Input!B7+Weather_Input!C7)/2,"0")</f>
        <v>78/55/67</v>
      </c>
      <c r="G5" s="879" t="str">
        <f>TEXT(Weather_Input!B8,"0")&amp;"/"&amp;TEXT(Weather_Input!C8,"0") &amp; "/" &amp; TEXT((Weather_Input!B8+Weather_Input!C8)/2,"0")</f>
        <v>74/53/64</v>
      </c>
      <c r="H5" s="879" t="str">
        <f>TEXT(Weather_Input!B9,"0")&amp;"/"&amp;TEXT(Weather_Input!C9,"0") &amp; "/" &amp; TEXT((Weather_Input!B9+Weather_Input!C9)/2,"0")</f>
        <v>72/50/61</v>
      </c>
      <c r="I5" s="880" t="str">
        <f>TEXT(Weather_Input!B10,"0")&amp;"/"&amp;TEXT(Weather_Input!C10,"0") &amp; "/" &amp; TEXT((Weather_Input!B10+Weather_Input!C10)/2,"0")</f>
        <v>75/56/66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38</v>
      </c>
      <c r="E6" s="848">
        <f ca="1">VLOOKUP(E4,NSG_Sendouts,CELL("Col",NSG_Deliveries!C6),FALSE)/1000</f>
        <v>38</v>
      </c>
      <c r="F6" s="848">
        <f ca="1">VLOOKUP(F4,NSG_Sendouts,CELL("Col",NSG_Deliveries!C7),FALSE)/1000</f>
        <v>38</v>
      </c>
      <c r="G6" s="848">
        <f ca="1">VLOOKUP(G4,NSG_Sendouts,CELL("Col",NSG_Deliveries!C8),FALSE)/1000</f>
        <v>37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36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14.513</v>
      </c>
      <c r="E12" s="848">
        <f>NSG_Requirements!J8/1000</f>
        <v>12.95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1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52.512999999999998</v>
      </c>
      <c r="E19" s="857">
        <f t="shared" ca="1" si="1"/>
        <v>51.95</v>
      </c>
      <c r="F19" s="857">
        <f t="shared" ca="1" si="1"/>
        <v>59</v>
      </c>
      <c r="G19" s="857">
        <f t="shared" ca="1" si="1"/>
        <v>58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1.08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32.216000000000001</v>
      </c>
      <c r="E32" s="848">
        <f>NSG_Supplies!R8/1000</f>
        <v>31.954999999999998</v>
      </c>
      <c r="F32" s="848">
        <f>NSG_Supplies!R9/1000</f>
        <v>31.954999999999998</v>
      </c>
      <c r="G32" s="848">
        <f>NSG_Supplies!R10/1000</f>
        <v>31.954999999999998</v>
      </c>
      <c r="H32" s="848">
        <f>NSG_Supplies!R11/1000</f>
        <v>31.954999999999998</v>
      </c>
      <c r="I32" s="849">
        <f>NSG_Supplies!R12/1000</f>
        <v>31.954999999999998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53.295999999999999</v>
      </c>
      <c r="E37" s="888">
        <f t="shared" si="2"/>
        <v>51.954999999999998</v>
      </c>
      <c r="F37" s="888">
        <f t="shared" si="2"/>
        <v>51.954999999999998</v>
      </c>
      <c r="G37" s="888">
        <f t="shared" si="2"/>
        <v>51.954999999999998</v>
      </c>
      <c r="H37" s="888">
        <f t="shared" si="2"/>
        <v>51.954999999999998</v>
      </c>
      <c r="I37" s="889">
        <f t="shared" si="2"/>
        <v>51.954999999999998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0.78300000000000125</v>
      </c>
      <c r="E38" s="892">
        <f t="shared" ca="1" si="3"/>
        <v>4.9999999999954525E-3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0</v>
      </c>
      <c r="F39" s="874">
        <f t="shared" ca="1" si="4"/>
        <v>7.0450000000000017</v>
      </c>
      <c r="G39" s="874">
        <f t="shared" ca="1" si="4"/>
        <v>6.0450000000000017</v>
      </c>
      <c r="H39" s="874">
        <f t="shared" ca="1" si="4"/>
        <v>6.0450000000000017</v>
      </c>
      <c r="I39" s="875">
        <f t="shared" ca="1" si="4"/>
        <v>5.0450000000000017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21.271000000000001</v>
      </c>
      <c r="E40" s="1167">
        <f>NSG_Supplies!S8/1000</f>
        <v>21.01</v>
      </c>
      <c r="F40" s="1167">
        <f>NSG_Supplies!S9/1000</f>
        <v>21.01</v>
      </c>
      <c r="G40" s="1167">
        <f>NSG_Supplies!S10/1000</f>
        <v>21.01</v>
      </c>
      <c r="H40" s="1167">
        <f>NSG_Supplies!S11/1000</f>
        <v>21.01</v>
      </c>
      <c r="I40" s="1168">
        <f>NSG_Supplies!S12/1000</f>
        <v>21.01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10</v>
      </c>
      <c r="E42" s="899">
        <f>Weather_Input!D6</f>
        <v>10</v>
      </c>
      <c r="F42" s="899">
        <f>Weather_Input!D7</f>
        <v>10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37026</v>
      </c>
      <c r="G1" s="769" t="str">
        <f>CHOOSE(WEEKDAY(F1),"SUN","MON","TUE","WED","THU","FRI","SAT")</f>
        <v>TUE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88</v>
      </c>
      <c r="C4" s="962">
        <f>Weather_Input!C5</f>
        <v>70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0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7" t="s">
        <v>11</v>
      </c>
      <c r="C6" s="965">
        <f>PGL_Deliveries!C5/1000</f>
        <v>228</v>
      </c>
      <c r="D6" s="1157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114.07899999999999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-100.95599999999999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169.73500000000001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17.155000000000001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0">
        <f>PGL_Requirements!G7/1000</f>
        <v>50.396999999999998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149.61600000000001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78.383999999999986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1.5246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79.908599999999993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27.972999999999999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-100.229</v>
      </c>
      <c r="D29" s="984" t="s">
        <v>11</v>
      </c>
      <c r="E29" s="983">
        <f>-PGL_Supplies!AC7/1000</f>
        <v>-100.229</v>
      </c>
      <c r="F29" s="306"/>
      <c r="G29" s="983">
        <f>-PGL_Supplies!AC7/1000</f>
        <v>-100.229</v>
      </c>
      <c r="H29" s="513"/>
      <c r="I29" s="985">
        <f>-PGL_Supplies!AC7/1000</f>
        <v>-100.229</v>
      </c>
      <c r="L29" s="1098"/>
    </row>
    <row r="30" spans="1:12" ht="16.2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7" t="s">
        <v>4</v>
      </c>
      <c r="B33" s="323">
        <f>PGL_Supplies!Y7/1000</f>
        <v>114.07899999999999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8">
        <f>+B33-B32-B31</f>
        <v>114.07899999999999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101.64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1.254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0.56999999999999995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1.5246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-100.95599999999999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171.67500000000001</v>
      </c>
      <c r="I57" s="1004" t="s">
        <v>11</v>
      </c>
    </row>
    <row r="58" spans="1:9" ht="15.6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7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0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178.67500000000001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178.67500000000001</v>
      </c>
    </row>
    <row r="63" spans="1:9" ht="15.6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0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0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169.73500000000001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8.94</v>
      </c>
    </row>
    <row r="67" spans="1:9" ht="16.2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2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TUE</v>
      </c>
      <c r="G1" s="1078">
        <f>Weather_Input!A5</f>
        <v>37026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88</v>
      </c>
      <c r="C4" s="757">
        <f>Weather_Input!C5</f>
        <v>70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38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32.512999999999998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5.4870000000000001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32.512999999999998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-1.08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-32.216000000000001</v>
      </c>
      <c r="D26" s="717"/>
      <c r="E26" s="710">
        <f>-NSG_Supplies!R7/1000</f>
        <v>-32.216000000000001</v>
      </c>
      <c r="F26" s="717"/>
      <c r="G26" s="710">
        <f>-NSG_Supplies!R7/1000</f>
        <v>-32.216000000000001</v>
      </c>
      <c r="H26" s="716"/>
      <c r="I26" s="775">
        <f>-NSG_Supplies!R7/1000</f>
        <v>-32.216000000000001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14.513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5.4870000000000001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37026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88</v>
      </c>
      <c r="C5" s="265">
        <f>Weather_Input!C5</f>
        <v>70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228</v>
      </c>
      <c r="C8" s="273">
        <f>NSG_Deliveries!C5/1000</f>
        <v>38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170.00700000000001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17.155000000000001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12.438999999999993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1.254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50.396999999999998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-150.458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77.542000000000002</v>
      </c>
      <c r="C20" s="294">
        <f>C8+C18+C19</f>
        <v>38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1.5246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79.066600000000008</v>
      </c>
      <c r="C23" s="300">
        <f>C20</f>
        <v>38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0.56999999999999995</v>
      </c>
      <c r="C27" s="309">
        <f>NSG_Requirements!P7/1000</f>
        <v>0</v>
      </c>
      <c r="D27" s="309">
        <f>PGL_Requirements!R7/1000</f>
        <v>0.56999999999999995</v>
      </c>
      <c r="E27" s="309">
        <f>NSG_Requirements!P7/1000</f>
        <v>0</v>
      </c>
      <c r="F27" s="309">
        <f>PGL_Requirements!R7/1000</f>
        <v>0.56999999999999995</v>
      </c>
      <c r="G27" s="309">
        <f>NSG_Requirements!P7/1000</f>
        <v>0</v>
      </c>
      <c r="H27" s="310">
        <f>+B27</f>
        <v>0.56999999999999995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-100.229</v>
      </c>
      <c r="C32" s="314">
        <f>-NSG_Supplies!R7/1000</f>
        <v>-32.216000000000001</v>
      </c>
      <c r="D32" s="314">
        <f>B32</f>
        <v>-100.229</v>
      </c>
      <c r="E32" s="314">
        <f>C32</f>
        <v>-32.216000000000001</v>
      </c>
      <c r="F32" s="314">
        <f>B32</f>
        <v>-100.229</v>
      </c>
      <c r="G32" s="314">
        <f>C32</f>
        <v>-32.216000000000001</v>
      </c>
      <c r="H32" s="319">
        <f>B32</f>
        <v>-100.229</v>
      </c>
      <c r="I32" s="320">
        <f>C32</f>
        <v>-32.216000000000001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-21.271000000000001</v>
      </c>
      <c r="D33" s="314">
        <f>B33</f>
        <v>0</v>
      </c>
      <c r="E33" s="314">
        <f>C33</f>
        <v>-21.271000000000001</v>
      </c>
      <c r="F33" s="314">
        <f>B33</f>
        <v>0</v>
      </c>
      <c r="G33" s="314">
        <f>C33</f>
        <v>-21.271000000000001</v>
      </c>
      <c r="H33" s="319">
        <f>B33</f>
        <v>0</v>
      </c>
      <c r="I33" s="320">
        <f>C33</f>
        <v>-21.271000000000001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27.972999999999999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-1.08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101.64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1.254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1.5246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1.5246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1.254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170.00700000000001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170.00700000000001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114.07899999999999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101.64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12.438999999999993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TUE</v>
      </c>
      <c r="H73" s="405">
        <f>Weather_Input!A5</f>
        <v>37026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27.972999999999999</v>
      </c>
      <c r="D97" s="601"/>
      <c r="E97" s="613">
        <f>+C97</f>
        <v>27.972999999999999</v>
      </c>
      <c r="F97" s="601"/>
      <c r="G97" s="613">
        <f>+C97</f>
        <v>27.972999999999999</v>
      </c>
      <c r="H97" s="601"/>
      <c r="I97" s="284">
        <f>+C97</f>
        <v>27.972999999999999</v>
      </c>
    </row>
    <row r="98" spans="1:9" ht="15">
      <c r="A98" s="492" t="s">
        <v>60</v>
      </c>
      <c r="B98" s="281" t="s">
        <v>11</v>
      </c>
      <c r="C98" s="622">
        <f>B149</f>
        <v>1.254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170.00700000000001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114.07899999999999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50.396999999999998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-21.271000000000001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27.972999999999999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27.972999999999999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170.00700000000001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170.00700000000001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101.64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1.254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1.5246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1.254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114.07899999999999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114.07899999999999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37027.458042245373</v>
      </c>
      <c r="F22" s="163" t="s">
        <v>271</v>
      </c>
      <c r="G22" s="190">
        <f ca="1">NOW()</f>
        <v>37027.458042245373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37026</v>
      </c>
      <c r="C5" s="15"/>
      <c r="D5" s="22" t="s">
        <v>289</v>
      </c>
      <c r="E5" s="23">
        <f>Weather_Input!B5</f>
        <v>88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-7</v>
      </c>
    </row>
    <row r="6" spans="1:109" ht="15">
      <c r="A6" s="18"/>
      <c r="B6" s="21"/>
      <c r="C6" s="15"/>
      <c r="D6" s="22" t="s">
        <v>176</v>
      </c>
      <c r="E6" s="23">
        <f>Weather_Input!C5</f>
        <v>70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-60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79</v>
      </c>
      <c r="F7" s="24" t="s">
        <v>295</v>
      </c>
      <c r="G7" s="25">
        <f>Weather_Input!G5</f>
        <v>6483</v>
      </c>
      <c r="H7" s="26" t="s">
        <v>295</v>
      </c>
      <c r="I7" s="122">
        <f ca="1">G7-(VLOOKUP(B5,DD_Normal_Data,CELL("Col",D4),FALSE))</f>
        <v>196</v>
      </c>
      <c r="J7" s="122"/>
    </row>
    <row r="8" spans="1:109" ht="15">
      <c r="A8" s="18"/>
      <c r="B8" s="20"/>
      <c r="C8" s="15"/>
      <c r="D8" s="32" t="str">
        <f>IF(Weather_Input!I5=""," ",Weather_Input!I5)</f>
        <v>PARTLY SUNNY AND WARMER. 30% CHANCE OF RAIN IN THE AFTERNOON. TO-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NIGHT CLOUDY WITH A 40% CHANCE OF RAIN. LOW IN THE 60S HIGH IN THE LOW 80S.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37027</v>
      </c>
      <c r="C10" s="15"/>
      <c r="D10" s="152" t="s">
        <v>289</v>
      </c>
      <c r="E10" s="23">
        <f>Weather_Input!B6</f>
        <v>84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57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-67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70.5</v>
      </c>
      <c r="F12" s="24" t="s">
        <v>295</v>
      </c>
      <c r="G12" s="25">
        <f>IF(AND(DAY(B10)=1,MONTH(B10)=8),G10,G7+G10)</f>
        <v>6483</v>
      </c>
      <c r="H12" s="26" t="s">
        <v>295</v>
      </c>
      <c r="I12" s="27">
        <f ca="1">G12-(VLOOKUP(B10,DD_Normal_Data,CELL("Col",D9),FALSE))</f>
        <v>189</v>
      </c>
    </row>
    <row r="13" spans="1:109" ht="15">
      <c r="A13" s="18"/>
      <c r="B13" s="21"/>
      <c r="C13" s="15"/>
      <c r="D13" s="32" t="str">
        <f>IF(Weather_Input!I6=""," ",Weather_Input!I6)</f>
        <v xml:space="preserve">  PARTLY  SUNNY  SCATTERED  MORNING  SHOWERS  OR T-STORMS.   WIND S 10 TO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15 MPH. TONIGHT… FAIR  WITH LIGHT NE WIND.  OVERNIGHT LOW UPPER 50S.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37028</v>
      </c>
      <c r="C15" s="15"/>
      <c r="D15" s="22" t="s">
        <v>289</v>
      </c>
      <c r="E15" s="23">
        <f>Weather_Input!B7</f>
        <v>78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76</v>
      </c>
      <c r="H16" s="30" t="s">
        <v>293</v>
      </c>
      <c r="I16" s="27">
        <f ca="1">G16-(VLOOKUP(B15,DD_Normal_Data,CELL("Col",C17),FALSE))</f>
        <v>-74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66.5</v>
      </c>
      <c r="F17" s="24" t="s">
        <v>295</v>
      </c>
      <c r="G17" s="25">
        <f>IF(AND(DAY(B15)=1,MONTH(B15)=8),G15,G12+G15)</f>
        <v>6483</v>
      </c>
      <c r="H17" s="26" t="s">
        <v>295</v>
      </c>
      <c r="I17" s="27">
        <f ca="1">G17-(VLOOKUP(B15,DD_Normal_Data,CELL("Col",D14),FALSE))</f>
        <v>182</v>
      </c>
    </row>
    <row r="18" spans="1:109" ht="15">
      <c r="A18" s="18"/>
      <c r="B18" s="20"/>
      <c r="C18" s="15"/>
      <c r="D18" s="32" t="str">
        <f>IF(Weather_Input!I7=""," ",Weather_Input!I7)</f>
        <v xml:space="preserve">  PARTLY CLOUDY WITH A CHANCE OF T-STORMS.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37029</v>
      </c>
      <c r="C20" s="15"/>
      <c r="D20" s="22" t="s">
        <v>289</v>
      </c>
      <c r="E20" s="23">
        <f>Weather_Input!B8</f>
        <v>74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53</v>
      </c>
      <c r="F21" s="24" t="s">
        <v>292</v>
      </c>
      <c r="G21" s="25">
        <f>IF(DAY(B20)=1,G20,G16+G20)</f>
        <v>77.5</v>
      </c>
      <c r="H21" s="30" t="s">
        <v>293</v>
      </c>
      <c r="I21" s="27">
        <f ca="1">G21-(VLOOKUP(B20,DD_Normal_Data,CELL("Col",C22),FALSE))</f>
        <v>-79.5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6484.5</v>
      </c>
      <c r="H22" s="26" t="s">
        <v>295</v>
      </c>
      <c r="I22" s="27">
        <f ca="1">G22-(VLOOKUP(B20,DD_Normal_Data,CELL("Col",D19),FALSE))</f>
        <v>176.5</v>
      </c>
    </row>
    <row r="23" spans="1:109" ht="15">
      <c r="A23" s="18"/>
      <c r="B23" s="21"/>
      <c r="C23" s="15"/>
      <c r="D23" s="32" t="str">
        <f>IF(Weather_Input!I8=""," ",Weather_Input!I8)</f>
        <v xml:space="preserve"> 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37030</v>
      </c>
      <c r="C25" s="15"/>
      <c r="D25" s="22" t="s">
        <v>289</v>
      </c>
      <c r="E25" s="23">
        <f>Weather_Input!B9</f>
        <v>72</v>
      </c>
      <c r="F25" s="24" t="s">
        <v>290</v>
      </c>
      <c r="G25" s="25">
        <f>IF(E27&lt;65,65-(Weather_Input!B9+Weather_Input!C9)/2,0)</f>
        <v>4</v>
      </c>
      <c r="H25" s="26" t="s">
        <v>291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50</v>
      </c>
      <c r="F26" s="24" t="s">
        <v>292</v>
      </c>
      <c r="G26" s="25">
        <f>IF(DAY(B25)=1,G25,G21+G25)</f>
        <v>81.5</v>
      </c>
      <c r="H26" s="30" t="s">
        <v>293</v>
      </c>
      <c r="I26" s="27">
        <f ca="1">G26-(VLOOKUP(B25,DD_Normal_Data,CELL("Col",C27),FALSE))</f>
        <v>-82.5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61</v>
      </c>
      <c r="F27" s="24" t="s">
        <v>295</v>
      </c>
      <c r="G27" s="25">
        <f>IF(AND(DAY(B25)=1,MONTH(B25)=8),G25,G22+G25)</f>
        <v>6488.5</v>
      </c>
      <c r="H27" s="26" t="s">
        <v>295</v>
      </c>
      <c r="I27" s="27">
        <f ca="1">G27-(VLOOKUP(B25,DD_Normal_Data,CELL("Col",D24),FALSE))</f>
        <v>173.5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37031</v>
      </c>
      <c r="C30" s="15"/>
      <c r="D30" s="22" t="s">
        <v>289</v>
      </c>
      <c r="E30" s="23">
        <f>Weather_Input!B10</f>
        <v>75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-7</v>
      </c>
    </row>
    <row r="31" spans="1:109" ht="15">
      <c r="A31" s="15"/>
      <c r="B31" s="15"/>
      <c r="C31" s="15"/>
      <c r="D31" s="22" t="s">
        <v>176</v>
      </c>
      <c r="E31" s="23">
        <f>Weather_Input!C10</f>
        <v>56</v>
      </c>
      <c r="F31" s="24" t="s">
        <v>292</v>
      </c>
      <c r="G31" s="25">
        <f>IF(DAY(B30)=1,G30,G26+G30)</f>
        <v>81.5</v>
      </c>
      <c r="H31" s="30" t="s">
        <v>293</v>
      </c>
      <c r="I31" s="27">
        <f ca="1">G31-(VLOOKUP(B30,DD_Normal_Data,CELL("Col",C32),FALSE))</f>
        <v>-89.5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65.5</v>
      </c>
      <c r="F32" s="24" t="s">
        <v>295</v>
      </c>
      <c r="G32" s="25">
        <f>IF(AND(DAY(B30)=1,MONTH(B30)=8),G30,G27+G30)</f>
        <v>6488.5</v>
      </c>
      <c r="H32" s="26" t="s">
        <v>295</v>
      </c>
      <c r="I32" s="27">
        <f ca="1">G32-(VLOOKUP(B30,DD_Normal_Data,CELL("Col",D29),FALSE))</f>
        <v>166.5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37026</v>
      </c>
      <c r="C36" s="91">
        <f>B10</f>
        <v>37027</v>
      </c>
      <c r="D36" s="91">
        <f>B15</f>
        <v>37028</v>
      </c>
      <c r="E36" s="91">
        <f xml:space="preserve">       B20</f>
        <v>37029</v>
      </c>
      <c r="F36" s="91">
        <f>B25</f>
        <v>37030</v>
      </c>
      <c r="G36" s="91">
        <f>B30</f>
        <v>37031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228</v>
      </c>
      <c r="C37" s="41">
        <f ca="1">(VLOOKUP(C36,PGL_Sendouts,(CELL("COL",PGL_Deliveries!C7))))/1000</f>
        <v>225</v>
      </c>
      <c r="D37" s="41">
        <f ca="1">(VLOOKUP(D36,PGL_Sendouts,(CELL("COL",PGL_Deliveries!C8))))/1000</f>
        <v>230</v>
      </c>
      <c r="E37" s="41">
        <f ca="1">(VLOOKUP(E36,PGL_Sendouts,(CELL("COL",PGL_Deliveries!C9))))/1000</f>
        <v>225</v>
      </c>
      <c r="F37" s="41">
        <f ca="1">(VLOOKUP(F36,PGL_Sendouts,(CELL("COL",PGL_Deliveries!C10))))/1000</f>
        <v>220</v>
      </c>
      <c r="G37" s="41">
        <f ca="1">(VLOOKUP(G36,PGL_Sendouts,(CELL("COL",PGL_Deliveries!C10))))/1000</f>
        <v>220</v>
      </c>
      <c r="H37" s="14"/>
      <c r="I37" s="15"/>
    </row>
    <row r="38" spans="1:9" ht="15">
      <c r="A38" s="15" t="s">
        <v>300</v>
      </c>
      <c r="B38" s="41">
        <f>PGL_6_Day_Report!D30</f>
        <v>459.24459999999999</v>
      </c>
      <c r="C38" s="41">
        <f>PGL_6_Day_Report!E30</f>
        <v>448.00699999999995</v>
      </c>
      <c r="D38" s="41">
        <f>PGL_6_Day_Report!F30</f>
        <v>443.18</v>
      </c>
      <c r="E38" s="41">
        <f>PGL_6_Day_Report!G30</f>
        <v>418.08</v>
      </c>
      <c r="F38" s="41">
        <f>PGL_6_Day_Report!H30</f>
        <v>413.08</v>
      </c>
      <c r="G38" s="41">
        <f>PGL_6_Day_Report!I30</f>
        <v>413.08</v>
      </c>
      <c r="H38" s="14"/>
      <c r="I38" s="15"/>
    </row>
    <row r="39" spans="1:9" ht="15">
      <c r="A39" s="42" t="s">
        <v>109</v>
      </c>
      <c r="B39" s="41">
        <f>SUM(PGL_Supplies!Z7:AE7)/1000</f>
        <v>312.10399999999998</v>
      </c>
      <c r="C39" s="41">
        <f>SUM(PGL_Supplies!Z8:AE8)/1000</f>
        <v>299.33499999999998</v>
      </c>
      <c r="D39" s="41">
        <f>SUM(PGL_Supplies!Z9:AE9)/1000</f>
        <v>299.33499999999998</v>
      </c>
      <c r="E39" s="41">
        <f>SUM(PGL_Supplies!Z10:AE10)/1000</f>
        <v>299.33499999999998</v>
      </c>
      <c r="F39" s="41">
        <f>SUM(PGL_Supplies!Z11:AE11)/1000</f>
        <v>299.33499999999998</v>
      </c>
      <c r="G39" s="41">
        <f>SUM(PGL_Supplies!Z12:AE12)/1000</f>
        <v>299.33499999999998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40.770000000000003</v>
      </c>
      <c r="C41" s="41">
        <f>SUM(PGL_Requirements!R7:U7)/1000</f>
        <v>40.770000000000003</v>
      </c>
      <c r="D41" s="41">
        <f>SUM(PGL_Requirements!R7:U7)/1000</f>
        <v>40.770000000000003</v>
      </c>
      <c r="E41" s="41">
        <f>SUM(PGL_Requirements!R7:U7)/1000</f>
        <v>40.770000000000003</v>
      </c>
      <c r="F41" s="41">
        <f>SUM(PGL_Requirements!R7:U7)/1000</f>
        <v>40.770000000000003</v>
      </c>
      <c r="G41" s="41">
        <f>SUM(PGL_Requirements!R7:U7)/1000</f>
        <v>40.770000000000003</v>
      </c>
      <c r="H41" s="14"/>
      <c r="I41" s="15"/>
    </row>
    <row r="42" spans="1:9" ht="15">
      <c r="A42" s="15" t="s">
        <v>132</v>
      </c>
      <c r="B42" s="41">
        <f>PGL_Supplies!V7/1000</f>
        <v>170.00700000000001</v>
      </c>
      <c r="C42" s="41">
        <f>PGL_Supplies!V8/1000</f>
        <v>169.851</v>
      </c>
      <c r="D42" s="41">
        <f>PGL_Supplies!V9/1000</f>
        <v>169.851</v>
      </c>
      <c r="E42" s="41">
        <f>PGL_Supplies!V10/1000</f>
        <v>169.851</v>
      </c>
      <c r="F42" s="41">
        <f>PGL_Supplies!V11/1000</f>
        <v>169.851</v>
      </c>
      <c r="G42" s="41">
        <f>PGL_Supplies!V12/1000</f>
        <v>169.851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37026</v>
      </c>
      <c r="C44" s="91">
        <f t="shared" si="0"/>
        <v>37027</v>
      </c>
      <c r="D44" s="91">
        <f t="shared" si="0"/>
        <v>37028</v>
      </c>
      <c r="E44" s="91">
        <f t="shared" si="0"/>
        <v>37029</v>
      </c>
      <c r="F44" s="91">
        <f t="shared" si="0"/>
        <v>37030</v>
      </c>
      <c r="G44" s="91">
        <f t="shared" si="0"/>
        <v>37031</v>
      </c>
      <c r="H44" s="14"/>
      <c r="I44" s="15"/>
    </row>
    <row r="45" spans="1:9" ht="15">
      <c r="A45" s="15" t="s">
        <v>56</v>
      </c>
      <c r="B45" s="41">
        <f ca="1">NSG_6_Day_Report!D6</f>
        <v>38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37</v>
      </c>
      <c r="F45" s="41">
        <f ca="1">NSG_6_Day_Report!H6</f>
        <v>37</v>
      </c>
      <c r="G45" s="41">
        <f ca="1">NSG_6_Day_Report!I6</f>
        <v>36</v>
      </c>
      <c r="H45" s="14"/>
      <c r="I45" s="15"/>
    </row>
    <row r="46" spans="1:9" ht="15">
      <c r="A46" s="42" t="s">
        <v>300</v>
      </c>
      <c r="B46" s="41">
        <f ca="1">NSG_6_Day_Report!D19</f>
        <v>52.512999999999998</v>
      </c>
      <c r="C46" s="41">
        <f ca="1">NSG_6_Day_Report!E19</f>
        <v>51.95</v>
      </c>
      <c r="D46" s="41">
        <f ca="1">NSG_6_Day_Report!F19</f>
        <v>59</v>
      </c>
      <c r="E46" s="41">
        <f ca="1">NSG_6_Day_Report!G19</f>
        <v>58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52.216000000000001</v>
      </c>
      <c r="C47" s="41">
        <f>SUM(NSG_Supplies!P8:R8)/1000</f>
        <v>51.954999999999998</v>
      </c>
      <c r="D47" s="41">
        <f>SUM(NSG_Supplies!P9:R9)/1000</f>
        <v>51.954999999999998</v>
      </c>
      <c r="E47" s="41">
        <f>SUM(NSG_Supplies!P10:R10)/1000</f>
        <v>51.954999999999998</v>
      </c>
      <c r="F47" s="41">
        <f>SUM(NSG_Supplies!P11:R11)/1000</f>
        <v>51.954999999999998</v>
      </c>
      <c r="G47" s="41">
        <f>SUM(NSG_Supplies!P12:R12)/1000</f>
        <v>51.954999999999998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21.271000000000001</v>
      </c>
      <c r="C50" s="41">
        <f>NSG_Supplies!S8/1000</f>
        <v>21.01</v>
      </c>
      <c r="D50" s="41">
        <f>NSG_Supplies!S9/1000</f>
        <v>21.01</v>
      </c>
      <c r="E50" s="41">
        <f>NSG_Supplies!S10/1000</f>
        <v>21.01</v>
      </c>
      <c r="F50" s="41">
        <f>NSG_Supplies!S11/1000</f>
        <v>21.01</v>
      </c>
      <c r="G50" s="41">
        <f>NSG_Supplies!S12/1000</f>
        <v>21.01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37026</v>
      </c>
      <c r="C52" s="91">
        <f t="shared" si="1"/>
        <v>37027</v>
      </c>
      <c r="D52" s="91">
        <f t="shared" si="1"/>
        <v>37028</v>
      </c>
      <c r="E52" s="91">
        <f t="shared" si="1"/>
        <v>37029</v>
      </c>
      <c r="F52" s="91">
        <f t="shared" si="1"/>
        <v>37030</v>
      </c>
      <c r="G52" s="91">
        <f t="shared" si="1"/>
        <v>37031</v>
      </c>
      <c r="H52" s="14"/>
      <c r="I52" s="15"/>
    </row>
    <row r="53" spans="1:9" ht="15">
      <c r="A53" s="94" t="s">
        <v>304</v>
      </c>
      <c r="B53" s="41">
        <f>PGL_Requirements!P7/1000</f>
        <v>101.64</v>
      </c>
      <c r="C53" s="41">
        <f>PGL_Requirements!P8/1000</f>
        <v>105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310</v>
      </c>
    </row>
    <row r="4" spans="1:8">
      <c r="A4" s="99"/>
      <c r="B4" s="1135" t="str">
        <f>Six_Day_Summary!A10</f>
        <v>Wednesday</v>
      </c>
      <c r="C4" s="1136" t="str">
        <f>Six_Day_Summary!A15</f>
        <v>Thursday</v>
      </c>
      <c r="D4" s="1136" t="str">
        <f>Six_Day_Summary!A20</f>
        <v>Friday</v>
      </c>
      <c r="E4" s="1136" t="str">
        <f>Six_Day_Summary!A25</f>
        <v>Saturday</v>
      </c>
      <c r="F4" s="1137" t="str">
        <f>Six_Day_Summary!A30</f>
        <v>Sunday</v>
      </c>
      <c r="G4" s="100"/>
    </row>
    <row r="5" spans="1:8">
      <c r="A5" s="103" t="s">
        <v>311</v>
      </c>
      <c r="B5" s="1138">
        <f>Weather_Input!A6</f>
        <v>37027</v>
      </c>
      <c r="C5" s="1139">
        <f>Weather_Input!A7</f>
        <v>37028</v>
      </c>
      <c r="D5" s="1139">
        <f>Weather_Input!A8</f>
        <v>37029</v>
      </c>
      <c r="E5" s="1139">
        <f>Weather_Input!A9</f>
        <v>37030</v>
      </c>
      <c r="F5" s="1140">
        <f>Weather_Input!A10</f>
        <v>37031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75.582999999999998</v>
      </c>
      <c r="C6" s="1141">
        <f>PGL_Supplies!AC9/1000+PGL_Supplies!L9/1000-PGL_Requirements!O9/1000+C15-PGL_Requirements!T9/1000</f>
        <v>75.582999999999998</v>
      </c>
      <c r="D6" s="1141">
        <f>PGL_Supplies!AC10/1000+PGL_Supplies!L10/1000-PGL_Requirements!O10/1000+D15-PGL_Requirements!T10/1000</f>
        <v>75.582999999999998</v>
      </c>
      <c r="E6" s="1141">
        <f>PGL_Supplies!AC11/1000+PGL_Supplies!L11/1000-PGL_Requirements!O11/1000+E15-PGL_Requirements!T11/1000</f>
        <v>75.582999999999998</v>
      </c>
      <c r="F6" s="1142">
        <f>PGL_Supplies!AC12/1000+PGL_Supplies!L12/1000-PGL_Requirements!O12/1000+F15-PGL_Requirements!T12/1000</f>
        <v>75.582999999999998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Wednesday</v>
      </c>
      <c r="C21" s="1151" t="str">
        <f t="shared" si="0"/>
        <v>Thursday</v>
      </c>
      <c r="D21" s="1151" t="str">
        <f t="shared" si="0"/>
        <v>Friday</v>
      </c>
      <c r="E21" s="1151" t="str">
        <f t="shared" si="0"/>
        <v>Saturday</v>
      </c>
      <c r="F21" s="1152" t="str">
        <f t="shared" si="0"/>
        <v>Sunday</v>
      </c>
      <c r="G21" s="100"/>
    </row>
    <row r="22" spans="1:7">
      <c r="A22" s="107" t="s">
        <v>311</v>
      </c>
      <c r="B22" s="1153">
        <f t="shared" si="0"/>
        <v>37027</v>
      </c>
      <c r="C22" s="1153">
        <f t="shared" si="0"/>
        <v>37028</v>
      </c>
      <c r="D22" s="1153">
        <f t="shared" si="0"/>
        <v>37029</v>
      </c>
      <c r="E22" s="1153">
        <f t="shared" si="0"/>
        <v>37030</v>
      </c>
      <c r="F22" s="1154">
        <f t="shared" si="0"/>
        <v>37031</v>
      </c>
      <c r="G22" s="100"/>
    </row>
    <row r="23" spans="1:7">
      <c r="A23" s="100" t="s">
        <v>312</v>
      </c>
      <c r="B23" s="1147">
        <f>NSG_Supplies!R8/1000+NSG_Supplies!F8/1000-NSG_Requirements!H8/1000</f>
        <v>30.954999999999998</v>
      </c>
      <c r="C23" s="1147">
        <f>NSG_Supplies!R9/1000+NSG_Supplies!F9/1000-NSG_Requirements!H9/1000</f>
        <v>30.954999999999998</v>
      </c>
      <c r="D23" s="1147">
        <f>NSG_Supplies!R10/1000+NSG_Supplies!F10/1000-NSG_Requirements!H10/1000</f>
        <v>30.954999999999998</v>
      </c>
      <c r="E23" s="1147">
        <f>NSG_Supplies!R12/1000+NSG_Supplies!F11/1000-NSG_Requirements!H11/1000</f>
        <v>30.954999999999998</v>
      </c>
      <c r="F23" s="1142">
        <f>NSG_Supplies!R12/1000+NSG_Supplies!F12/1000-NSG_Requirements!H12/1000</f>
        <v>30.954999999999998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37027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12.95</v>
      </c>
      <c r="E4" s="801"/>
      <c r="F4" s="171" t="s">
        <v>546</v>
      </c>
      <c r="G4" s="60"/>
      <c r="H4" s="153">
        <f>PGL_Requirements!P8/1000</f>
        <v>105</v>
      </c>
      <c r="I4" s="175">
        <f>AVERAGE(H4/1.025)</f>
        <v>102.43902439024392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7.0500000000000007</v>
      </c>
      <c r="D5" s="437"/>
      <c r="E5" s="439">
        <f>AVERAGE(C5/24)</f>
        <v>0.29375000000000001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4.375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183.55199999999999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120.68300000000001</v>
      </c>
      <c r="D11" s="788"/>
      <c r="E11" s="1124"/>
      <c r="F11" s="434" t="s">
        <v>378</v>
      </c>
      <c r="G11" s="446">
        <f>G8+G10</f>
        <v>187.05199999999999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120.68300000000001</v>
      </c>
      <c r="D14" s="437"/>
      <c r="E14" s="439">
        <f>AVERAGE(C14/24)</f>
        <v>5.0284583333333339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119.44999999999999</v>
      </c>
      <c r="H15" s="437" t="s">
        <v>11</v>
      </c>
      <c r="I15" s="439">
        <f>AVERAGE(G15/24)</f>
        <v>4.9770833333333329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67.602000000000004</v>
      </c>
      <c r="H16" s="447" t="s">
        <v>11</v>
      </c>
      <c r="I16" s="439">
        <f>AVERAGE(G16/24)</f>
        <v>2.8167500000000003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37027</v>
      </c>
      <c r="I1" s="930"/>
      <c r="J1" s="932"/>
      <c r="K1" s="932"/>
    </row>
    <row r="2" spans="1:22" ht="16.5" customHeight="1">
      <c r="A2" s="950" t="s">
        <v>680</v>
      </c>
      <c r="C2" s="1042">
        <v>409</v>
      </c>
      <c r="F2" s="1043">
        <v>412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7.0500000000000007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38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4.9999999999954525E-3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120.68300000000001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413</v>
      </c>
      <c r="F15" s="1048">
        <v>365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554</v>
      </c>
      <c r="D18" s="1050"/>
      <c r="E18" s="1050"/>
      <c r="F18" s="1043">
        <v>802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30.954999999999998</v>
      </c>
      <c r="N19" s="1053"/>
    </row>
    <row r="20" spans="1:17" ht="17.25" customHeight="1">
      <c r="A20" s="952">
        <f>Billy_Sheet!G15</f>
        <v>119.44999999999999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8.94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225</v>
      </c>
      <c r="L26" s="930" t="s">
        <v>684</v>
      </c>
      <c r="M26" s="952">
        <f>NSG_Deliveries!C6/1000</f>
        <v>38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83.530999999999977</v>
      </c>
      <c r="L28" s="933" t="s">
        <v>735</v>
      </c>
      <c r="M28" s="958">
        <f>SUM(J2+K17+K19+H11+H9-M26)</f>
        <v>12.954999999999998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37026</v>
      </c>
      <c r="G29" s="952">
        <f>PGL_Requirements!H7/1000</f>
        <v>0</v>
      </c>
      <c r="H29" s="931"/>
      <c r="J29" s="933" t="s">
        <v>688</v>
      </c>
      <c r="K29" s="952">
        <f>PGL_Supplies!AC8/1000+PGL_Supplies!L8/1000-PGL_Requirements!O8/1000</f>
        <v>75.582999999999998</v>
      </c>
    </row>
    <row r="30" spans="1:17" ht="10.5" customHeight="1">
      <c r="A30" s="935"/>
      <c r="B30" s="952"/>
      <c r="C30" s="933"/>
      <c r="D30" s="952"/>
      <c r="F30" s="1107">
        <f>PGL_Requirements!A8</f>
        <v>37027</v>
      </c>
      <c r="G30" s="952">
        <f>PGL_Requirements!H8/1000</f>
        <v>67.602000000000004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-65.886000000000024</v>
      </c>
    </row>
    <row r="32" spans="1:17">
      <c r="A32" s="952">
        <f>PGL_Supplies!H8/1000</f>
        <v>1</v>
      </c>
      <c r="G32" s="952">
        <f>PGL_Requirements!P8/1000</f>
        <v>105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559</v>
      </c>
      <c r="F38" s="1048">
        <v>754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256.13299999999998</v>
      </c>
      <c r="B40" s="946"/>
      <c r="C40" s="945"/>
      <c r="D40" s="946"/>
      <c r="E40" s="946"/>
      <c r="F40" s="1058"/>
      <c r="G40" s="1058">
        <f>SUM(G30:G35)</f>
        <v>172.602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83.530999999999977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388.5</v>
      </c>
      <c r="E45" s="1063"/>
      <c r="F45" s="1064">
        <v>6.7000000000000004E-2</v>
      </c>
      <c r="G45" s="1065">
        <f>(C45-D45)*F45</f>
        <v>1.4405000000000001</v>
      </c>
      <c r="H45" s="1065">
        <f>(D45-B45)*F45</f>
        <v>9.2795000000000005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411</v>
      </c>
      <c r="E47" s="1063"/>
      <c r="F47" s="1064">
        <v>0.14099999999999999</v>
      </c>
      <c r="G47" s="1065">
        <f>(C47-D47)*F47</f>
        <v>-0.14099999999999999</v>
      </c>
      <c r="H47" s="1065">
        <f>(D47-B47)*F47</f>
        <v>22.700999999999997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556.5</v>
      </c>
      <c r="E48" s="1063"/>
      <c r="F48" s="1064">
        <v>0.161</v>
      </c>
      <c r="G48" s="1065">
        <f>(C48-D48)*F48</f>
        <v>31.153500000000001</v>
      </c>
      <c r="H48" s="1065">
        <f>(D48-B48)*F48</f>
        <v>43.711500000000001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32.453000000000003</v>
      </c>
      <c r="H49" s="1065">
        <f>SUM(H45:H48)</f>
        <v>75.692000000000007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37026</v>
      </c>
      <c r="B5" s="11">
        <v>88</v>
      </c>
      <c r="C5" s="49">
        <v>70</v>
      </c>
      <c r="D5" s="49">
        <v>10</v>
      </c>
      <c r="E5" s="11">
        <v>79</v>
      </c>
      <c r="F5" s="11">
        <v>76</v>
      </c>
      <c r="G5" s="11">
        <v>6483</v>
      </c>
      <c r="H5" s="11">
        <v>0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>PARTLY SUNNY AND WARMER. 30% CHANCE OF RAIN IN THE AFTERNOON. TO- PARTLY SUNNY AND WARMER. 30% CHANCE OF RAIN IN THE AFTERNOON. TO-</v>
      </c>
      <c r="AE5" s="15">
        <v>1</v>
      </c>
      <c r="AH5" s="15" t="s">
        <v>34</v>
      </c>
    </row>
    <row r="6" spans="1:34" ht="16.5" customHeight="1">
      <c r="A6" s="88">
        <f>A5+1</f>
        <v>37027</v>
      </c>
      <c r="B6" s="11">
        <v>84</v>
      </c>
      <c r="C6" s="49">
        <v>57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5</v>
      </c>
      <c r="L6" s="11" t="s">
        <v>626</v>
      </c>
      <c r="N6" s="15" t="str">
        <f>I6&amp;" "&amp;J6</f>
        <v xml:space="preserve">  PARTLY  SUNNY  SCATTERED  MORNING  SHOWERS  OR T-STORMS.   WIND S 10 TO   15 MPH. TONIGHT… FAIR  WITH LIGHT NE WIND.  OVERNIGHT LOW UPPER 50S.</v>
      </c>
      <c r="AE6" s="15">
        <v>1</v>
      </c>
      <c r="AH6" s="15" t="s">
        <v>35</v>
      </c>
    </row>
    <row r="7" spans="1:34" ht="16.5" customHeight="1">
      <c r="A7" s="88">
        <f>A6+1</f>
        <v>37028</v>
      </c>
      <c r="B7" s="11">
        <v>78</v>
      </c>
      <c r="C7" s="49">
        <v>55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  PARTLY CLOUDY WITH A CHANCE OF T-STORMS.   </v>
      </c>
    </row>
    <row r="8" spans="1:34" ht="16.5" customHeight="1">
      <c r="A8" s="88">
        <f>A7+1</f>
        <v>37029</v>
      </c>
      <c r="B8" s="11">
        <v>74</v>
      </c>
      <c r="C8" s="49">
        <v>53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09" t="s">
        <v>802</v>
      </c>
      <c r="J8" s="909"/>
      <c r="K8" s="11">
        <v>1</v>
      </c>
      <c r="L8" s="11"/>
      <c r="N8" s="15" t="str">
        <f>I8&amp;" "&amp;J8</f>
        <v xml:space="preserve">  SUNNY </v>
      </c>
    </row>
    <row r="9" spans="1:34" ht="16.5" customHeight="1">
      <c r="A9" s="88">
        <f>A8+1</f>
        <v>37030</v>
      </c>
      <c r="B9" s="11">
        <v>72</v>
      </c>
      <c r="C9" s="49">
        <v>50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 PARTLY  CLOUDY  </v>
      </c>
    </row>
    <row r="10" spans="1:34" ht="16.5" customHeight="1">
      <c r="A10" s="88">
        <f>A9+1</f>
        <v>37031</v>
      </c>
      <c r="B10" s="11">
        <v>75</v>
      </c>
      <c r="C10" s="49">
        <v>56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224.93799999999999</v>
      </c>
      <c r="C2" s="60"/>
      <c r="D2" s="120" t="s">
        <v>324</v>
      </c>
      <c r="E2" s="425">
        <f>Weather_Input!A5</f>
        <v>37026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154.20699999999999</v>
      </c>
      <c r="C6" s="168"/>
      <c r="D6" s="59" t="s">
        <v>576</v>
      </c>
      <c r="E6" s="153">
        <f>PGL_Deliveries!P5/1000</f>
        <v>0.79600000000000004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154.20699999999999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114.126</v>
      </c>
      <c r="C8" s="630"/>
      <c r="D8" s="117" t="s">
        <v>578</v>
      </c>
      <c r="E8" s="153">
        <f>PGL_Deliveries!N5/1000</f>
        <v>1.546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0.19400000000000001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4.3259999999999996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17.155000000000001</v>
      </c>
      <c r="C11" s="64"/>
      <c r="D11" s="117" t="s">
        <v>580</v>
      </c>
      <c r="E11" s="153">
        <f>PGL_Deliveries!R5/1000</f>
        <v>1.633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2.5009999999999999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174.279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57.936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-100.95599999999999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50.396999999999998</v>
      </c>
      <c r="D16" s="117" t="s">
        <v>223</v>
      </c>
      <c r="E16" s="153">
        <f>PGL_Deliveries!L5/1000</f>
        <v>7.0999999999999994E-2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1.722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154.20700000000002</v>
      </c>
      <c r="C18" s="168"/>
      <c r="D18" s="178" t="s">
        <v>585</v>
      </c>
      <c r="E18" s="177">
        <f>SUM(E5:E17)</f>
        <v>70.730999999999995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114.07899999999999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1.5246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72.255600000000001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114.07899999999999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27.972999999999999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100.229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101.64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72.256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1.254</v>
      </c>
      <c r="C40" s="64"/>
      <c r="D40" s="779" t="s">
        <v>610</v>
      </c>
      <c r="E40" s="806"/>
      <c r="F40" s="175">
        <f>PGL_Requirements!K7/1000</f>
        <v>8.94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171.67500000000001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1.5246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0.56999999999999995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88</v>
      </c>
      <c r="C45" s="184"/>
      <c r="D45" s="60" t="s">
        <v>623</v>
      </c>
      <c r="E45" s="807">
        <f>PGL_Supplies!T7/1000</f>
        <v>7</v>
      </c>
      <c r="F45" s="170"/>
    </row>
    <row r="46" spans="1:13" ht="15">
      <c r="A46" s="171" t="s">
        <v>614</v>
      </c>
      <c r="B46" s="238">
        <f>Weather_Input!C5</f>
        <v>70</v>
      </c>
      <c r="C46" s="161"/>
      <c r="D46" s="74" t="s">
        <v>622</v>
      </c>
      <c r="E46" s="60"/>
      <c r="F46" s="175">
        <f>PGL_Deliveries!BE5/1000</f>
        <v>0</v>
      </c>
    </row>
    <row r="47" spans="1:13" ht="15">
      <c r="A47" s="172" t="s">
        <v>615</v>
      </c>
      <c r="B47" s="60">
        <f>Weather_Input!E5</f>
        <v>79</v>
      </c>
      <c r="C47" s="161"/>
      <c r="D47" s="778" t="s">
        <v>789</v>
      </c>
      <c r="E47" s="68"/>
      <c r="F47" s="175">
        <f>PGL_Deliveries!BF5/1000</f>
        <v>9.6219999999999999</v>
      </c>
    </row>
    <row r="48" spans="1:13" ht="15">
      <c r="A48" s="171" t="s">
        <v>616</v>
      </c>
      <c r="B48" s="226">
        <f>Weather_Input!D5</f>
        <v>10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1.0189999999999999</v>
      </c>
      <c r="C49" s="161"/>
      <c r="D49" s="60" t="s">
        <v>778</v>
      </c>
      <c r="E49" s="153">
        <f>PGL_Deliveries!AJ5/1000</f>
        <v>17.155000000000001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0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38.783000000000001</v>
      </c>
      <c r="C3" s="119"/>
      <c r="D3" s="229" t="s">
        <v>324</v>
      </c>
      <c r="E3" s="428">
        <f>Weather_Input!A5</f>
        <v>37026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33.295999999999999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33.295999999999999</v>
      </c>
      <c r="C8" s="160"/>
      <c r="D8" s="818" t="s">
        <v>641</v>
      </c>
      <c r="E8" s="812">
        <f>NSG_Deliveries!F5/1000</f>
        <v>5.4870000000000001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14.513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32.216000000000001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1.08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33.295999999999999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37026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37025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47428022</v>
      </c>
      <c r="Q6" s="203">
        <v>15045098</v>
      </c>
      <c r="R6" s="203">
        <v>32382924</v>
      </c>
      <c r="S6" s="203">
        <v>0</v>
      </c>
    </row>
    <row r="7" spans="1:19">
      <c r="A7" s="4">
        <f>B1</f>
        <v>37026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114079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47542101</v>
      </c>
      <c r="Q7">
        <f>IF(O7&gt;0,Q6+O7,Q6)</f>
        <v>15045098</v>
      </c>
      <c r="R7">
        <f>IF(P7&gt;Q7,P7-Q7,0)</f>
        <v>32497003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37026</v>
      </c>
      <c r="B5" s="1">
        <f>(Weather_Input!B5+Weather_Input!C5)/2</f>
        <v>79</v>
      </c>
      <c r="C5" s="910">
        <v>228000</v>
      </c>
      <c r="D5" s="911">
        <v>0</v>
      </c>
      <c r="E5" s="911">
        <v>0</v>
      </c>
      <c r="F5" s="911">
        <v>0</v>
      </c>
      <c r="G5" s="911">
        <v>2501</v>
      </c>
      <c r="H5" s="911">
        <v>57936</v>
      </c>
      <c r="I5" s="911">
        <v>154207</v>
      </c>
      <c r="J5" s="911">
        <v>0</v>
      </c>
      <c r="K5" s="911">
        <v>6</v>
      </c>
      <c r="L5" s="911">
        <v>71</v>
      </c>
      <c r="M5" s="911">
        <v>1722</v>
      </c>
      <c r="N5" s="911">
        <v>1546</v>
      </c>
      <c r="O5" s="911">
        <v>0</v>
      </c>
      <c r="P5" s="911">
        <v>796</v>
      </c>
      <c r="Q5" s="911">
        <v>194</v>
      </c>
      <c r="R5" s="911">
        <v>1633</v>
      </c>
      <c r="S5" s="916">
        <v>4326</v>
      </c>
      <c r="T5" s="1155">
        <v>0</v>
      </c>
      <c r="U5" s="910">
        <f>SUM(D5:S5)-T5</f>
        <v>224938</v>
      </c>
      <c r="V5" s="910">
        <v>114126</v>
      </c>
      <c r="W5" s="11">
        <v>0</v>
      </c>
      <c r="X5" s="11">
        <v>0</v>
      </c>
      <c r="Y5" s="11">
        <v>0</v>
      </c>
      <c r="Z5" s="11">
        <v>174279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17155</v>
      </c>
      <c r="AK5" s="11">
        <v>0</v>
      </c>
      <c r="AL5" s="11">
        <v>0</v>
      </c>
      <c r="AM5" s="1">
        <v>1019</v>
      </c>
      <c r="AN5" s="1"/>
      <c r="AO5" s="1">
        <v>50397</v>
      </c>
      <c r="AP5" s="1">
        <v>0</v>
      </c>
      <c r="AQ5" s="1">
        <v>27973</v>
      </c>
      <c r="AR5" s="1">
        <v>0</v>
      </c>
      <c r="AS5" s="1">
        <v>0</v>
      </c>
      <c r="AT5" s="1">
        <v>1254</v>
      </c>
      <c r="AU5" s="1">
        <v>101640</v>
      </c>
      <c r="AV5" s="1">
        <v>570</v>
      </c>
      <c r="AW5" s="626">
        <f>AU5*0.015</f>
        <v>1524.6</v>
      </c>
      <c r="AX5" s="1">
        <v>0</v>
      </c>
      <c r="AY5" s="1"/>
      <c r="AZ5" s="1">
        <v>2501</v>
      </c>
      <c r="BA5" s="1">
        <v>125</v>
      </c>
      <c r="BB5" s="1">
        <v>0</v>
      </c>
      <c r="BC5" s="1">
        <v>0</v>
      </c>
      <c r="BD5" s="1"/>
      <c r="BE5" s="1">
        <v>0</v>
      </c>
      <c r="BF5" s="1">
        <v>9622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37027</v>
      </c>
      <c r="B6" s="929">
        <f>(Weather_Input!B6+Weather_Input!C6)/2</f>
        <v>70.5</v>
      </c>
      <c r="C6" s="910">
        <v>225000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37028</v>
      </c>
      <c r="B7" s="929">
        <f>(Weather_Input!B7+Weather_Input!C7)/2</f>
        <v>66.5</v>
      </c>
      <c r="C7" s="910">
        <v>230000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37029</v>
      </c>
      <c r="B8" s="929">
        <f>(Weather_Input!B8+Weather_Input!C8)/2</f>
        <v>63.5</v>
      </c>
      <c r="C8" s="910">
        <v>225000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37030</v>
      </c>
      <c r="B9" s="929">
        <f>(Weather_Input!B9+Weather_Input!C9)/2</f>
        <v>61</v>
      </c>
      <c r="C9" s="910">
        <v>220000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37031</v>
      </c>
      <c r="B10" s="929">
        <f>(Weather_Input!B10+Weather_Input!C10)/2</f>
        <v>65.5</v>
      </c>
      <c r="C10" s="910">
        <v>220000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37026</v>
      </c>
      <c r="B5" s="1">
        <f>(Weather_Input!B5+Weather_Input!C5)/2</f>
        <v>79</v>
      </c>
      <c r="C5" s="910">
        <v>38000</v>
      </c>
      <c r="D5" s="910">
        <v>0</v>
      </c>
      <c r="E5" s="910">
        <v>33296</v>
      </c>
      <c r="F5" s="910">
        <v>5487</v>
      </c>
      <c r="G5" s="910">
        <v>0</v>
      </c>
      <c r="H5" s="918">
        <f>SUM(D5:G5)</f>
        <v>38783</v>
      </c>
      <c r="I5" s="1">
        <v>1009</v>
      </c>
      <c r="J5" s="1" t="s">
        <v>11</v>
      </c>
      <c r="K5" s="1">
        <v>0</v>
      </c>
      <c r="L5" s="1">
        <v>1080</v>
      </c>
      <c r="M5" s="1">
        <v>14513</v>
      </c>
      <c r="N5" s="1">
        <v>0</v>
      </c>
    </row>
    <row r="6" spans="1:14">
      <c r="A6" s="12">
        <f>A5+1</f>
        <v>37027</v>
      </c>
      <c r="B6" s="929">
        <f>(Weather_Input!B6+Weather_Input!C6)/2</f>
        <v>70.5</v>
      </c>
      <c r="C6" s="910">
        <v>38000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37028</v>
      </c>
      <c r="B7" s="929">
        <f>(Weather_Input!B7+Weather_Input!C7)/2</f>
        <v>66.5</v>
      </c>
      <c r="C7" s="910">
        <v>38000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37029</v>
      </c>
      <c r="B8" s="929">
        <f>(Weather_Input!B8+Weather_Input!C8)/2</f>
        <v>63.5</v>
      </c>
      <c r="C8" s="910">
        <v>37000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37030</v>
      </c>
      <c r="B9" s="929">
        <f>(Weather_Input!B9+Weather_Input!C9)/2</f>
        <v>61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37031</v>
      </c>
      <c r="B10" s="929">
        <f>(Weather_Input!B10+Weather_Input!C10)/2</f>
        <v>65.5</v>
      </c>
      <c r="C10" s="910">
        <v>36000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10" sqref="H10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37026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50397</v>
      </c>
      <c r="H7" s="921">
        <v>0</v>
      </c>
      <c r="I7" s="623">
        <v>0</v>
      </c>
      <c r="J7" s="623">
        <v>0</v>
      </c>
      <c r="K7" s="624">
        <v>8940</v>
      </c>
      <c r="L7" s="623">
        <v>0</v>
      </c>
      <c r="M7" s="624">
        <v>0</v>
      </c>
      <c r="N7" s="624">
        <v>0</v>
      </c>
      <c r="O7" s="625">
        <v>27973</v>
      </c>
      <c r="P7" s="624">
        <v>101640</v>
      </c>
      <c r="Q7" s="626">
        <f t="shared" ref="Q7:Q12" si="0">P7*0.015</f>
        <v>1524.6</v>
      </c>
      <c r="R7" s="624">
        <v>570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37026</v>
      </c>
    </row>
    <row r="8" spans="1:89" s="1" customFormat="1" ht="13.2">
      <c r="A8" s="831">
        <f>A7+1</f>
        <v>37027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67602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105000</v>
      </c>
      <c r="Q8" s="626">
        <f t="shared" si="0"/>
        <v>1575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37027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37028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20100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37028</v>
      </c>
      <c r="AN9" s="623"/>
    </row>
    <row r="10" spans="1:89" s="1" customFormat="1" ht="13.2">
      <c r="A10" s="831">
        <f>A9+1</f>
        <v>37029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37029</v>
      </c>
    </row>
    <row r="11" spans="1:89" s="1" customFormat="1" ht="13.2">
      <c r="A11" s="831">
        <f>A10+1</f>
        <v>37030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37030</v>
      </c>
    </row>
    <row r="12" spans="1:89" s="1" customFormat="1" ht="13.2">
      <c r="A12" s="831">
        <f>A11+1</f>
        <v>37031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I1" zoomScale="75" workbookViewId="0">
      <selection activeCell="T10" sqref="T10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37026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1254</v>
      </c>
      <c r="I7" s="624">
        <v>17155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170007</v>
      </c>
      <c r="W7" s="625">
        <v>0</v>
      </c>
      <c r="X7" s="623">
        <v>0</v>
      </c>
      <c r="Y7" s="922">
        <v>114079</v>
      </c>
      <c r="Z7" s="625">
        <v>40200</v>
      </c>
      <c r="AA7" s="1">
        <v>0</v>
      </c>
      <c r="AB7" s="623">
        <v>171675</v>
      </c>
      <c r="AC7" s="623">
        <v>100229</v>
      </c>
      <c r="AD7" s="623">
        <v>0</v>
      </c>
      <c r="AE7" s="922">
        <v>0</v>
      </c>
      <c r="AF7" s="51">
        <f>Weather_Input!A5</f>
        <v>37026</v>
      </c>
      <c r="AI7" s="623"/>
      <c r="AJ7" s="623"/>
      <c r="AK7" s="623"/>
    </row>
    <row r="8" spans="1:37">
      <c r="A8" s="831">
        <f>A7+1</f>
        <v>37027</v>
      </c>
      <c r="B8" s="626">
        <v>4990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169851</v>
      </c>
      <c r="W8" s="625">
        <v>0</v>
      </c>
      <c r="X8" s="623">
        <v>0</v>
      </c>
      <c r="Y8" s="922">
        <v>120683</v>
      </c>
      <c r="Z8" s="625">
        <v>40200</v>
      </c>
      <c r="AA8" s="1">
        <v>0</v>
      </c>
      <c r="AB8" s="623">
        <v>183552</v>
      </c>
      <c r="AC8" s="623">
        <v>75583</v>
      </c>
      <c r="AD8" s="623">
        <v>0</v>
      </c>
      <c r="AE8" s="922">
        <v>0</v>
      </c>
      <c r="AF8" s="831">
        <f>AF7+1</f>
        <v>37027</v>
      </c>
      <c r="AI8" s="623"/>
      <c r="AJ8" s="623"/>
      <c r="AK8" s="623"/>
    </row>
    <row r="9" spans="1:37" s="623" customFormat="1">
      <c r="A9" s="831">
        <f>A8+1</f>
        <v>37028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7000</v>
      </c>
      <c r="U9" s="624">
        <v>0</v>
      </c>
      <c r="V9" s="625">
        <v>169851</v>
      </c>
      <c r="W9" s="625">
        <v>0</v>
      </c>
      <c r="X9" s="623">
        <v>0</v>
      </c>
      <c r="Y9" s="922">
        <v>120683</v>
      </c>
      <c r="Z9" s="625">
        <v>40200</v>
      </c>
      <c r="AA9" s="1">
        <v>0</v>
      </c>
      <c r="AB9" s="623">
        <v>183552</v>
      </c>
      <c r="AC9" s="623">
        <v>75583</v>
      </c>
      <c r="AD9" s="623">
        <v>0</v>
      </c>
      <c r="AE9" s="922">
        <v>0</v>
      </c>
      <c r="AF9" s="831">
        <f>AF8+1</f>
        <v>37028</v>
      </c>
    </row>
    <row r="10" spans="1:37">
      <c r="A10" s="831">
        <f>A9+1</f>
        <v>37029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169851</v>
      </c>
      <c r="W10" s="625">
        <v>0</v>
      </c>
      <c r="X10" s="623">
        <v>0</v>
      </c>
      <c r="Y10" s="922">
        <v>120683</v>
      </c>
      <c r="Z10" s="625">
        <v>40200</v>
      </c>
      <c r="AA10" s="1">
        <v>0</v>
      </c>
      <c r="AB10" s="623">
        <v>183552</v>
      </c>
      <c r="AC10" s="623">
        <v>75583</v>
      </c>
      <c r="AD10" s="623">
        <v>0</v>
      </c>
      <c r="AE10" s="922">
        <v>0</v>
      </c>
      <c r="AF10" s="831">
        <f>AF9+1</f>
        <v>37029</v>
      </c>
      <c r="AI10" s="623"/>
      <c r="AJ10" s="623"/>
      <c r="AK10" s="623"/>
    </row>
    <row r="11" spans="1:37">
      <c r="A11" s="831">
        <f>A10+1</f>
        <v>37030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169851</v>
      </c>
      <c r="W11" s="625">
        <v>0</v>
      </c>
      <c r="X11" s="623">
        <v>0</v>
      </c>
      <c r="Y11" s="922">
        <v>120683</v>
      </c>
      <c r="Z11" s="625">
        <v>40200</v>
      </c>
      <c r="AA11" s="1">
        <v>0</v>
      </c>
      <c r="AB11" s="623">
        <v>183552</v>
      </c>
      <c r="AC11" s="623">
        <v>75583</v>
      </c>
      <c r="AD11" s="623">
        <v>0</v>
      </c>
      <c r="AE11" s="922">
        <v>0</v>
      </c>
      <c r="AF11" s="831">
        <f>AF10+1</f>
        <v>37030</v>
      </c>
    </row>
    <row r="12" spans="1:37">
      <c r="A12" s="831">
        <f>A11+1</f>
        <v>37031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169851</v>
      </c>
      <c r="W12" s="625">
        <v>0</v>
      </c>
      <c r="X12" s="623">
        <v>0</v>
      </c>
      <c r="Y12" s="922">
        <v>120683</v>
      </c>
      <c r="Z12" s="625">
        <v>40200</v>
      </c>
      <c r="AA12" s="1">
        <v>0</v>
      </c>
      <c r="AB12" s="623">
        <v>183552</v>
      </c>
      <c r="AC12" s="623">
        <v>75583</v>
      </c>
      <c r="AD12" s="623">
        <v>0</v>
      </c>
      <c r="AE12" s="922">
        <v>0</v>
      </c>
      <c r="AF12" s="831">
        <f>AF11+1</f>
        <v>37031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37026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14513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37026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37027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1000</v>
      </c>
      <c r="I8" s="920">
        <v>7197</v>
      </c>
      <c r="J8" s="920">
        <v>12950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37027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37028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37028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37029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37029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37030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37030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37031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37031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37026</v>
      </c>
      <c r="B7" s="626">
        <v>0</v>
      </c>
      <c r="C7" s="627">
        <v>0</v>
      </c>
      <c r="D7" s="626">
        <v>0</v>
      </c>
      <c r="E7" s="626">
        <v>0</v>
      </c>
      <c r="F7" s="626">
        <v>1080</v>
      </c>
      <c r="G7" s="626">
        <f>(R7+S7+C7+PGL_Requirements!Y7+PGL_Requirements!Z7-NSG_Requirements!C7)*0.05</f>
        <v>2674.3500000000004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32216</v>
      </c>
      <c r="S7" s="626">
        <v>21271</v>
      </c>
      <c r="T7" s="626">
        <v>0</v>
      </c>
      <c r="U7" s="626">
        <v>0</v>
      </c>
      <c r="V7" s="831">
        <f>Weather_Input!A5</f>
        <v>37026</v>
      </c>
      <c r="W7" s="623"/>
      <c r="X7" s="623"/>
    </row>
    <row r="8" spans="1:24">
      <c r="A8" s="831">
        <f>A7+1</f>
        <v>37027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2648.25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31955</v>
      </c>
      <c r="S8" s="626">
        <v>21010</v>
      </c>
      <c r="T8" s="626">
        <v>0</v>
      </c>
      <c r="U8" s="626">
        <v>0</v>
      </c>
      <c r="V8" s="831">
        <f>V7+1</f>
        <v>37027</v>
      </c>
      <c r="W8" s="623"/>
      <c r="X8" s="623"/>
    </row>
    <row r="9" spans="1:24">
      <c r="A9" s="831">
        <f>A8+1</f>
        <v>37028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2648.25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31955</v>
      </c>
      <c r="S9" s="626">
        <v>21010</v>
      </c>
      <c r="T9" s="626">
        <v>0</v>
      </c>
      <c r="U9" s="626">
        <v>0</v>
      </c>
      <c r="V9" s="831">
        <f>V8+1</f>
        <v>37028</v>
      </c>
      <c r="W9" s="623"/>
      <c r="X9" s="623"/>
    </row>
    <row r="10" spans="1:24">
      <c r="A10" s="831">
        <f>A9+1</f>
        <v>37029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2648.25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31955</v>
      </c>
      <c r="S10" s="626">
        <v>21010</v>
      </c>
      <c r="T10" s="626">
        <v>0</v>
      </c>
      <c r="U10" s="626">
        <v>0</v>
      </c>
      <c r="V10" s="831">
        <f>V9+1</f>
        <v>37029</v>
      </c>
      <c r="W10" s="623"/>
      <c r="X10" s="623"/>
    </row>
    <row r="11" spans="1:24">
      <c r="A11" s="831">
        <f>A10+1</f>
        <v>37030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2648.25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31955</v>
      </c>
      <c r="S11" s="626">
        <v>21010</v>
      </c>
      <c r="T11" s="626">
        <v>0</v>
      </c>
      <c r="U11" s="626">
        <v>0</v>
      </c>
      <c r="V11" s="831">
        <f>V10+1</f>
        <v>37030</v>
      </c>
      <c r="W11" s="623"/>
      <c r="X11" s="623"/>
    </row>
    <row r="12" spans="1:24">
      <c r="A12" s="831">
        <f>A11+1</f>
        <v>37031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2648.25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31955</v>
      </c>
      <c r="S12" s="626">
        <v>21010</v>
      </c>
      <c r="T12" s="626">
        <v>0</v>
      </c>
      <c r="U12" s="626">
        <v>0</v>
      </c>
      <c r="V12" s="831">
        <f>V11+1</f>
        <v>37031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/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TUE</v>
      </c>
      <c r="I1" s="836">
        <f>D4</f>
        <v>37026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</row>
    <row r="4" spans="1:256" ht="16.2" thickBot="1">
      <c r="A4" s="843"/>
      <c r="B4" s="844"/>
      <c r="C4" s="844"/>
      <c r="D4" s="465">
        <f>Weather_Input!A5</f>
        <v>37026</v>
      </c>
      <c r="E4" s="465">
        <f>Weather_Input!A6</f>
        <v>37027</v>
      </c>
      <c r="F4" s="465">
        <f>Weather_Input!A7</f>
        <v>37028</v>
      </c>
      <c r="G4" s="465">
        <f>Weather_Input!A8</f>
        <v>37029</v>
      </c>
      <c r="H4" s="465">
        <f>Weather_Input!A9</f>
        <v>37030</v>
      </c>
      <c r="I4" s="466">
        <f>Weather_Input!A10</f>
        <v>37031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88/70/79</v>
      </c>
      <c r="E5" s="467" t="str">
        <f>TEXT(Weather_Input!B6,"0")&amp;"/"&amp;TEXT(Weather_Input!C6,"0") &amp; "/" &amp; TEXT((Weather_Input!B6+Weather_Input!C6)/2,"0")</f>
        <v>84/57/71</v>
      </c>
      <c r="F5" s="467" t="str">
        <f>TEXT(Weather_Input!B7,"0")&amp;"/"&amp;TEXT(Weather_Input!C7,"0") &amp; "/" &amp; TEXT((Weather_Input!B7+Weather_Input!C7)/2,"0")</f>
        <v>78/55/67</v>
      </c>
      <c r="G5" s="467" t="str">
        <f>TEXT(Weather_Input!B8,"0")&amp;"/"&amp;TEXT(Weather_Input!C8,"0") &amp; "/" &amp; TEXT((Weather_Input!B8+Weather_Input!C8)/2,"0")</f>
        <v>74/53/64</v>
      </c>
      <c r="H5" s="467" t="str">
        <f>TEXT(Weather_Input!B9,"0")&amp;"/"&amp;TEXT(Weather_Input!C9,"0") &amp; "/" &amp; TEXT((Weather_Input!B9+Weather_Input!C9)/2,"0")</f>
        <v>72/50/61</v>
      </c>
      <c r="I5" s="468" t="str">
        <f>TEXT(Weather_Input!B10,"0")&amp;"/"&amp;TEXT(Weather_Input!C10,"0") &amp; "/" &amp; TEXT((Weather_Input!B10+Weather_Input!C10)/2,"0")</f>
        <v>75/56/66</v>
      </c>
    </row>
    <row r="6" spans="1:256">
      <c r="A6" s="850" t="s">
        <v>139</v>
      </c>
      <c r="B6" s="838"/>
      <c r="C6" s="838"/>
      <c r="D6" s="467">
        <f>PGL_Deliveries!C5/1000</f>
        <v>228</v>
      </c>
      <c r="E6" s="467">
        <f>PGL_Deliveries!C6/1000</f>
        <v>225</v>
      </c>
      <c r="F6" s="467">
        <f>PGL_Deliveries!C7/1000</f>
        <v>230</v>
      </c>
      <c r="G6" s="467">
        <f>PGL_Deliveries!C8/1000</f>
        <v>225</v>
      </c>
      <c r="H6" s="467">
        <f>PGL_Deliveries!C9/1000</f>
        <v>220</v>
      </c>
      <c r="I6" s="468">
        <f>PGL_Deliveries!C10/1000</f>
        <v>220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0</v>
      </c>
      <c r="E7" s="467">
        <f>PGL_Requirements!H8/1000</f>
        <v>67.602000000000004</v>
      </c>
      <c r="F7" s="467">
        <f>PGL_Requirements!H9/1000</f>
        <v>20.100000000000001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8.94</v>
      </c>
      <c r="E8" s="467">
        <f>PGL_Requirements!I8/1000+PGL_Requirements!K8/1000</f>
        <v>8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101.64</v>
      </c>
      <c r="E13" s="467">
        <f>PGL_Requirements!P8/1000</f>
        <v>105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1.5246</v>
      </c>
      <c r="E14" s="467">
        <f>PGL_Requirements!Q8/1000</f>
        <v>1.575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0.56999999999999995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27.972999999999999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50.396999999999998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459.24459999999999</v>
      </c>
      <c r="E30" s="471">
        <f t="shared" si="1"/>
        <v>448.00699999999995</v>
      </c>
      <c r="F30" s="471">
        <f t="shared" si="1"/>
        <v>443.18</v>
      </c>
      <c r="G30" s="471">
        <f t="shared" si="1"/>
        <v>418.08</v>
      </c>
      <c r="H30" s="471">
        <f t="shared" si="1"/>
        <v>413.08</v>
      </c>
      <c r="I30" s="1169">
        <f t="shared" si="1"/>
        <v>413.08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1.254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7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114.07899999999999</v>
      </c>
      <c r="E47" s="467">
        <f>PGL_Supplies!Y8/1000</f>
        <v>120.68300000000001</v>
      </c>
      <c r="F47" s="467">
        <f>PGL_Supplies!Y9/1000</f>
        <v>120.68300000000001</v>
      </c>
      <c r="G47" s="467">
        <f>PGL_Supplies!Y10/1000</f>
        <v>120.68300000000001</v>
      </c>
      <c r="H47" s="467">
        <f>PGL_Supplies!Y11/1000</f>
        <v>120.68300000000001</v>
      </c>
      <c r="I47" s="468">
        <f>PGL_Supplies!Y12/1000</f>
        <v>120.68300000000001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171.67500000000001</v>
      </c>
      <c r="E50" s="467">
        <f>PGL_Supplies!AB8/1000</f>
        <v>183.55199999999999</v>
      </c>
      <c r="F50" s="467">
        <f>PGL_Supplies!AB9/1000</f>
        <v>183.55199999999999</v>
      </c>
      <c r="G50" s="467">
        <f>PGL_Supplies!AB10/1000</f>
        <v>183.55199999999999</v>
      </c>
      <c r="H50" s="467">
        <f>PGL_Supplies!AB11/1000</f>
        <v>183.55199999999999</v>
      </c>
      <c r="I50" s="468">
        <f>PGL_Supplies!AB12/1000</f>
        <v>183.55199999999999</v>
      </c>
    </row>
    <row r="51" spans="1:10">
      <c r="A51" s="850"/>
      <c r="B51" s="838" t="s">
        <v>141</v>
      </c>
      <c r="C51" s="838"/>
      <c r="D51" s="467">
        <f>PGL_Supplies!AC7/1000</f>
        <v>100.229</v>
      </c>
      <c r="E51" s="467">
        <f>PGL_Supplies!AC8/1000</f>
        <v>75.582999999999998</v>
      </c>
      <c r="F51" s="467">
        <f>PGL_Supplies!AC9/1000</f>
        <v>75.582999999999998</v>
      </c>
      <c r="G51" s="467">
        <f>PGL_Supplies!AC10/1000</f>
        <v>75.582999999999998</v>
      </c>
      <c r="H51" s="467">
        <f>PGL_Supplies!AC11/1000</f>
        <v>75.582999999999998</v>
      </c>
      <c r="I51" s="468">
        <f>PGL_Supplies!AC12/1000</f>
        <v>75.582999999999998</v>
      </c>
    </row>
    <row r="52" spans="1:10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>
      <c r="A53" s="864"/>
      <c r="B53" s="838" t="s">
        <v>158</v>
      </c>
      <c r="C53" s="838"/>
      <c r="D53" s="467">
        <f>PGL_Supplies!I7/1000</f>
        <v>17.155000000000001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4.99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451.59199999999998</v>
      </c>
      <c r="E61" s="477">
        <f t="shared" si="2"/>
        <v>448.00799999999992</v>
      </c>
      <c r="F61" s="477">
        <f t="shared" si="2"/>
        <v>443.01799999999992</v>
      </c>
      <c r="G61" s="477">
        <f t="shared" si="2"/>
        <v>436.01800000000003</v>
      </c>
      <c r="H61" s="477">
        <f t="shared" si="2"/>
        <v>436.01800000000003</v>
      </c>
      <c r="I61" s="1171">
        <f t="shared" si="2"/>
        <v>436.01800000000003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9.9999999997635314E-4</v>
      </c>
      <c r="F62" s="478">
        <f t="shared" si="3"/>
        <v>0</v>
      </c>
      <c r="G62" s="478">
        <f t="shared" si="3"/>
        <v>17.938000000000045</v>
      </c>
      <c r="H62" s="478">
        <f t="shared" si="3"/>
        <v>22.938000000000045</v>
      </c>
      <c r="I62" s="1172">
        <f t="shared" si="3"/>
        <v>22.938000000000045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7.6526000000000067</v>
      </c>
      <c r="E63" s="479">
        <f t="shared" si="4"/>
        <v>0</v>
      </c>
      <c r="F63" s="479">
        <f t="shared" si="4"/>
        <v>0.1620000000000914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767</v>
      </c>
      <c r="B64" s="1161"/>
      <c r="C64" s="1161"/>
      <c r="D64" s="1162">
        <f>PGL_Supplies!V7/1000</f>
        <v>170.00700000000001</v>
      </c>
      <c r="E64" s="1162">
        <f>PGL_Supplies!V8/1000</f>
        <v>169.851</v>
      </c>
      <c r="F64" s="1162">
        <f>PGL_Supplies!V9/1000</f>
        <v>169.851</v>
      </c>
      <c r="G64" s="1162">
        <f>PGL_Supplies!V10/1000</f>
        <v>169.851</v>
      </c>
      <c r="H64" s="1162">
        <f>PGL_Supplies!V11/1000</f>
        <v>169.851</v>
      </c>
      <c r="I64" s="1163">
        <f>PGL_Supplies!V12/1000</f>
        <v>169.851</v>
      </c>
    </row>
    <row r="65" spans="3:3" ht="15.6" thickTop="1"/>
    <row r="67" spans="3:3">
      <c r="C67" s="113" t="s">
        <v>804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2001-05-16T15:56:30Z</cp:lastPrinted>
  <dcterms:created xsi:type="dcterms:W3CDTF">1997-07-16T16:14:22Z</dcterms:created>
  <dcterms:modified xsi:type="dcterms:W3CDTF">2023-09-10T11:13:46Z</dcterms:modified>
</cp:coreProperties>
</file>