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<sst xmlns="http://schemas.openxmlformats.org/spreadsheetml/2006/main" count="2070" uniqueCount="814">
  <si>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</si>
  <si>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</si>
  <si>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</si>
  <si>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</si>
  <si>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</si>
  <si>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</si>
  <si>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</si>
  <si>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</si>
  <si>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</si>
  <si>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</si>
  <si>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</si>
  <si>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</si>
  <si>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</si>
  <si>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</si>
  <si>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</si>
  <si>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</si>
  <si>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</si>
  <si>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</si>
  <si>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</si>
  <si>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</si>
  <si>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</si>
  <si>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</si>
  <si>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</si>
  <si>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</si>
  <si>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</si>
  <si>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</si>
  <si>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</si>
  <si>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</si>
  <si>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</si>
  <si>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</si>
  <si>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</si>
  <si>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</si>
  <si>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</si>
  <si>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</si>
  <si>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</si>
  <si>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</si>
  <si>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</si>
  <si>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</si>
  <si>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</si>
  <si>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</si>
  <si>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</si>
  <si>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</si>
  <si>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</si>
  <si>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</si>
  <si>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</si>
  <si>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</si>
  <si>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</si>
  <si>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</si>
  <si>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</si>
  <si>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</si>
  <si>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</si>
  <si>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</si>
  <si>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</si>
  <si>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</si>
  <si>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</si>
  <si>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</si>
  <si>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</si>
  <si>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</si>
  <si>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</si>
  <si>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</si>
  <si>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</si>
  <si>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</si>
  <si>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</si>
  <si>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</si>
  <si>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</si>
  <si>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</si>
  <si>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</si>
  <si>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</si>
  <si>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</si>
  <si>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</si>
  <si>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</si>
  <si>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</si>
  <si>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</si>
  <si>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</si>
  <si>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</si>
  <si>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</si>
  <si>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</si>
  <si>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</si>
  <si>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</si>
  <si>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</si>
  <si>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</si>
  <si>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</si>
  <si>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</si>
  <si>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</si>
  <si>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</si>
  <si>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</si>
  <si>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</si>
  <si>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</si>
  <si>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</si>
  <si>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</si>
  <si>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</si>
  <si>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</si>
  <si>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</si>
  <si>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</si>
  <si>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</si>
  <si>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</si>
  <si>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</si>
  <si>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</si>
  <si>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</si>
  <si>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</si>
  <si>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</si>
  <si>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</si>
  <si>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</si>
  <si>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</si>
  <si>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</si>
  <si>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</si>
  <si>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</si>
  <si>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</si>
  <si>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</si>
  <si>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</si>
  <si>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</si>
  <si>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</si>
  <si>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</si>
  <si>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</si>
  <si>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</si>
  <si>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</si>
  <si>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</si>
  <si>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</si>
  <si>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</si>
  <si>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</si>
  <si>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</si>
  <si>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</si>
  <si>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</si>
  <si>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</si>
  <si>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</si>
  <si>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</si>
  <si>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</si>
  <si>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</si>
  <si>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</si>
  <si>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</si>
  <si>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</si>
  <si>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</si>
  <si>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</si>
  <si>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</si>
  <si>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</si>
  <si>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</si>
  <si>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</si>
  <si>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</si>
  <si>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</si>
  <si>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</si>
  <si>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</si>
  <si>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</si>
  <si>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</si>
  <si>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</si>
  <si>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</si>
  <si>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</si>
  <si>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</si>
  <si>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</si>
  <si>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</si>
  <si>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</si>
  <si>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</si>
  <si>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</si>
  <si>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</si>
  <si>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</si>
  <si>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</si>
  <si>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</si>
  <si>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</si>
  <si>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</si>
  <si>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</si>
  <si>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</si>
  <si>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</si>
  <si>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</si>
  <si>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</si>
  <si>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</si>
  <si>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</si>
  <si>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</si>
  <si>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</si>
  <si>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</si>
  <si>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</si>
  <si>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</si>
  <si>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</si>
  <si>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</si>
  <si>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</si>
  <si>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</si>
  <si>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</si>
  <si>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</si>
  <si>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</si>
  <si>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</si>
  <si>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</si>
  <si>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</si>
  <si>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</si>
  <si>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</si>
  <si>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</si>
  <si>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</si>
  <si>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</si>
  <si>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</si>
  <si>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</si>
  <si>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</si>
  <si>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</si>
  <si>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</si>
  <si>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</si>
  <si>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</si>
  <si>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</si>
  <si>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</si>
  <si>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</si>
  <si>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</si>
  <si>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</si>
  <si>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</si>
  <si>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</si>
  <si>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</si>
  <si>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</si>
  <si>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</si>
  <si>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</si>
  <si>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</si>
  <si>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</si>
  <si>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</si>
  <si>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</si>
  <si>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</si>
  <si>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</si>
  <si>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</si>
  <si>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</si>
  <si>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</si>
  <si>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</si>
  <si>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</si>
  <si>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</si>
  <si>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</si>
  <si>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</si>
  <si>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</si>
  <si>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</si>
  <si>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</si>
  <si>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</si>
  <si>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</si>
  <si>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</si>
  <si>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</si>
  <si>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</si>
  <si>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</si>
  <si>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</si>
  <si>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</si>
  <si>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</si>
  <si>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</si>
  <si>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</si>
  <si>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</si>
  <si>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</si>
  <si>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</si>
  <si>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</si>
  <si>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</si>
  <si>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</si>
  <si>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</si>
  <si>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</si>
  <si>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</si>
  <si>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</si>
  <si>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</si>
  <si>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</si>
  <si>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</si>
  <si>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</si>
  <si>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</si>
  <si>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</si>
  <si>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</si>
  <si>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</si>
  <si>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</si>
  <si>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</si>
  <si>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</si>
  <si>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</si>
  <si>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</si>
  <si>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</si>
  <si>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</si>
  <si>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</si>
  <si>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</si>
  <si>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</si>
  <si>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</si>
  <si>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</si>
  <si>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</si>
  <si>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</si>
  <si>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</si>
  <si>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</si>
  <si>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</si>
  <si>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</si>
  <si>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</si>
  <si>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</si>
  <si>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</si>
  <si>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</si>
  <si>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</si>
  <si>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</si>
  <si>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</si>
  <si>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</si>
  <si>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</si>
  <si>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</si>
  <si>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</si>
  <si>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</si>
  <si>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</si>
  <si>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</si>
  <si>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</si>
  <si>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</si>
  <si>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</si>
  <si>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</si>
  <si>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</si>
  <si>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</si>
  <si>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</si>
  <si>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</si>
  <si>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</si>
  <si>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</si>
  <si>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</si>
  <si>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</si>
  <si>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</si>
  <si>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</si>
  <si>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</si>
  <si>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</si>
  <si>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</si>
  <si>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</si>
  <si>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</si>
  <si>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</si>
  <si>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</si>
  <si>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</si>
  <si>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</si>
  <si>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</si>
  <si>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</si>
  <si>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</si>
  <si>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</si>
  <si>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</si>
  <si>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</si>
  <si>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</si>
  <si>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</si>
  <si>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</si>
  <si>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</si>
  <si>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</si>
  <si>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</si>
  <si>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</si>
  <si>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</si>
  <si>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</si>
  <si>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</si>
  <si>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</si>
  <si>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</si>
  <si>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</si>
  <si>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</si>
  <si>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</si>
  <si>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</si>
  <si>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</si>
  <si>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</si>
  <si>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</si>
  <si>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</si>
  <si>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</si>
  <si>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</si>
  <si>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</si>
  <si>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</si>
  <si>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</si>
  <si>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</si>
  <si>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</si>
  <si>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</si>
  <si>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</si>
  <si>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</si>
  <si>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</si>
  <si>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</si>
  <si>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</si>
  <si>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</si>
  <si>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</si>
  <si>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</si>
  <si>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</si>
  <si>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</si>
  <si>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</si>
  <si>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</si>
  <si>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</si>
  <si>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</si>
  <si>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</si>
  <si>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</si>
  <si>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</si>
  <si>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</si>
  <si>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</si>
  <si>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</si>
  <si>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</si>
  <si>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</si>
  <si>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</si>
  <si>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</si>
  <si>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</si>
  <si>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</si>
  <si>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</si>
  <si>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</si>
  <si>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</si>
  <si>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</si>
  <si>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</si>
  <si>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</si>
  <si>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</si>
  <si>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</si>
  <si>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</si>
  <si>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</si>
  <si>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</si>
  <si>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</si>
  <si>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</si>
  <si>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</si>
  <si>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</si>
  <si>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</si>
  <si>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</si>
  <si>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</si>
  <si>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</si>
  <si>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</si>
  <si>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</si>
  <si>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</si>
  <si>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</si>
  <si>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</si>
  <si>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</si>
  <si>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</si>
  <si>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</si>
  <si>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</si>
  <si>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</si>
  <si>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</si>
  <si>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</si>
  <si>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</si>
  <si>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</si>
  <si>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</si>
  <si>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</si>
  <si>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</si>
  <si>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</si>
  <si>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</si>
  <si>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</si>
  <si>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</si>
  <si>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</si>
  <si>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</si>
  <si>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</si>
  <si>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</si>
  <si>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</si>
  <si>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</si>
  <si>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</si>
  <si>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</si>
  <si>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</si>
  <si>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</si>
  <si>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</si>
  <si>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</si>
  <si>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</si>
  <si>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</si>
  <si>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</si>
  <si>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</si>
  <si>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</si>
  <si>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</si>
  <si>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</si>
  <si>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</si>
  <si>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</si>
  <si>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</si>
  <si>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</si>
  <si>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</si>
  <si>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</si>
  <si>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</si>
  <si>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</si>
  <si>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</si>
  <si>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</si>
  <si>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</si>
  <si>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</si>
  <si>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</si>
  <si>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</si>
  <si>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</si>
  <si>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</si>
  <si>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</si>
  <si>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</si>
  <si>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</si>
  <si>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</si>
  <si>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</si>
  <si>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</si>
  <si>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</si>
  <si>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</si>
  <si>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</si>
  <si>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</si>
  <si>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</si>
  <si>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</si>
  <si>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</si>
  <si>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</si>
  <si>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</si>
  <si>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</si>
  <si>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</si>
  <si>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</si>
  <si>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</si>
  <si>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</si>
  <si>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</si>
  <si>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</si>
  <si>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</si>
  <si>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</si>
  <si>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</si>
  <si>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</si>
  <si>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</si>
  <si>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</si>
  <si>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</si>
  <si>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</si>
  <si>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</si>
  <si>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</si>
  <si>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</si>
  <si>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</si>
  <si>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</si>
  <si>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</si>
  <si>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</si>
  <si>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</si>
  <si>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</si>
  <si>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</si>
  <si>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</si>
  <si>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</si>
  <si>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</si>
  <si>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</si>
  <si>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</si>
  <si>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</si>
  <si>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</si>
  <si>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</si>
  <si>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</si>
  <si>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</si>
  <si>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</si>
  <si>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</si>
  <si>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</si>
  <si>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</si>
  <si>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</si>
  <si>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</si>
  <si>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</si>
  <si>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</si>
  <si>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</si>
  <si>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</si>
  <si>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</si>
  <si>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</si>
  <si>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</si>
  <si>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</si>
  <si>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</si>
  <si>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</si>
  <si>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</si>
  <si>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</si>
  <si>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</si>
  <si>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</si>
  <si>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</si>
  <si>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</si>
  <si>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</si>
  <si>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</si>
  <si>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</si>
  <si>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</si>
  <si>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</si>
  <si>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</si>
  <si>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</si>
  <si>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</si>
  <si>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</si>
  <si>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</si>
  <si>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</si>
  <si>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</si>
  <si>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</si>
  <si>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</si>
  <si>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</si>
  <si>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</si>
  <si>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</si>
  <si>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</si>
  <si>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</si>
  <si>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</si>
  <si>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</si>
  <si>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</si>
  <si>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</si>
  <si>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</si>
  <si>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</si>
  <si>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</si>
  <si>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</si>
  <si>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</si>
  <si>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</si>
  <si>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</si>
  <si>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</si>
  <si>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</si>
  <si>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</si>
  <si>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</si>
  <si>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</si>
  <si>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</si>
  <si>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</si>
  <si>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</si>
  <si>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</si>
  <si>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</si>
  <si>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</si>
  <si>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</si>
  <si>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</si>
  <si>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</si>
  <si>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</si>
  <si>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</si>
  <si>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</si>
  <si>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</si>
  <si>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</si>
  <si>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</si>
  <si>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</si>
  <si>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</si>
  <si>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</si>
  <si>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</si>
  <si>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</si>
  <si>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</si>
  <si>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</si>
  <si>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</si>
  <si>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</si>
  <si>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</si>
  <si>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</si>
  <si>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</si>
  <si>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</si>
  <si>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</si>
  <si>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</si>
  <si>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</si>
  <si>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</si>
  <si>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</si>
  <si>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</si>
  <si>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</si>
  <si>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</si>
  <si>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</si>
  <si>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</si>
  <si>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</si>
  <si>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</si>
  <si>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</si>
  <si>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</si>
  <si>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</si>
  <si>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</si>
  <si>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</si>
  <si>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</si>
  <si>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</si>
  <si>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</si>
  <si>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</si>
  <si>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</si>
  <si>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</si>
  <si>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</si>
  <si>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</si>
  <si>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</si>
  <si>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</si>
  <si>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</si>
  <si>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</si>
  <si>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</si>
  <si>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</si>
  <si>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</si>
  <si>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</si>
  <si>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</si>
  <si>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</si>
  <si>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</si>
  <si>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</si>
  <si>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</si>
  <si>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</si>
  <si>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</si>
  <si>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</si>
  <si>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</si>
  <si>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</si>
  <si>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</si>
  <si>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</si>
  <si>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</si>
  <si>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</si>
  <si>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</si>
  <si>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</si>
  <si>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</si>
  <si>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</si>
  <si>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</si>
  <si>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</si>
  <si>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</si>
  <si>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</si>
  <si>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</si>
  <si>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</si>
  <si>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</si>
  <si>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</si>
  <si>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</si>
  <si>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</si>
  <si>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</si>
  <si>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</si>
  <si>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</si>
  <si>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</si>
  <si>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</si>
  <si>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</si>
  <si>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</si>
  <si>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</si>
  <si>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</si>
  <si>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</si>
  <si>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</si>
  <si>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</si>
  <si>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</si>
  <si>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</si>
  <si>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</si>
  <si>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</si>
  <si>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</si>
  <si>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</si>
  <si>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</si>
  <si>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</si>
  <si>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</si>
  <si>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</si>
  <si>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</si>
  <si>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</si>
  <si>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</si>
  <si>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</si>
  <si>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</si>
  <si>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</si>
  <si>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</si>
  <si>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</si>
  <si>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</si>
  <si>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</si>
  <si>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</si>
  <si>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</si>
  <si>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</si>
  <si>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</si>
  <si>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</si>
  <si>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</si>
  <si>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</si>
  <si>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</si>
  <si>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</si>
  <si>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</si>
  <si>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</si>
  <si>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</si>
  <si>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</si>
  <si>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</si>
  <si>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</si>
  <si>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</si>
  <si>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</si>
  <si>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</si>
  <si>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</si>
  <si>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</si>
  <si>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</si>
  <si>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</si>
  <si>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</si>
  <si>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</si>
  <si>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</si>
  <si>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</si>
  <si>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</si>
  <si>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</si>
  <si>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</si>
  <si>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</si>
  <si>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</si>
  <si>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</si>
  <si>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</si>
  <si>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</si>
  <si>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</si>
  <si>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</si>
  <si>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</si>
  <si>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</si>
  <si>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</si>
  <si>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</si>
  <si>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</si>
  <si>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</si>
  <si>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</si>
  <si>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</si>
  <si>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</si>
  <si>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</si>
  <si>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</si>
  <si>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</si>
  <si>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</si>
  <si>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</si>
  <si>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</si>
  <si>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</si>
  <si>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</si>
  <si>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</si>
  <si>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</si>
  <si>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</si>
  <si>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</si>
  <si>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</si>
  <si>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</si>
  <si>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</si>
  <si>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</si>
  <si>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</si>
  <si>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</si>
  <si>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</si>
  <si>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</si>
  <si>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</si>
  <si>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</si>
  <si>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</si>
  <si>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</si>
  <si>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</si>
  <si>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</si>
  <si>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</si>
  <si>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</si>
  <si>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</si>
  <si>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</si>
  <si>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</si>
  <si>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</si>
  <si>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</si>
  <si>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</si>
  <si>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</si>
  <si>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</si>
  <si>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</si>
  <si>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</si>
  <si>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</si>
  <si>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</si>
  <si>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</si>
  <si>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</si>
  <si>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</si>
  <si>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</si>
  <si>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</si>
  <si>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</si>
  <si>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</si>
  <si>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</si>
  <si>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</si>
  <si>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</si>
  <si>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</si>
  <si>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</si>
  <si>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</si>
  <si>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</si>
  <si>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</si>
  <si>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</si>
  <si>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</si>
  <si>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</si>
  <si>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</si>
  <si>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</si>
  <si>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</si>
  <si>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</si>
  <si>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</si>
  <si>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</si>
  <si>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</si>
  <si>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</si>
  <si>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</si>
  <si>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</si>
  <si>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</si>
  <si>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</si>
  <si>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</si>
  <si>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</si>
  <si>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</si>
  <si>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</si>
  <si>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</si>
  <si>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</si>
  <si>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</si>
  <si>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</si>
  <si>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</si>
  <si>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</si>
  <si>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</si>
  <si>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</si>
  <si>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</si>
  <si>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</si>
  <si>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</si>
  <si>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</si>
  <si>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</si>
  <si>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</si>
  <si>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</si>
  <si>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</si>
  <si>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</si>
  <si>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</si>
  <si>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</si>
  <si>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</si>
  <si>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</si>
  <si>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</si>
  <si>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</si>
  <si>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</si>
  <si>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 TONIGHT…FAIR    WITH  LIGHT  VARIABLE  WINDS.  </t>
  </si>
  <si>
    <t xml:space="preserve">    MOSTLY  SUNNY  </t>
  </si>
  <si>
    <t xml:space="preserve">    MOSTLY  SUNNY  WIND   SE   5  TO   10   MPH.</t>
  </si>
  <si>
    <t xml:space="preserve">    PARTLY   CLOUDY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</si>
</sst>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6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6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6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6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6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6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37069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37069</v>
      </c>
      <c r="E4" s="833">
        <f>Weather_Input!A6</f>
        <v>37070</v>
      </c>
      <c r="F4" s="833">
        <f>Weather_Input!A7</f>
        <v>37071</v>
      </c>
      <c r="G4" s="833">
        <f>Weather_Input!A8</f>
        <v>37072</v>
      </c>
      <c r="H4" s="833">
        <f>Weather_Input!A9</f>
        <v>37073</v>
      </c>
      <c r="I4" s="834">
        <f>Weather_Input!A10</f>
        <v>37074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87/66/77</v>
      </c>
      <c r="E5" s="866" t="str">
        <f>TEXT(Weather_Input!B6,"0")&amp;"/"&amp;TEXT(Weather_Input!C6,"0") &amp; "/" &amp; TEXT((Weather_Input!B6+Weather_Input!C6)/2,"0")</f>
        <v>87/67/77</v>
      </c>
      <c r="F5" s="866" t="str">
        <f>TEXT(Weather_Input!B7,"0")&amp;"/"&amp;TEXT(Weather_Input!C7,"0") &amp; "/" &amp; TEXT((Weather_Input!B7+Weather_Input!C7)/2,"0")</f>
        <v>87/68/78</v>
      </c>
      <c r="G5" s="866" t="str">
        <f>TEXT(Weather_Input!B8,"0")&amp;"/"&amp;TEXT(Weather_Input!C8,"0") &amp; "/" &amp; TEXT((Weather_Input!B8+Weather_Input!C8)/2,"0")</f>
        <v>85/65/75</v>
      </c>
      <c r="H5" s="866" t="str">
        <f>TEXT(Weather_Input!B9,"0")&amp;"/"&amp;TEXT(Weather_Input!C9,"0") &amp; "/" &amp; TEXT((Weather_Input!B9+Weather_Input!C9)/2,"0")</f>
        <v>81/59/70</v>
      </c>
      <c r="I5" s="867" t="str">
        <f>TEXT(Weather_Input!B10,"0")&amp;"/"&amp;TEXT(Weather_Input!C10,"0") &amp; "/" &amp; TEXT((Weather_Input!B10+Weather_Input!C10)/2,"0")</f>
        <v>81/59/70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37.5</v>
      </c>
      <c r="E6" s="836">
        <f ca="1">VLOOKUP(E4,NSG_Sendouts,CELL("Col",NSG_Deliveries!C6),FALSE)/1000</f>
        <v>37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35</v>
      </c>
      <c r="I6" s="841">
        <f ca="1">VLOOKUP(I4,NSG_Sendouts,CELL("Col",NSG_Deliveries!C10),FALSE)/1000</f>
        <v>36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3.55</v>
      </c>
      <c r="E8" s="836">
        <f>NSG_Requirements!J8/1000</f>
        <v>0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41.05</v>
      </c>
      <c r="E11" s="845">
        <f t="shared" ca="1" si="1"/>
        <v>37</v>
      </c>
      <c r="F11" s="845">
        <f t="shared" ca="1" si="1"/>
        <v>34</v>
      </c>
      <c r="G11" s="845">
        <f t="shared" ca="1" si="1"/>
        <v>33</v>
      </c>
      <c r="H11" s="845">
        <f t="shared" ca="1" si="1"/>
        <v>35</v>
      </c>
      <c r="I11" s="846">
        <f t="shared" ca="1" si="1"/>
        <v>36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29.135999999999999</v>
      </c>
      <c r="E19" s="836">
        <f>NSG_Supplies!Q8/1000</f>
        <v>32.259</v>
      </c>
      <c r="F19" s="836">
        <f>NSG_Supplies!Q9/1000</f>
        <v>32.259</v>
      </c>
      <c r="G19" s="836">
        <f>NSG_Supplies!Q10/1000</f>
        <v>32.259</v>
      </c>
      <c r="H19" s="836">
        <f>NSG_Supplies!Q11/1000</f>
        <v>32.259</v>
      </c>
      <c r="I19" s="837">
        <f>NSG_Supplies!Q12/1000</f>
        <v>32.259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11.914</v>
      </c>
      <c r="F20" s="836">
        <f>NSG_Supplies!P9/1000</f>
        <v>11.914</v>
      </c>
      <c r="G20" s="836">
        <f>NSG_Supplies!P10/1000</f>
        <v>11.914</v>
      </c>
      <c r="H20" s="836">
        <f>NSG_Supplies!P11/1000</f>
        <v>11.914</v>
      </c>
      <c r="I20" s="837">
        <f>NSG_Supplies!P12/1000</f>
        <v>11.914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41.05</v>
      </c>
      <c r="E21" s="1244">
        <f t="shared" si="2"/>
        <v>44.173000000000002</v>
      </c>
      <c r="F21" s="1244">
        <f t="shared" si="2"/>
        <v>44.173000000000002</v>
      </c>
      <c r="G21" s="1244">
        <f t="shared" si="2"/>
        <v>44.173000000000002</v>
      </c>
      <c r="H21" s="1244">
        <f t="shared" si="2"/>
        <v>44.173000000000002</v>
      </c>
      <c r="I21" s="1245">
        <f t="shared" si="2"/>
        <v>44.173000000000002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0</v>
      </c>
      <c r="E22" s="877">
        <f t="shared" ca="1" si="3"/>
        <v>7.1730000000000018</v>
      </c>
      <c r="F22" s="877">
        <f t="shared" ca="1" si="3"/>
        <v>10.173000000000002</v>
      </c>
      <c r="G22" s="877">
        <f t="shared" ca="1" si="3"/>
        <v>11.173000000000002</v>
      </c>
      <c r="H22" s="877">
        <f t="shared" ca="1" si="3"/>
        <v>9.1730000000000018</v>
      </c>
      <c r="I22" s="878">
        <f t="shared" ca="1" si="3"/>
        <v>8.1730000000000018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17.175000000000001</v>
      </c>
      <c r="E24" s="1097">
        <f>NSG_Supplies!R8/1000</f>
        <v>17.262</v>
      </c>
      <c r="F24" s="1097">
        <f>NSG_Supplies!R9/1000</f>
        <v>17.262</v>
      </c>
      <c r="G24" s="1097">
        <f>NSG_Supplies!R10/1000</f>
        <v>17.262</v>
      </c>
      <c r="H24" s="1097">
        <f>NSG_Supplies!R11/1000</f>
        <v>17.262</v>
      </c>
      <c r="I24" s="1098">
        <f>NSG_Supplies!R12/1000</f>
        <v>17.262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5</v>
      </c>
      <c r="E26" s="884">
        <f>Weather_Input!D6</f>
        <v>8</v>
      </c>
      <c r="F26" s="884">
        <f>Weather_Input!D7</f>
        <v>8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22" zoomScale="75" workbookViewId="0">
      <selection activeCell="P30" sqref="P30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37069</v>
      </c>
      <c r="N1" s="1218" t="str">
        <f>CHOOSE(WEEKDAY(M1),"SUN","MON","TUE","WED","THU","FRI","SAT")</f>
        <v>WED</v>
      </c>
      <c r="O1" s="588"/>
    </row>
    <row r="2" spans="1:17" ht="16.2" thickTop="1" thickBot="1">
      <c r="A2" s="420" t="s">
        <v>698</v>
      </c>
      <c r="B2" s="319">
        <f>PGL_Supplies!W7/1000</f>
        <v>0.6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87</v>
      </c>
      <c r="K3" s="945">
        <f>Weather_Input!C5</f>
        <v>66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>
        <v>76.8</v>
      </c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98.796999999999997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210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99.396999999999991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0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17</v>
      </c>
      <c r="G9" s="319"/>
      <c r="H9" s="1126"/>
      <c r="I9" s="119" t="s">
        <v>695</v>
      </c>
      <c r="J9" s="1044"/>
      <c r="K9" s="1264">
        <f>+B6</f>
        <v>99.396999999999991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4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21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-134.22999999999999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135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219.69399999999999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21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-7.28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2.0249999999999999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-0.32800000000000001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-134.22999999999999</v>
      </c>
      <c r="C19" s="515"/>
      <c r="D19" s="527"/>
      <c r="E19" s="1146" t="s">
        <v>743</v>
      </c>
      <c r="F19" s="1211">
        <f>PGL_Requirements!J7/1000</f>
        <v>0.32800000000000001</v>
      </c>
      <c r="G19" s="1033" t="s">
        <v>9</v>
      </c>
      <c r="H19" s="1147" t="s">
        <v>9</v>
      </c>
      <c r="I19" t="s">
        <v>536</v>
      </c>
      <c r="J19" s="1214"/>
      <c r="K19" s="1268">
        <f>-F24</f>
        <v>-10.199999999999999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203.053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6.9470000000000027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10.199999999999999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2.0249999999999999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8.9720000000000031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23.7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-32.668999999999997</v>
      </c>
      <c r="L30" s="1161"/>
      <c r="M30" s="1061">
        <f>-PGL_Supplies!AB7/1000</f>
        <v>-32.668999999999997</v>
      </c>
      <c r="N30" s="1162"/>
      <c r="O30" s="1222">
        <f>-PGL_Supplies!AB7/1000</f>
        <v>-32.668999999999997</v>
      </c>
    </row>
    <row r="31" spans="1:15" ht="16.2" thickBot="1">
      <c r="A31" s="365" t="s">
        <v>459</v>
      </c>
      <c r="B31" s="966">
        <f>PGL_Supplies!D7/1000</f>
        <v>3.2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208.994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15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219.69399999999999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209.494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10.199999999999999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045">
        <f>PGL_Requirements!J7/1000</f>
        <v>0.32800000000000001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220.02199999999999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24">
        <f>Weather_Input!A5</f>
        <v>37069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>
        <v>76.8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87</v>
      </c>
      <c r="C4" s="750">
        <f>Weather_Input!C5</f>
        <v>66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37.5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29.135999999999999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8.3640000000000008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29.135999999999999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-29.135999999999999</v>
      </c>
      <c r="D25" s="710"/>
      <c r="E25" s="703">
        <f>-NSG_Supplies!Q7/1000</f>
        <v>-29.135999999999999</v>
      </c>
      <c r="F25" s="710"/>
      <c r="G25" s="703">
        <f>-NSG_Supplies!Q7/1000</f>
        <v>-29.135999999999999</v>
      </c>
      <c r="H25" s="709"/>
      <c r="I25" s="766">
        <f>-NSG_Supplies!Q7/1000</f>
        <v>-29.135999999999999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3.55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8.3640000000000008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37069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87</v>
      </c>
      <c r="C5" s="261">
        <f>Weather_Input!C5</f>
        <v>66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210</v>
      </c>
      <c r="C8" s="269">
        <f>NSG_Deliveries!C5/1000</f>
        <v>37.5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119.892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-15.203000000000003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7.28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37.5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2.0249999999999999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37.5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0.23</v>
      </c>
      <c r="C27" s="305">
        <f>NSG_Requirements!P7/1000</f>
        <v>0</v>
      </c>
      <c r="D27" s="305">
        <f>PGL_Requirements!Q7/1000</f>
        <v>0.23</v>
      </c>
      <c r="E27" s="305">
        <f>NSG_Requirements!P7/1000</f>
        <v>0</v>
      </c>
      <c r="F27" s="305">
        <f>PGL_Requirements!Q7/1000</f>
        <v>0.23</v>
      </c>
      <c r="G27" s="305">
        <f>NSG_Requirements!P7/1000</f>
        <v>0</v>
      </c>
      <c r="H27" s="306">
        <f>+B27</f>
        <v>0.23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-32.668999999999997</v>
      </c>
      <c r="C32" s="310">
        <f>-NSG_Supplies!Q7/1000</f>
        <v>-29.135999999999999</v>
      </c>
      <c r="D32" s="310">
        <f>B32</f>
        <v>-32.668999999999997</v>
      </c>
      <c r="E32" s="310">
        <f>C32</f>
        <v>-29.135999999999999</v>
      </c>
      <c r="F32" s="310">
        <f>B32</f>
        <v>-32.668999999999997</v>
      </c>
      <c r="G32" s="310">
        <f>C32</f>
        <v>-29.135999999999999</v>
      </c>
      <c r="H32" s="315">
        <f>B32</f>
        <v>-32.668999999999997</v>
      </c>
      <c r="I32" s="316">
        <f>C32</f>
        <v>-29.135999999999999</v>
      </c>
    </row>
    <row r="33" spans="1:9" ht="17.100000000000001" customHeight="1">
      <c r="A33" s="314" t="s">
        <v>371</v>
      </c>
      <c r="B33" s="310">
        <f>-PGL_Supplies!W7/1000</f>
        <v>-0.6</v>
      </c>
      <c r="C33" s="310">
        <f>-NSG_Supplies!R7/1000</f>
        <v>-17.175000000000001</v>
      </c>
      <c r="D33" s="310">
        <f>B33</f>
        <v>-0.6</v>
      </c>
      <c r="E33" s="310">
        <f>C33</f>
        <v>-17.175000000000001</v>
      </c>
      <c r="F33" s="310">
        <f>B33</f>
        <v>-0.6</v>
      </c>
      <c r="G33" s="310">
        <f>C33</f>
        <v>-17.175000000000001</v>
      </c>
      <c r="H33" s="315">
        <f>B33</f>
        <v>-0.6</v>
      </c>
      <c r="I33" s="316">
        <f>C33</f>
        <v>-17.175000000000001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23.7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135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2.0249999999999999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2.0249999999999999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119.892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119.892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98.796999999999997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21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135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0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-15.203000000000003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37069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119.892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119.797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7.28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-0.6</v>
      </c>
      <c r="C123" s="310">
        <f>-NSG_Supplies!R7/1000</f>
        <v>-17.175000000000001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23.7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119.892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119.892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135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2.0249999999999999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0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17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98.796999999999997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119.797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37070.143745717593</v>
      </c>
      <c r="F22" s="161" t="s">
        <v>257</v>
      </c>
      <c r="G22" s="188">
        <f ca="1">NOW()</f>
        <v>37070.143745717593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37069</v>
      </c>
      <c r="C5" s="15"/>
      <c r="D5" s="22" t="s">
        <v>275</v>
      </c>
      <c r="E5" s="23">
        <f>Weather_Input!B5</f>
        <v>87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66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76.5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 MOSTLY  SUNNY  WIND   SE   5  TO   10 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TONIGHT…FAIR    WITH  LIGHT  VARIABLE  WINDS. 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37070</v>
      </c>
      <c r="C10" s="15"/>
      <c r="D10" s="150" t="s">
        <v>275</v>
      </c>
      <c r="E10" s="23">
        <f>Weather_Input!B6</f>
        <v>87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67</v>
      </c>
      <c r="F11" s="24" t="s">
        <v>278</v>
      </c>
      <c r="G11" s="25">
        <f>IF(DAY(B10)=1,G10,G6+G10)</f>
        <v>88</v>
      </c>
      <c r="H11" s="30" t="s">
        <v>279</v>
      </c>
      <c r="I11" s="27">
        <f ca="1">G11-(VLOOKUP(B10,DD_Normal_Data,CELL("Col",C12),FALSE))</f>
        <v>42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77</v>
      </c>
      <c r="F12" s="24" t="s">
        <v>281</v>
      </c>
      <c r="G12" s="25">
        <f>IF(AND(DAY(B10)=1,MONTH(B10)=8),G10,G7+G10)</f>
        <v>6700</v>
      </c>
      <c r="H12" s="26" t="s">
        <v>281</v>
      </c>
      <c r="I12" s="27">
        <f ca="1">G12-(VLOOKUP(B10,DD_Normal_Data,CELL("Col",D9),FALSE))</f>
        <v>278</v>
      </c>
    </row>
    <row r="13" spans="1:109" ht="15">
      <c r="A13" s="18"/>
      <c r="B13" s="21"/>
      <c r="C13" s="15"/>
      <c r="D13" s="32" t="str">
        <f>IF(Weather_Input!I6=""," ",Weather_Input!I6)</f>
        <v xml:space="preserve">    MOSTLY  SUNNY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37071</v>
      </c>
      <c r="C15" s="15"/>
      <c r="D15" s="22" t="s">
        <v>275</v>
      </c>
      <c r="E15" s="23">
        <f>Weather_Input!B7</f>
        <v>87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68</v>
      </c>
      <c r="F16" s="24" t="s">
        <v>278</v>
      </c>
      <c r="G16" s="25">
        <f>IF(DAY(B15)=1,G15,G11+G15)</f>
        <v>88</v>
      </c>
      <c r="H16" s="30" t="s">
        <v>279</v>
      </c>
      <c r="I16" s="27">
        <f ca="1">G16-(VLOOKUP(B15,DD_Normal_Data,CELL("Col",C17),FALSE))</f>
        <v>42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77.5</v>
      </c>
      <c r="F17" s="24" t="s">
        <v>281</v>
      </c>
      <c r="G17" s="25">
        <f>IF(AND(DAY(B15)=1,MONTH(B15)=8),G15,G12+G15)</f>
        <v>6700</v>
      </c>
      <c r="H17" s="26" t="s">
        <v>281</v>
      </c>
      <c r="I17" s="27">
        <f ca="1">G17-(VLOOKUP(B15,DD_Normal_Data,CELL("Col",D14),FALSE))</f>
        <v>278</v>
      </c>
    </row>
    <row r="18" spans="1:109" ht="15">
      <c r="A18" s="18"/>
      <c r="B18" s="20"/>
      <c r="C18" s="15"/>
      <c r="D18" s="32" t="str">
        <f>IF(Weather_Input!I7=""," ",Weather_Input!I7)</f>
        <v xml:space="preserve">    PARTLY   CLOUDY    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37072</v>
      </c>
      <c r="C20" s="15"/>
      <c r="D20" s="22" t="s">
        <v>275</v>
      </c>
      <c r="E20" s="23">
        <f>Weather_Input!B8</f>
        <v>85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65</v>
      </c>
      <c r="F21" s="24" t="s">
        <v>278</v>
      </c>
      <c r="G21" s="25">
        <f>IF(DAY(B20)=1,G20,G16+G20)</f>
        <v>88</v>
      </c>
      <c r="H21" s="30" t="s">
        <v>279</v>
      </c>
      <c r="I21" s="27">
        <f ca="1">G21-(VLOOKUP(B20,DD_Normal_Data,CELL("Col",C22),FALSE))</f>
        <v>42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75</v>
      </c>
      <c r="F22" s="24" t="s">
        <v>281</v>
      </c>
      <c r="G22" s="25">
        <f>IF(AND(DAY(B20)=1,MONTH(B20)=8),G20,G17+G20)</f>
        <v>6700</v>
      </c>
      <c r="H22" s="26" t="s">
        <v>281</v>
      </c>
      <c r="I22" s="27">
        <f ca="1">G22-(VLOOKUP(B20,DD_Normal_Data,CELL("Col",D19),FALSE))</f>
        <v>278</v>
      </c>
    </row>
    <row r="23" spans="1:109" ht="15">
      <c r="A23" s="18"/>
      <c r="B23" s="21"/>
      <c r="C23" s="15"/>
      <c r="D23" s="32" t="str">
        <f>IF(Weather_Input!I8=""," ",Weather_Input!I8)</f>
        <v xml:space="preserve">    PARTLY   CLOUDY    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37073</v>
      </c>
      <c r="C25" s="15"/>
      <c r="D25" s="22" t="s">
        <v>275</v>
      </c>
      <c r="E25" s="23">
        <f>Weather_Input!B9</f>
        <v>81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59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70</v>
      </c>
      <c r="F27" s="24" t="s">
        <v>281</v>
      </c>
      <c r="G27" s="25">
        <f>IF(AND(DAY(B25)=1,MONTH(B25)=8),G25,G22+G25)</f>
        <v>6700</v>
      </c>
      <c r="H27" s="26" t="s">
        <v>281</v>
      </c>
      <c r="I27" s="27">
        <f ca="1">G27-(VLOOKUP(B25,DD_Normal_Data,CELL("Col",D24),FALSE))</f>
        <v>278</v>
      </c>
    </row>
    <row r="28" spans="1:109" ht="15">
      <c r="A28" s="18"/>
      <c r="B28" s="20"/>
      <c r="C28" s="15"/>
      <c r="D28" s="32" t="str">
        <f>IF(Weather_Input!I9=""," ",Weather_Input!I9)</f>
        <v xml:space="preserve">    PARTLY   CLOUDY    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37074</v>
      </c>
      <c r="C30" s="15"/>
      <c r="D30" s="22" t="s">
        <v>275</v>
      </c>
      <c r="E30" s="23">
        <f>Weather_Input!B10</f>
        <v>81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59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70</v>
      </c>
      <c r="F32" s="24" t="s">
        <v>281</v>
      </c>
      <c r="G32" s="25">
        <f>IF(AND(DAY(B30)=1,MONTH(B30)=8),G30,G27+G30)</f>
        <v>6700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 xml:space="preserve">    PARTLY   CLOUDY    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37069</v>
      </c>
      <c r="C36" s="89">
        <f>B10</f>
        <v>37070</v>
      </c>
      <c r="D36" s="89">
        <f>B15</f>
        <v>37071</v>
      </c>
      <c r="E36" s="89">
        <f xml:space="preserve">       B20</f>
        <v>37072</v>
      </c>
      <c r="F36" s="89">
        <f>B25</f>
        <v>37073</v>
      </c>
      <c r="G36" s="89">
        <f>B30</f>
        <v>37074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210</v>
      </c>
      <c r="C37" s="41">
        <f ca="1">(VLOOKUP(C36,PGL_Sendouts,(CELL("COL",PGL_Deliveries!C7))))/1000</f>
        <v>210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180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388.96299999999997</v>
      </c>
      <c r="C38" s="41">
        <f>PGL_6_Day_Report!E25</f>
        <v>360.85449999999997</v>
      </c>
      <c r="D38" s="41">
        <f>PGL_6_Day_Report!F25</f>
        <v>336.45499999999998</v>
      </c>
      <c r="E38" s="41">
        <f>PGL_6_Day_Report!G25</f>
        <v>321.45499999999998</v>
      </c>
      <c r="F38" s="41">
        <f>PGL_6_Day_Report!H25</f>
        <v>336.45499999999998</v>
      </c>
      <c r="G38" s="41">
        <f>PGL_6_Day_Report!I25</f>
        <v>351.45499999999998</v>
      </c>
      <c r="H38" s="14"/>
      <c r="I38" s="15"/>
    </row>
    <row r="39" spans="1:9" ht="15">
      <c r="A39" s="42" t="s">
        <v>104</v>
      </c>
      <c r="B39" s="41">
        <f>SUM(PGL_Supplies!Y7:AD7)/1000</f>
        <v>245.863</v>
      </c>
      <c r="C39" s="41">
        <f>SUM(PGL_Supplies!Y8:AD8)/1000</f>
        <v>234.57599999999999</v>
      </c>
      <c r="D39" s="41">
        <f>SUM(PGL_Supplies!Y9:AD9)/1000</f>
        <v>234.57599999999999</v>
      </c>
      <c r="E39" s="41">
        <f>SUM(PGL_Supplies!Y10:AD10)/1000</f>
        <v>234.57599999999999</v>
      </c>
      <c r="F39" s="41">
        <f>SUM(PGL_Supplies!Y11:AD11)/1000</f>
        <v>234.57599999999999</v>
      </c>
      <c r="G39" s="41">
        <f>SUM(PGL_Supplies!Y12:AD12)/1000</f>
        <v>234.57599999999999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0.43</v>
      </c>
      <c r="C41" s="41">
        <f>SUM(PGL_Requirements!Q7:T7)/1000</f>
        <v>0.43</v>
      </c>
      <c r="D41" s="41">
        <f>SUM(PGL_Requirements!Q7:T7)/1000</f>
        <v>0.43</v>
      </c>
      <c r="E41" s="41">
        <f>SUM(PGL_Requirements!Q7:T7)/1000</f>
        <v>0.43</v>
      </c>
      <c r="F41" s="41">
        <f>SUM(PGL_Requirements!Q7:T7)/1000</f>
        <v>0.43</v>
      </c>
      <c r="G41" s="41">
        <f>SUM(PGL_Requirements!Q7:T7)/1000</f>
        <v>0.43</v>
      </c>
      <c r="H41" s="14"/>
      <c r="I41" s="15"/>
    </row>
    <row r="42" spans="1:9" ht="15">
      <c r="A42" s="15" t="s">
        <v>127</v>
      </c>
      <c r="B42" s="41">
        <f>PGL_Supplies!U7/1000</f>
        <v>119.892</v>
      </c>
      <c r="C42" s="41">
        <f>PGL_Supplies!U8/1000</f>
        <v>131.11600000000001</v>
      </c>
      <c r="D42" s="41">
        <f>PGL_Supplies!U9/1000</f>
        <v>131.11600000000001</v>
      </c>
      <c r="E42" s="41">
        <f>PGL_Supplies!U10/1000</f>
        <v>131.11600000000001</v>
      </c>
      <c r="F42" s="41">
        <f>PGL_Supplies!U11/1000</f>
        <v>131.11600000000001</v>
      </c>
      <c r="G42" s="41">
        <f>PGL_Supplies!U12/1000</f>
        <v>131.11600000000001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37069</v>
      </c>
      <c r="C44" s="89">
        <f t="shared" si="0"/>
        <v>37070</v>
      </c>
      <c r="D44" s="89">
        <f t="shared" si="0"/>
        <v>37071</v>
      </c>
      <c r="E44" s="89">
        <f t="shared" si="0"/>
        <v>37072</v>
      </c>
      <c r="F44" s="89">
        <f t="shared" si="0"/>
        <v>37073</v>
      </c>
      <c r="G44" s="89">
        <f t="shared" si="0"/>
        <v>37074</v>
      </c>
      <c r="H44" s="14"/>
      <c r="I44" s="15"/>
    </row>
    <row r="45" spans="1:9" ht="15">
      <c r="A45" s="15" t="s">
        <v>54</v>
      </c>
      <c r="B45" s="41">
        <f ca="1">NSG_6_Day_Report!D6</f>
        <v>37.5</v>
      </c>
      <c r="C45" s="41">
        <f ca="1">NSG_6_Day_Report!E6</f>
        <v>37</v>
      </c>
      <c r="D45" s="41">
        <f ca="1">NSG_6_Day_Report!F6</f>
        <v>34</v>
      </c>
      <c r="E45" s="41">
        <f ca="1">NSG_6_Day_Report!G6</f>
        <v>33</v>
      </c>
      <c r="F45" s="41">
        <f ca="1">NSG_6_Day_Report!H6</f>
        <v>35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41.05</v>
      </c>
      <c r="C46" s="41">
        <f ca="1">NSG_6_Day_Report!E11</f>
        <v>37</v>
      </c>
      <c r="D46" s="41">
        <f ca="1">NSG_6_Day_Report!F11</f>
        <v>34</v>
      </c>
      <c r="E46" s="41">
        <f ca="1">NSG_6_Day_Report!G11</f>
        <v>33</v>
      </c>
      <c r="F46" s="41">
        <f ca="1">NSG_6_Day_Report!H11</f>
        <v>35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41.05</v>
      </c>
      <c r="C47" s="41">
        <f>SUM(NSG_Supplies!O8:Q8)/1000</f>
        <v>44.173000000000002</v>
      </c>
      <c r="D47" s="41">
        <f>SUM(NSG_Supplies!O9:Q9)/1000</f>
        <v>44.173000000000002</v>
      </c>
      <c r="E47" s="41">
        <f>SUM(NSG_Supplies!O10:Q10)/1000</f>
        <v>44.173000000000002</v>
      </c>
      <c r="F47" s="41">
        <f>SUM(NSG_Supplies!O11:Q11)/1000</f>
        <v>44.173000000000002</v>
      </c>
      <c r="G47" s="41">
        <f>SUM(NSG_Supplies!O12:Q12)/1000</f>
        <v>44.173000000000002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17.175000000000001</v>
      </c>
      <c r="C50" s="41">
        <f>NSG_Supplies!R8/1000</f>
        <v>17.262</v>
      </c>
      <c r="D50" s="41">
        <f>NSG_Supplies!R9/1000</f>
        <v>17.262</v>
      </c>
      <c r="E50" s="41">
        <f>NSG_Supplies!R10/1000</f>
        <v>17.262</v>
      </c>
      <c r="F50" s="41">
        <f>NSG_Supplies!R11/1000</f>
        <v>17.262</v>
      </c>
      <c r="G50" s="41">
        <f>NSG_Supplies!R12/1000</f>
        <v>17.262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37069</v>
      </c>
      <c r="C52" s="89">
        <f t="shared" si="1"/>
        <v>37070</v>
      </c>
      <c r="D52" s="89">
        <f t="shared" si="1"/>
        <v>37071</v>
      </c>
      <c r="E52" s="89">
        <f t="shared" si="1"/>
        <v>37072</v>
      </c>
      <c r="F52" s="89">
        <f t="shared" si="1"/>
        <v>37073</v>
      </c>
      <c r="G52" s="89">
        <f t="shared" si="1"/>
        <v>37074</v>
      </c>
      <c r="H52" s="14"/>
      <c r="I52" s="15"/>
    </row>
    <row r="53" spans="1:9" ht="15">
      <c r="A53" s="92" t="s">
        <v>290</v>
      </c>
      <c r="B53" s="41">
        <f>PGL_Requirements!O7/1000</f>
        <v>135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Thursday</v>
      </c>
      <c r="C4" s="1066" t="str">
        <f>Six_Day_Summary!A15</f>
        <v>Friday</v>
      </c>
      <c r="D4" s="1066" t="str">
        <f>Six_Day_Summary!A20</f>
        <v>Saturday</v>
      </c>
      <c r="E4" s="1066" t="str">
        <f>Six_Day_Summary!A25</f>
        <v>Sunday</v>
      </c>
      <c r="F4" s="1067" t="str">
        <f>Six_Day_Summary!A30</f>
        <v>Monday</v>
      </c>
      <c r="G4" s="98"/>
    </row>
    <row r="5" spans="1:8">
      <c r="A5" s="101" t="s">
        <v>297</v>
      </c>
      <c r="B5" s="1068">
        <f>Weather_Input!A6</f>
        <v>37070</v>
      </c>
      <c r="C5" s="1069">
        <f>Weather_Input!A7</f>
        <v>37071</v>
      </c>
      <c r="D5" s="1069">
        <f>Weather_Input!A8</f>
        <v>37072</v>
      </c>
      <c r="E5" s="1069">
        <f>Weather_Input!A9</f>
        <v>37073</v>
      </c>
      <c r="F5" s="1070">
        <f>Weather_Input!A10</f>
        <v>37074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31.637</v>
      </c>
      <c r="C6" s="1071">
        <f>PGL_Supplies!AB9/1000+PGL_Supplies!K9/1000-PGL_Requirements!N9/1000+C15-PGL_Requirements!S9/1000</f>
        <v>31.637</v>
      </c>
      <c r="D6" s="1071">
        <f>PGL_Supplies!AB10/1000+PGL_Supplies!K10/1000-PGL_Requirements!N10/1000+D15-PGL_Requirements!S10/1000</f>
        <v>31.637</v>
      </c>
      <c r="E6" s="1071">
        <f>PGL_Supplies!AB11/1000+PGL_Supplies!K11/1000-PGL_Requirements!N11/1000+E15-PGL_Requirements!S11/1000</f>
        <v>31.637</v>
      </c>
      <c r="F6" s="1072">
        <f>PGL_Supplies!AB12/1000+PGL_Supplies!K12/1000-PGL_Requirements!N12/1000+F15-PGL_Requirements!S12/1000</f>
        <v>31.637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Thursday</v>
      </c>
      <c r="C21" s="1081" t="str">
        <f t="shared" si="0"/>
        <v>Friday</v>
      </c>
      <c r="D21" s="1081" t="str">
        <f t="shared" si="0"/>
        <v>Saturday</v>
      </c>
      <c r="E21" s="1081" t="str">
        <f t="shared" si="0"/>
        <v>Sunday</v>
      </c>
      <c r="F21" s="1082" t="str">
        <f t="shared" si="0"/>
        <v>Monday</v>
      </c>
      <c r="G21" s="98"/>
    </row>
    <row r="22" spans="1:7">
      <c r="A22" s="105" t="s">
        <v>297</v>
      </c>
      <c r="B22" s="1083">
        <f t="shared" si="0"/>
        <v>37070</v>
      </c>
      <c r="C22" s="1083">
        <f t="shared" si="0"/>
        <v>37071</v>
      </c>
      <c r="D22" s="1083">
        <f t="shared" si="0"/>
        <v>37072</v>
      </c>
      <c r="E22" s="1083">
        <f t="shared" si="0"/>
        <v>37073</v>
      </c>
      <c r="F22" s="1084">
        <f t="shared" si="0"/>
        <v>37074</v>
      </c>
      <c r="G22" s="98"/>
    </row>
    <row r="23" spans="1:7">
      <c r="A23" s="98" t="s">
        <v>298</v>
      </c>
      <c r="B23" s="1077">
        <f>NSG_Supplies!Q8/1000+NSG_Supplies!F8/1000-NSG_Requirements!H8/1000</f>
        <v>32.259</v>
      </c>
      <c r="C23" s="1077">
        <f>NSG_Supplies!Q9/1000+NSG_Supplies!F9/1000-NSG_Requirements!H9/1000</f>
        <v>32.259</v>
      </c>
      <c r="D23" s="1077">
        <f>NSG_Supplies!Q10/1000+NSG_Supplies!F10/1000-NSG_Requirements!H10/1000</f>
        <v>32.259</v>
      </c>
      <c r="E23" s="1077">
        <f>NSG_Supplies!Q12/1000+NSG_Supplies!F11/1000-NSG_Requirements!H11/1000</f>
        <v>32.259</v>
      </c>
      <c r="F23" s="1072">
        <f>NSG_Supplies!Q12/1000+NSG_Supplies!F12/1000-NSG_Requirements!H12/1000</f>
        <v>32.259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37070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11.914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0</v>
      </c>
      <c r="E4" s="789"/>
      <c r="F4" s="169" t="s">
        <v>520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11.914</v>
      </c>
      <c r="D5" s="433"/>
      <c r="E5" s="435">
        <f>AVERAGE(C5/24)</f>
        <v>0.49641666666666667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5.625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50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200.239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105.45399999999999</v>
      </c>
      <c r="D11" s="778"/>
      <c r="E11" s="1056"/>
      <c r="F11" s="430" t="s">
        <v>356</v>
      </c>
      <c r="G11" s="442">
        <f>G8+G10</f>
        <v>250.239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105.45399999999999</v>
      </c>
      <c r="D14" s="433"/>
      <c r="E14" s="435">
        <f>AVERAGE(C14/24)</f>
        <v>4.3939166666666667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231.44</v>
      </c>
      <c r="H15" s="433" t="s">
        <v>9</v>
      </c>
      <c r="I15" s="435">
        <f>AVERAGE(G15/24)</f>
        <v>9.6433333333333326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18.798999999999999</v>
      </c>
      <c r="H16" s="443" t="s">
        <v>9</v>
      </c>
      <c r="I16" s="435">
        <f>AVERAGE(G16/24)</f>
        <v>0.78329166666666661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2.5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2.5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-1.5</v>
      </c>
      <c r="H25" s="425"/>
      <c r="I25" s="889">
        <f>AVERAGE(G25/24)</f>
        <v>-6.25E-2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37070</v>
      </c>
      <c r="I1" s="914"/>
      <c r="J1" s="916"/>
      <c r="K1" s="916"/>
    </row>
    <row r="2" spans="1:22" ht="16.5" customHeight="1">
      <c r="A2" s="934" t="s">
        <v>641</v>
      </c>
      <c r="C2" s="982">
        <v>357</v>
      </c>
      <c r="F2" s="983">
        <v>360</v>
      </c>
      <c r="H2" s="916"/>
      <c r="I2" s="914" t="s">
        <v>643</v>
      </c>
      <c r="J2" s="936">
        <f>NSG_Supplies!P8/1000</f>
        <v>11.914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11.914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32.259</v>
      </c>
      <c r="I9" s="987"/>
      <c r="K9" s="914" t="s">
        <v>645</v>
      </c>
      <c r="L9" s="936">
        <f>NSG_Deliveries!C6/1000</f>
        <v>37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7.1730000000000018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105.45399999999999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360</v>
      </c>
      <c r="F15" s="988">
        <v>360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520</v>
      </c>
      <c r="D18" s="990"/>
      <c r="E18" s="990"/>
      <c r="F18" s="983">
        <v>794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231.44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0.32800000000000001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-1.5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210</v>
      </c>
      <c r="L26" s="914" t="s">
        <v>645</v>
      </c>
      <c r="M26" s="936">
        <f>NSG_Deliveries!C6/1000</f>
        <v>37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197.595</v>
      </c>
      <c r="L28" s="917" t="s">
        <v>689</v>
      </c>
      <c r="M28" s="942">
        <f>SUM(J2+K17+K19+H11+H9-M26)</f>
        <v>7.1730000000000018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37069</v>
      </c>
      <c r="G29" s="936">
        <f>PGL_Requirements!G7/1000</f>
        <v>20.399999999999999</v>
      </c>
      <c r="H29" s="915"/>
      <c r="J29" s="917" t="s">
        <v>649</v>
      </c>
      <c r="K29" s="936">
        <f>PGL_Supplies!AB8/1000+PGL_Supplies!K8/1000-PGL_Requirements!N8/1000</f>
        <v>31.637</v>
      </c>
    </row>
    <row r="30" spans="1:17" ht="10.5" customHeight="1">
      <c r="A30" s="919"/>
      <c r="B30" s="936"/>
      <c r="C30" s="917"/>
      <c r="D30" s="936"/>
      <c r="F30" s="1041">
        <f>PGL_Requirements!A8</f>
        <v>37070</v>
      </c>
      <c r="G30" s="936">
        <f>PGL_Requirements!G8/1000</f>
        <v>18.798999999999999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19.231999999999999</v>
      </c>
    </row>
    <row r="32" spans="1:17">
      <c r="A32" s="936">
        <f>PGL_Supplies!G8/1000</f>
        <v>1</v>
      </c>
      <c r="G32" s="936">
        <f>PGL_Requirements!O8/1000</f>
        <v>135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524</v>
      </c>
      <c r="F38" s="988">
        <v>751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351.39400000000001</v>
      </c>
      <c r="B40" s="930"/>
      <c r="C40" s="929"/>
      <c r="D40" s="930"/>
      <c r="E40" s="930"/>
      <c r="F40" s="998"/>
      <c r="G40" s="998">
        <f>SUM(G30:G35)</f>
        <v>153.79900000000001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197.595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250</v>
      </c>
      <c r="C45" s="1001">
        <v>410</v>
      </c>
      <c r="D45" s="1002">
        <f>SUM(F2+F15)/2</f>
        <v>360</v>
      </c>
      <c r="E45" s="1003"/>
      <c r="F45" s="1004">
        <v>6.7000000000000004E-2</v>
      </c>
      <c r="G45" s="1005">
        <f>(C45-D45)*F45</f>
        <v>3.35</v>
      </c>
      <c r="H45" s="1005">
        <f>(D45-B45)*F45</f>
        <v>7.37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250</v>
      </c>
      <c r="C47" s="1001">
        <v>410</v>
      </c>
      <c r="D47" s="1002">
        <f>SUM(C2+C15)/2</f>
        <v>358.5</v>
      </c>
      <c r="E47" s="1003"/>
      <c r="F47" s="1004">
        <v>0.14099999999999999</v>
      </c>
      <c r="G47" s="1005">
        <f>(C47-D47)*F47</f>
        <v>7.261499999999999</v>
      </c>
      <c r="H47" s="1005">
        <f>(D47-B47)*F47</f>
        <v>15.298499999999999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522</v>
      </c>
      <c r="E48" s="1003"/>
      <c r="F48" s="1004">
        <v>0.161</v>
      </c>
      <c r="G48" s="1005">
        <f>(C48-D48)*F48</f>
        <v>36.707999999999998</v>
      </c>
      <c r="H48" s="1005">
        <f>(D48-B48)*F48</f>
        <v>38.157000000000004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47.319499999999998</v>
      </c>
      <c r="H49" s="1005">
        <f>SUM(H45:H48)</f>
        <v>60.825500000000005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37069</v>
      </c>
      <c r="B5" s="11">
        <v>87</v>
      </c>
      <c r="C5" s="49">
        <v>66</v>
      </c>
      <c r="D5" s="49">
        <v>5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812</v>
      </c>
      <c r="J5" s="894" t="s">
        <v>810</v>
      </c>
      <c r="K5" s="11">
        <v>3</v>
      </c>
      <c r="L5" s="11">
        <v>1</v>
      </c>
      <c r="N5" s="15" t="str">
        <f>I5&amp;" "&amp;I5</f>
        <v xml:space="preserve">    MOSTLY  SUNNY  WIND   SE   5  TO   10   MPH.     MOSTLY  SUNNY  WIND   SE   5  TO   10   MPH.</v>
      </c>
      <c r="AE5" s="15">
        <v>1</v>
      </c>
      <c r="AH5" s="15" t="s">
        <v>32</v>
      </c>
    </row>
    <row r="6" spans="1:34" ht="16.5" customHeight="1">
      <c r="A6" s="86">
        <f>A5+1</f>
        <v>37070</v>
      </c>
      <c r="B6" s="11">
        <v>87</v>
      </c>
      <c r="C6" s="49">
        <v>67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94" t="s">
        <v>811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    MOSTLY  SUNNY    </v>
      </c>
      <c r="AE6" s="15">
        <v>1</v>
      </c>
      <c r="AH6" s="15" t="s">
        <v>33</v>
      </c>
    </row>
    <row r="7" spans="1:34" ht="16.5" customHeight="1">
      <c r="A7" s="86">
        <f>A6+1</f>
        <v>37071</v>
      </c>
      <c r="B7" s="11">
        <v>87</v>
      </c>
      <c r="C7" s="49">
        <v>68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    PARTLY   CLOUDY       </v>
      </c>
    </row>
    <row r="8" spans="1:34" ht="16.5" customHeight="1">
      <c r="A8" s="86">
        <f>A7+1</f>
        <v>37072</v>
      </c>
      <c r="B8" s="11">
        <v>85</v>
      </c>
      <c r="C8" s="49">
        <v>65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3</v>
      </c>
      <c r="L8" s="11"/>
      <c r="N8" s="15" t="str">
        <f>I8&amp;" "&amp;J8</f>
        <v xml:space="preserve">    PARTLY   CLOUDY       </v>
      </c>
    </row>
    <row r="9" spans="1:34" ht="16.5" customHeight="1">
      <c r="A9" s="86">
        <f>A8+1</f>
        <v>37073</v>
      </c>
      <c r="B9" s="11">
        <v>81</v>
      </c>
      <c r="C9" s="49">
        <v>59</v>
      </c>
      <c r="D9" s="49">
        <v>8</v>
      </c>
      <c r="E9" s="11" t="s">
        <v>9</v>
      </c>
      <c r="F9" s="11" t="s">
        <v>9</v>
      </c>
      <c r="G9" s="11"/>
      <c r="H9" s="11" t="s">
        <v>9</v>
      </c>
      <c r="I9" s="894" t="s">
        <v>813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    PARTLY   CLOUDY       </v>
      </c>
    </row>
    <row r="10" spans="1:34" ht="16.5" customHeight="1">
      <c r="A10" s="86">
        <f>A9+1</f>
        <v>37074</v>
      </c>
      <c r="B10" s="11">
        <v>81</v>
      </c>
      <c r="C10" s="49">
        <v>59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813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  PARTLY   CLOUDY     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4.3710000000000004</v>
      </c>
      <c r="C2" s="60"/>
      <c r="D2" s="118" t="s">
        <v>310</v>
      </c>
      <c r="E2" s="421">
        <f>Weather_Input!A5</f>
        <v>37069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104.374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4.3710000000000004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16.806999999999999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182.07499999999999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-134.62700000000001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2.4319999999999999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171.06099999999995</v>
      </c>
      <c r="C18" s="166"/>
      <c r="D18" s="176" t="s">
        <v>554</v>
      </c>
      <c r="E18" s="175">
        <f>SUM(E5:E17)</f>
        <v>4.3710000000000004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98.796999999999997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0.6</v>
      </c>
      <c r="C20" s="63"/>
      <c r="D20" s="115" t="s">
        <v>175</v>
      </c>
      <c r="E20" s="151">
        <f>PGL_Deliveries!AW5/1000+B40</f>
        <v>2.0379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6.4089000000000009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99.396999999999991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23.7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18.478999999999999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32.668999999999997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135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27.447999999999997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0.32800000000000001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208.994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2.0379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0.23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87</v>
      </c>
      <c r="C45" s="182"/>
      <c r="D45" s="60" t="s">
        <v>587</v>
      </c>
      <c r="E45" s="795">
        <f>PGL_Supplies!S7/1000</f>
        <v>15</v>
      </c>
      <c r="F45" s="168"/>
    </row>
    <row r="46" spans="1:13" ht="15">
      <c r="A46" s="169" t="s">
        <v>580</v>
      </c>
      <c r="B46" s="234">
        <f>Weather_Input!C5</f>
        <v>66</v>
      </c>
      <c r="C46" s="159"/>
      <c r="D46" s="72" t="s">
        <v>792</v>
      </c>
      <c r="E46" s="60"/>
      <c r="F46" s="173">
        <f>PGL_Deliveries!BE5/1000</f>
        <v>40.018000000000001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4.383</v>
      </c>
    </row>
    <row r="48" spans="1:13" ht="15">
      <c r="A48" s="169" t="s">
        <v>582</v>
      </c>
      <c r="B48" s="223">
        <f>Weather_Input!D5</f>
        <v>5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16.806999999999999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28.376999999999999</v>
      </c>
      <c r="C3" s="117"/>
      <c r="D3" s="226" t="s">
        <v>310</v>
      </c>
      <c r="E3" s="424">
        <f>Weather_Input!A5</f>
        <v>37069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28.376999999999999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28.376999999999999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4.8680000000000003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29.135999999999999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1.6319999999999999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30.768000000000001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37069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37068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108431</v>
      </c>
      <c r="O6" s="201">
        <v>0</v>
      </c>
      <c r="P6" s="201">
        <v>52694893</v>
      </c>
      <c r="Q6" s="201">
        <v>15045098</v>
      </c>
      <c r="R6" s="201">
        <v>37649795</v>
      </c>
      <c r="S6" s="201">
        <v>0</v>
      </c>
    </row>
    <row r="7" spans="1:19">
      <c r="A7" s="4">
        <f>B1</f>
        <v>37069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102797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52797690</v>
      </c>
      <c r="Q7">
        <f>IF(O7&gt;0,Q6+O7,Q6)</f>
        <v>15045098</v>
      </c>
      <c r="R7">
        <f>IF(P7&gt;Q7,P7-Q7,0)</f>
        <v>37752592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37069</v>
      </c>
      <c r="B5" s="1">
        <f>(Weather_Input!B5+Weather_Input!C5)/2</f>
        <v>76.5</v>
      </c>
      <c r="C5" s="895">
        <v>210000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4371</v>
      </c>
      <c r="T5" s="1085">
        <v>0</v>
      </c>
      <c r="U5" s="895">
        <f>SUM(D5:S5)-T5</f>
        <v>4371</v>
      </c>
      <c r="V5" s="895">
        <v>104374</v>
      </c>
      <c r="W5" s="11">
        <v>0</v>
      </c>
      <c r="X5" s="11">
        <v>0</v>
      </c>
      <c r="Y5" s="11">
        <v>4327</v>
      </c>
      <c r="Z5" s="11">
        <v>175572</v>
      </c>
      <c r="AA5" s="11">
        <v>46577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16807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2432</v>
      </c>
      <c r="AQ5" s="1">
        <v>0</v>
      </c>
      <c r="AR5" s="1">
        <v>18479</v>
      </c>
      <c r="AS5" s="1">
        <v>0</v>
      </c>
      <c r="AT5" s="1">
        <v>1463</v>
      </c>
      <c r="AU5" s="1">
        <v>135860</v>
      </c>
      <c r="AV5" s="1">
        <v>230</v>
      </c>
      <c r="AW5" s="622">
        <f>AU5*0.015</f>
        <v>2037.8999999999999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40018</v>
      </c>
      <c r="BF5" s="1">
        <v>4383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37070</v>
      </c>
      <c r="B6" s="913">
        <f>(Weather_Input!B6+Weather_Input!C6)/2</f>
        <v>77</v>
      </c>
      <c r="C6" s="895">
        <v>210000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37071</v>
      </c>
      <c r="B7" s="913">
        <f>(Weather_Input!B7+Weather_Input!C7)/2</f>
        <v>77.5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37072</v>
      </c>
      <c r="B8" s="913">
        <f>(Weather_Input!B8+Weather_Input!C8)/2</f>
        <v>75</v>
      </c>
      <c r="C8" s="895">
        <v>180000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37073</v>
      </c>
      <c r="B9" s="913">
        <f>(Weather_Input!B9+Weather_Input!C9)/2</f>
        <v>70</v>
      </c>
      <c r="C9" s="895">
        <v>195000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37074</v>
      </c>
      <c r="B10" s="913">
        <f>(Weather_Input!B10+Weather_Input!C10)/2</f>
        <v>70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37069</v>
      </c>
      <c r="B5" s="1">
        <f>(Weather_Input!B5+Weather_Input!C5)/2</f>
        <v>76.5</v>
      </c>
      <c r="C5" s="895">
        <v>37500</v>
      </c>
      <c r="D5" s="895">
        <v>0</v>
      </c>
      <c r="E5" s="895">
        <v>0</v>
      </c>
      <c r="F5" s="895">
        <v>0</v>
      </c>
      <c r="G5" s="895">
        <v>28377</v>
      </c>
      <c r="H5" s="903">
        <f>SUM(D5:G5)</f>
        <v>28377</v>
      </c>
      <c r="I5" s="1">
        <v>1004</v>
      </c>
      <c r="J5" s="1" t="s">
        <v>9</v>
      </c>
      <c r="K5" s="1">
        <v>0</v>
      </c>
      <c r="L5" s="1">
        <v>1632</v>
      </c>
      <c r="M5" s="1">
        <v>4868</v>
      </c>
      <c r="N5" s="1">
        <v>0</v>
      </c>
    </row>
    <row r="6" spans="1:14">
      <c r="A6" s="12">
        <f>A5+1</f>
        <v>37070</v>
      </c>
      <c r="B6" s="913">
        <f>(Weather_Input!B6+Weather_Input!C6)/2</f>
        <v>77</v>
      </c>
      <c r="C6" s="895">
        <v>37000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37071</v>
      </c>
      <c r="B7" s="913">
        <f>(Weather_Input!B7+Weather_Input!C7)/2</f>
        <v>77.5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37072</v>
      </c>
      <c r="B8" s="913">
        <f>(Weather_Input!B8+Weather_Input!C8)/2</f>
        <v>75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37073</v>
      </c>
      <c r="B9" s="913">
        <f>(Weather_Input!B9+Weather_Input!C9)/2</f>
        <v>70</v>
      </c>
      <c r="C9" s="895">
        <v>35000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37074</v>
      </c>
      <c r="B10" s="913">
        <f>(Weather_Input!B10+Weather_Input!C10)/2</f>
        <v>70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37069</v>
      </c>
      <c r="B7" s="904">
        <v>0</v>
      </c>
      <c r="C7" s="620">
        <v>0</v>
      </c>
      <c r="D7" s="620">
        <v>0</v>
      </c>
      <c r="E7" s="904">
        <v>0</v>
      </c>
      <c r="F7" s="904">
        <v>7280</v>
      </c>
      <c r="G7" s="906">
        <v>20400</v>
      </c>
      <c r="H7" s="619">
        <v>0</v>
      </c>
      <c r="I7" s="619">
        <v>0</v>
      </c>
      <c r="J7" s="620">
        <v>328</v>
      </c>
      <c r="K7" s="619">
        <v>0</v>
      </c>
      <c r="L7" s="620">
        <v>0</v>
      </c>
      <c r="M7" s="620">
        <v>0</v>
      </c>
      <c r="N7" s="621">
        <v>23700</v>
      </c>
      <c r="O7" s="620">
        <v>135000</v>
      </c>
      <c r="P7" s="622">
        <f t="shared" ref="P7:P12" si="0">O7*0.015</f>
        <v>2025</v>
      </c>
      <c r="Q7" s="620">
        <v>230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37070</v>
      </c>
      <c r="B8" s="904">
        <v>0</v>
      </c>
      <c r="C8" s="620">
        <v>0</v>
      </c>
      <c r="D8" s="620">
        <v>0</v>
      </c>
      <c r="E8" s="904">
        <v>4000</v>
      </c>
      <c r="F8" s="904">
        <v>0</v>
      </c>
      <c r="G8" s="906">
        <v>18799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230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37071</v>
      </c>
      <c r="B9" s="904">
        <v>0</v>
      </c>
      <c r="C9" s="620">
        <v>0</v>
      </c>
      <c r="D9" s="620">
        <v>0</v>
      </c>
      <c r="E9" s="904">
        <v>4000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230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37072</v>
      </c>
      <c r="B10" s="904">
        <v>0</v>
      </c>
      <c r="C10" s="620">
        <v>0</v>
      </c>
      <c r="D10" s="620">
        <v>0</v>
      </c>
      <c r="E10" s="904">
        <v>4000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230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37073</v>
      </c>
      <c r="B11" s="904">
        <v>0</v>
      </c>
      <c r="C11" s="620">
        <v>0</v>
      </c>
      <c r="D11" s="620">
        <v>0</v>
      </c>
      <c r="E11" s="904">
        <v>4000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230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37074</v>
      </c>
      <c r="B12" s="904">
        <v>0</v>
      </c>
      <c r="C12" s="620">
        <v>0</v>
      </c>
      <c r="D12" s="620">
        <v>0</v>
      </c>
      <c r="E12" s="904">
        <v>4000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230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37069</v>
      </c>
      <c r="B7" s="622">
        <v>0</v>
      </c>
      <c r="C7" s="622">
        <v>0</v>
      </c>
      <c r="D7" s="622">
        <v>3200</v>
      </c>
      <c r="E7" s="622">
        <v>0</v>
      </c>
      <c r="F7" s="904">
        <v>17000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15000</v>
      </c>
      <c r="T7" s="620">
        <v>0</v>
      </c>
      <c r="U7" s="621">
        <v>119892</v>
      </c>
      <c r="V7" s="621">
        <v>0</v>
      </c>
      <c r="W7" s="619">
        <v>600</v>
      </c>
      <c r="X7" s="907">
        <v>98797</v>
      </c>
      <c r="Y7" s="621">
        <v>200</v>
      </c>
      <c r="Z7" s="1">
        <v>0</v>
      </c>
      <c r="AA7" s="619">
        <v>208994</v>
      </c>
      <c r="AB7" s="619">
        <v>32669</v>
      </c>
      <c r="AC7" s="619">
        <v>4000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37070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50000</v>
      </c>
      <c r="T8" s="620">
        <v>0</v>
      </c>
      <c r="U8" s="621">
        <v>131116</v>
      </c>
      <c r="V8" s="621">
        <v>0</v>
      </c>
      <c r="W8" s="619">
        <v>0</v>
      </c>
      <c r="X8" s="907">
        <v>105454</v>
      </c>
      <c r="Y8" s="621">
        <v>200</v>
      </c>
      <c r="Z8" s="1">
        <v>0</v>
      </c>
      <c r="AA8" s="619">
        <v>200239</v>
      </c>
      <c r="AB8" s="619">
        <v>31637</v>
      </c>
      <c r="AC8" s="619">
        <v>2500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37071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131116</v>
      </c>
      <c r="V9" s="621">
        <v>0</v>
      </c>
      <c r="W9" s="619">
        <v>0</v>
      </c>
      <c r="X9" s="907">
        <v>105454</v>
      </c>
      <c r="Y9" s="621">
        <v>200</v>
      </c>
      <c r="Z9" s="1">
        <v>0</v>
      </c>
      <c r="AA9" s="619">
        <v>200239</v>
      </c>
      <c r="AB9" s="619">
        <v>31637</v>
      </c>
      <c r="AC9" s="619">
        <v>2500</v>
      </c>
      <c r="AD9" s="907">
        <v>0</v>
      </c>
      <c r="AE9" s="819">
        <f t="shared" si="0"/>
        <v>3</v>
      </c>
    </row>
    <row r="10" spans="1:36">
      <c r="A10" s="819">
        <f>A9+1</f>
        <v>37072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131116</v>
      </c>
      <c r="V10" s="621">
        <v>0</v>
      </c>
      <c r="W10" s="619">
        <v>0</v>
      </c>
      <c r="X10" s="907">
        <v>105454</v>
      </c>
      <c r="Y10" s="621">
        <v>200</v>
      </c>
      <c r="Z10" s="1">
        <v>0</v>
      </c>
      <c r="AA10" s="619">
        <v>200239</v>
      </c>
      <c r="AB10" s="619">
        <v>31637</v>
      </c>
      <c r="AC10" s="619">
        <v>2500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37073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131116</v>
      </c>
      <c r="V11" s="621">
        <v>0</v>
      </c>
      <c r="W11" s="619">
        <v>0</v>
      </c>
      <c r="X11" s="907">
        <v>105454</v>
      </c>
      <c r="Y11" s="621">
        <v>200</v>
      </c>
      <c r="Z11" s="1">
        <v>0</v>
      </c>
      <c r="AA11" s="619">
        <v>200239</v>
      </c>
      <c r="AB11" s="619">
        <v>31637</v>
      </c>
      <c r="AC11" s="619">
        <v>2500</v>
      </c>
      <c r="AD11" s="907">
        <v>0</v>
      </c>
      <c r="AE11" s="819">
        <f t="shared" si="0"/>
        <v>5</v>
      </c>
    </row>
    <row r="12" spans="1:36">
      <c r="A12" s="819">
        <f>A11+1</f>
        <v>37074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131116</v>
      </c>
      <c r="V12" s="621">
        <v>0</v>
      </c>
      <c r="W12" s="619">
        <v>0</v>
      </c>
      <c r="X12" s="907">
        <v>105454</v>
      </c>
      <c r="Y12" s="621">
        <v>200</v>
      </c>
      <c r="Z12" s="1">
        <v>0</v>
      </c>
      <c r="AA12" s="619">
        <v>200239</v>
      </c>
      <c r="AB12" s="619">
        <v>31637</v>
      </c>
      <c r="AC12" s="619">
        <v>2500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37069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3550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37069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37070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37070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37071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37071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37072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37072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37073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37073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37074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37074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37069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29136</v>
      </c>
      <c r="R7" s="622">
        <v>17175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37070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11914</v>
      </c>
      <c r="Q8" s="622">
        <v>32259</v>
      </c>
      <c r="R8" s="622">
        <v>17262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37071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11914</v>
      </c>
      <c r="Q9" s="622">
        <v>32259</v>
      </c>
      <c r="R9" s="622">
        <v>17262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37072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11914</v>
      </c>
      <c r="Q10" s="622">
        <v>32259</v>
      </c>
      <c r="R10" s="622">
        <v>17262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37073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11914</v>
      </c>
      <c r="Q11" s="622">
        <v>32259</v>
      </c>
      <c r="R11" s="622">
        <v>17262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37074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11914</v>
      </c>
      <c r="Q12" s="622">
        <v>32259</v>
      </c>
      <c r="R12" s="622">
        <v>17262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7" zoomScale="75" workbookViewId="0">
      <selection activeCell="D54" sqref="D54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37069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899999999999999" customHeight="1" thickBot="1">
      <c r="A4" s="831"/>
      <c r="B4" s="832"/>
      <c r="C4" s="832"/>
      <c r="D4" s="461">
        <f>Weather_Input!A5</f>
        <v>37069</v>
      </c>
      <c r="E4" s="461">
        <f>Weather_Input!A6</f>
        <v>37070</v>
      </c>
      <c r="F4" s="461">
        <f>Weather_Input!A7</f>
        <v>37071</v>
      </c>
      <c r="G4" s="461">
        <f>Weather_Input!A8</f>
        <v>37072</v>
      </c>
      <c r="H4" s="461">
        <f>Weather_Input!A9</f>
        <v>37073</v>
      </c>
      <c r="I4" s="462">
        <f>Weather_Input!A10</f>
        <v>37074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87/66/77</v>
      </c>
      <c r="E5" s="463" t="str">
        <f>TEXT(Weather_Input!B6,"0")&amp;"/"&amp;TEXT(Weather_Input!C6,"0") &amp; "/" &amp; TEXT((Weather_Input!B6+Weather_Input!C6)/2,"0")</f>
        <v>87/67/77</v>
      </c>
      <c r="F5" s="463" t="str">
        <f>TEXT(Weather_Input!B7,"0")&amp;"/"&amp;TEXT(Weather_Input!C7,"0") &amp; "/" &amp; TEXT((Weather_Input!B7+Weather_Input!C7)/2,"0")</f>
        <v>87/68/78</v>
      </c>
      <c r="G5" s="463" t="str">
        <f>TEXT(Weather_Input!B8,"0")&amp;"/"&amp;TEXT(Weather_Input!C8,"0") &amp; "/" &amp; TEXT((Weather_Input!B8+Weather_Input!C8)/2,"0")</f>
        <v>85/65/75</v>
      </c>
      <c r="H5" s="463" t="str">
        <f>TEXT(Weather_Input!B9,"0")&amp;"/"&amp;TEXT(Weather_Input!C9,"0") &amp; "/" &amp; TEXT((Weather_Input!B9+Weather_Input!C9)/2,"0")</f>
        <v>81/59/70</v>
      </c>
      <c r="I5" s="464" t="str">
        <f>TEXT(Weather_Input!B10,"0")&amp;"/"&amp;TEXT(Weather_Input!C10,"0") &amp; "/" &amp; TEXT((Weather_Input!B10+Weather_Input!C10)/2,"0")</f>
        <v>81/59/70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210</v>
      </c>
      <c r="E6" s="463">
        <f>PGL_Deliveries!C6/1000</f>
        <v>210</v>
      </c>
      <c r="F6" s="463">
        <f>PGL_Deliveries!C7/1000</f>
        <v>195</v>
      </c>
      <c r="G6" s="463">
        <f>PGL_Deliveries!C8/1000</f>
        <v>180</v>
      </c>
      <c r="H6" s="463">
        <f>PGL_Deliveries!C9/1000</f>
        <v>195</v>
      </c>
      <c r="I6" s="464">
        <f>PGL_Deliveries!C10/1000</f>
        <v>210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10.199999999999999</v>
      </c>
      <c r="E7" s="463">
        <f>PGL_Requirements!G8/1000*0.5</f>
        <v>9.3994999999999997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775</v>
      </c>
      <c r="B8" s="826"/>
      <c r="C8" s="826"/>
      <c r="D8" s="463">
        <f>PGL_Requirements!J7/1000</f>
        <v>0.32800000000000001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135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2.0249999999999999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899999999999999" customHeight="1">
      <c r="A13" s="835"/>
      <c r="C13" s="826" t="s">
        <v>690</v>
      </c>
      <c r="D13" s="463">
        <f>PGL_Requirements!Q7/1000</f>
        <v>0.23</v>
      </c>
      <c r="E13" s="463">
        <f>PGL_Requirements!Q8/1000</f>
        <v>0.23</v>
      </c>
      <c r="F13" s="463">
        <f>PGL_Requirements!Q9/1000</f>
        <v>0.23</v>
      </c>
      <c r="G13" s="463">
        <f>PGL_Requirements!Q10/1000</f>
        <v>0.23</v>
      </c>
      <c r="H13" s="463">
        <f>PGL_Requirements!Q11/1000</f>
        <v>0.23</v>
      </c>
      <c r="I13" s="464">
        <f>PGL_Requirements!Q12/1000</f>
        <v>0.23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778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23.7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7.28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0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388.96299999999997</v>
      </c>
      <c r="E25" s="467">
        <f t="shared" si="1"/>
        <v>360.85449999999997</v>
      </c>
      <c r="F25" s="467">
        <f t="shared" si="1"/>
        <v>336.45499999999998</v>
      </c>
      <c r="G25" s="467">
        <f t="shared" si="1"/>
        <v>321.45499999999998</v>
      </c>
      <c r="H25" s="467">
        <f t="shared" si="1"/>
        <v>336.45499999999998</v>
      </c>
      <c r="I25" s="1099">
        <f t="shared" si="1"/>
        <v>351.45499999999998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777</v>
      </c>
      <c r="B36" s="826" t="s">
        <v>394</v>
      </c>
      <c r="C36" s="826"/>
      <c r="D36" s="463">
        <f>PGL_Supplies!S7/1000*0.5</f>
        <v>7.5</v>
      </c>
      <c r="E36" s="463">
        <f>PGL_Supplies!S8/1000*0.5</f>
        <v>25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98.796999999999997</v>
      </c>
      <c r="E37" s="463">
        <f>PGL_Supplies!X8/1000</f>
        <v>105.45399999999999</v>
      </c>
      <c r="F37" s="463">
        <f>PGL_Supplies!X9/1000</f>
        <v>105.45399999999999</v>
      </c>
      <c r="G37" s="463">
        <f>PGL_Supplies!X10/1000</f>
        <v>105.45399999999999</v>
      </c>
      <c r="H37" s="463">
        <f>PGL_Supplies!X11/1000</f>
        <v>105.45399999999999</v>
      </c>
      <c r="I37" s="464">
        <f>PGL_Supplies!X12/1000</f>
        <v>105.45399999999999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208.994</v>
      </c>
      <c r="E40" s="463">
        <f>PGL_Supplies!AA8/1000</f>
        <v>200.239</v>
      </c>
      <c r="F40" s="463">
        <f>PGL_Supplies!AA9/1000</f>
        <v>200.239</v>
      </c>
      <c r="G40" s="463">
        <f>PGL_Supplies!AA10/1000</f>
        <v>200.239</v>
      </c>
      <c r="H40" s="463">
        <f>PGL_Supplies!AA11/1000</f>
        <v>200.239</v>
      </c>
      <c r="I40" s="464">
        <f>PGL_Supplies!AA12/1000</f>
        <v>200.239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32.668999999999997</v>
      </c>
      <c r="E41" s="463">
        <f>PGL_Supplies!AB8/1000</f>
        <v>31.637</v>
      </c>
      <c r="F41" s="463">
        <f>PGL_Supplies!AB9/1000</f>
        <v>31.637</v>
      </c>
      <c r="G41" s="463">
        <f>PGL_Supplies!AB10/1000</f>
        <v>31.637</v>
      </c>
      <c r="H41" s="463">
        <f>PGL_Supplies!AB11/1000</f>
        <v>31.637</v>
      </c>
      <c r="I41" s="464">
        <f>PGL_Supplies!AB12/1000</f>
        <v>31.637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4</v>
      </c>
      <c r="E42" s="463">
        <f>PGL_Supplies!AC8/1000</f>
        <v>2.5</v>
      </c>
      <c r="F42" s="463">
        <f>PGL_Supplies!AC9/1000</f>
        <v>2.5</v>
      </c>
      <c r="G42" s="463">
        <f>PGL_Supplies!AC10/1000</f>
        <v>2.5</v>
      </c>
      <c r="H42" s="463">
        <f>PGL_Supplies!AC11/1000</f>
        <v>2.5</v>
      </c>
      <c r="I42" s="464">
        <f>PGL_Supplies!AC12/1000</f>
        <v>2.5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0.6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3.2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17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388.96</v>
      </c>
      <c r="E50" s="473">
        <f t="shared" si="2"/>
        <v>381.03000000000003</v>
      </c>
      <c r="F50" s="473">
        <f t="shared" si="2"/>
        <v>356.03000000000003</v>
      </c>
      <c r="G50" s="473">
        <f t="shared" si="2"/>
        <v>356.03000000000003</v>
      </c>
      <c r="H50" s="473">
        <f t="shared" si="2"/>
        <v>356.03000000000003</v>
      </c>
      <c r="I50" s="1101">
        <f t="shared" si="2"/>
        <v>356.03000000000003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20.175500000000056</v>
      </c>
      <c r="F51" s="474">
        <f t="shared" si="3"/>
        <v>19.575000000000045</v>
      </c>
      <c r="G51" s="474">
        <f t="shared" si="3"/>
        <v>34.575000000000045</v>
      </c>
      <c r="H51" s="474">
        <f t="shared" si="3"/>
        <v>19.575000000000045</v>
      </c>
      <c r="I51" s="1102">
        <f t="shared" si="3"/>
        <v>4.5750000000000455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2.9999999999859028E-3</v>
      </c>
      <c r="E52" s="475">
        <f t="shared" si="4"/>
        <v>0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119.892</v>
      </c>
      <c r="E53" s="1092">
        <f>PGL_Supplies!U8/1000</f>
        <v>131.11600000000001</v>
      </c>
      <c r="F53" s="1092">
        <f>PGL_Supplies!U9/1000</f>
        <v>131.11600000000001</v>
      </c>
      <c r="G53" s="1092">
        <f>PGL_Supplies!U10/1000</f>
        <v>131.11600000000001</v>
      </c>
      <c r="H53" s="1092">
        <f>PGL_Supplies!U11/1000</f>
        <v>131.11600000000001</v>
      </c>
      <c r="I53" s="1093">
        <f>PGL_Supplies!U12/1000</f>
        <v>131.11600000000001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2001-06-27T19:55:18Z</cp:lastPrinted>
  <dcterms:created xsi:type="dcterms:W3CDTF">1997-07-16T16:14:22Z</dcterms:created>
  <dcterms:modified xsi:type="dcterms:W3CDTF">2023-09-10T11:13:48Z</dcterms:modified>
</cp:coreProperties>
</file>