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48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I59" i="11"/>
  <c r="B60" i="11"/>
  <c r="I60" i="11"/>
  <c r="B61" i="11"/>
  <c r="B62" i="11"/>
  <c r="I62" i="11"/>
  <c r="B63" i="11"/>
  <c r="I63" i="11"/>
  <c r="B64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<sst xmlns="http://schemas.openxmlformats.org/spreadsheetml/2006/main" count="2125" uniqueCount="807">
  <si>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</si>
  <si>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</si>
  <si>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</si>
  <si>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</si>
  <si>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</si>
  <si>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</si>
  <si>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</si>
  <si>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</si>
  <si>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</si>
  <si>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</si>
  <si>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</si>
  <si>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</si>
  <si>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</si>
  <si>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</si>
  <si>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</si>
  <si>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</si>
  <si>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</si>
  <si>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</si>
  <si>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</si>
  <si>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</si>
  <si>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</si>
  <si>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</si>
  <si>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</si>
  <si>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</si>
  <si>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</si>
  <si>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</si>
  <si>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</si>
  <si>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</si>
  <si>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</si>
  <si>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</si>
  <si>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</si>
  <si>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</si>
  <si>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</si>
  <si>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</si>
  <si>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</si>
  <si>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</si>
  <si>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</si>
  <si>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</si>
  <si>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</si>
  <si>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</si>
  <si>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</si>
  <si>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</si>
  <si>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</si>
  <si>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</si>
  <si>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</si>
  <si>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</si>
  <si>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</si>
  <si>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</si>
  <si>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</si>
  <si>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</si>
  <si>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</si>
  <si>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</si>
  <si>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</si>
  <si>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</si>
  <si>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</si>
  <si>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</si>
  <si>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</si>
  <si>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</si>
  <si>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</si>
  <si>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</si>
  <si>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</si>
  <si>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</si>
  <si>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</si>
  <si>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</si>
  <si>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</si>
  <si>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</si>
  <si>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</si>
  <si>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</si>
  <si>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</si>
  <si>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</si>
  <si>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</si>
  <si>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</si>
  <si>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</si>
  <si>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</si>
  <si>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</si>
  <si>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</si>
  <si>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</si>
  <si>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</si>
  <si>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</si>
  <si>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</si>
  <si>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</si>
  <si>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</si>
  <si>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</si>
  <si>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</si>
  <si>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</si>
  <si>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</si>
  <si>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</si>
  <si>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</si>
  <si>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</si>
  <si>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</si>
  <si>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</si>
  <si>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</si>
  <si>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</si>
  <si>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</si>
  <si>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</si>
  <si>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</si>
  <si>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</si>
  <si>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</si>
  <si>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</si>
  <si>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</si>
  <si>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</si>
  <si>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</si>
  <si>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</si>
  <si>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</si>
  <si>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</si>
  <si>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</si>
  <si>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</si>
  <si>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</si>
  <si>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</si>
  <si>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</si>
  <si>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</si>
  <si>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</si>
  <si>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</si>
  <si>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</si>
  <si>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</si>
  <si>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</si>
  <si>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</si>
  <si>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</si>
  <si>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</si>
  <si>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</si>
  <si>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</si>
  <si>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</si>
  <si>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</si>
  <si>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</si>
  <si>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</si>
  <si>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</si>
  <si>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</si>
  <si>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</si>
  <si>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</si>
  <si>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</si>
  <si>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</si>
  <si>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</si>
  <si>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</si>
  <si>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</si>
  <si>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</si>
  <si>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</si>
  <si>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</si>
  <si>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</si>
  <si>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</si>
  <si>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</si>
  <si>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</si>
  <si>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</si>
  <si>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</si>
  <si>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</si>
  <si>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</si>
  <si>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</si>
  <si>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</si>
  <si>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</si>
  <si>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</si>
  <si>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</si>
  <si>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</si>
  <si>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</si>
  <si>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</si>
  <si>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</si>
  <si>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</si>
  <si>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</si>
  <si>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</si>
  <si>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</si>
  <si>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</si>
  <si>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</si>
  <si>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</si>
  <si>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</si>
  <si>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</si>
  <si>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</si>
  <si>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</si>
  <si>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</si>
  <si>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</si>
  <si>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</si>
  <si>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</si>
  <si>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</si>
  <si>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</si>
  <si>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</si>
  <si>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</si>
  <si>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</si>
  <si>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</si>
  <si>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</si>
  <si>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</si>
  <si>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</si>
  <si>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</si>
  <si>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</si>
  <si>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</si>
  <si>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</si>
  <si>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</si>
  <si>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</si>
  <si>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</si>
  <si>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</si>
  <si>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</si>
  <si>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</si>
  <si>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</si>
  <si>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</si>
  <si>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</si>
  <si>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</si>
  <si>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</si>
  <si>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</si>
  <si>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</si>
  <si>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</si>
  <si>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</si>
  <si>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</si>
  <si>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</si>
  <si>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</si>
  <si>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</si>
  <si>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</si>
  <si>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</si>
  <si>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</si>
  <si>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</si>
  <si>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</si>
  <si>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</si>
  <si>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</si>
  <si>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</si>
  <si>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</si>
  <si>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</si>
  <si>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</si>
  <si>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</si>
  <si>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</si>
  <si>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</si>
  <si>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</si>
  <si>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</si>
  <si>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</si>
  <si>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</si>
  <si>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</si>
  <si>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</si>
  <si>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</si>
  <si>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</si>
  <si>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</si>
  <si>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</si>
  <si>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</si>
  <si>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</si>
  <si>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</si>
  <si>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</si>
  <si>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</si>
  <si>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</si>
  <si>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</si>
  <si>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</si>
  <si>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</si>
  <si>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</si>
  <si>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</si>
  <si>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</si>
  <si>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</si>
  <si>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</si>
  <si>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</si>
  <si>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</si>
  <si>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</si>
  <si>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</si>
  <si>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</si>
  <si>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</si>
  <si>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</si>
  <si>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</si>
  <si>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</si>
  <si>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</si>
  <si>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</si>
  <si>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</si>
  <si>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</si>
  <si>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</si>
  <si>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</si>
  <si>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</si>
  <si>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</si>
  <si>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</si>
  <si>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</si>
  <si>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</si>
  <si>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</si>
  <si>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</si>
  <si>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</si>
  <si>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</si>
  <si>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</si>
  <si>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</si>
  <si>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</si>
  <si>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</si>
  <si>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</si>
  <si>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</si>
  <si>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</si>
  <si>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</si>
  <si>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</si>
  <si>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</si>
  <si>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</si>
  <si>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</si>
  <si>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</si>
  <si>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</si>
  <si>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</si>
  <si>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</si>
  <si>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</si>
  <si>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</si>
  <si>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</si>
  <si>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</si>
  <si>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</si>
  <si>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</si>
  <si>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</si>
  <si>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</si>
  <si>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</si>
  <si>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</si>
  <si>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</si>
  <si>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</si>
  <si>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</si>
  <si>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</si>
  <si>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</si>
  <si>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</si>
  <si>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</si>
  <si>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</si>
  <si>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</si>
  <si>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</si>
  <si>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</si>
  <si>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</si>
  <si>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</si>
  <si>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</si>
  <si>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</si>
  <si>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</si>
  <si>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</si>
  <si>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</si>
  <si>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</si>
  <si>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</si>
  <si>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</si>
  <si>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</si>
  <si>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</si>
  <si>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</si>
  <si>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</si>
  <si>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</si>
  <si>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</si>
  <si>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</si>
  <si>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</si>
  <si>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</si>
  <si>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</si>
  <si>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</si>
  <si>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</si>
  <si>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</si>
  <si>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</si>
  <si>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</si>
  <si>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</si>
  <si>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</si>
  <si>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</si>
  <si>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</si>
  <si>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</si>
  <si>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</si>
  <si>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</si>
  <si>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</si>
  <si>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</si>
  <si>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</si>
  <si>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</si>
  <si>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</si>
  <si>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</si>
  <si>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</si>
  <si>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</si>
  <si>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</si>
  <si>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</si>
  <si>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</si>
  <si>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</si>
  <si>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</si>
  <si>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</si>
  <si>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</si>
  <si>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</si>
  <si>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</si>
  <si>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</si>
  <si>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</si>
  <si>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</si>
  <si>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</si>
  <si>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</si>
  <si>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</si>
  <si>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</si>
  <si>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</si>
  <si>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</si>
  <si>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</si>
  <si>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</si>
  <si>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</si>
  <si>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</si>
  <si>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</si>
  <si>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</si>
  <si>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</si>
  <si>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</si>
  <si>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</si>
  <si>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</si>
  <si>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</si>
  <si>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</si>
  <si>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</si>
  <si>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</si>
  <si>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</si>
  <si>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</si>
  <si>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</si>
  <si>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</si>
  <si>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</si>
  <si>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</si>
  <si>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</si>
  <si>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</si>
  <si>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</si>
  <si>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</si>
  <si>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</si>
  <si>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</si>
  <si>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</si>
  <si>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</si>
  <si>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</si>
  <si>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</si>
  <si>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</si>
  <si>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</si>
  <si>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</si>
  <si>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</si>
  <si>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</si>
  <si>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</si>
  <si>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</si>
  <si>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</si>
  <si>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</si>
  <si>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</si>
  <si>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</si>
  <si>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</si>
  <si>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</si>
  <si>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</si>
  <si>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</si>
  <si>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</si>
  <si>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</si>
  <si>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</si>
  <si>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</si>
  <si>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</si>
  <si>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</si>
  <si>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</si>
  <si>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</si>
  <si>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</si>
  <si>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</si>
  <si>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</si>
  <si>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</si>
  <si>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</si>
  <si>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</si>
  <si>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</si>
  <si>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</si>
  <si>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</si>
  <si>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</si>
  <si>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</si>
  <si>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</si>
  <si>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</si>
  <si>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</si>
  <si>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</si>
  <si>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</si>
  <si>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</si>
  <si>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</si>
  <si>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</si>
  <si>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</si>
  <si>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</si>
  <si>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</si>
  <si>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</si>
  <si>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</si>
  <si>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</si>
  <si>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</si>
  <si>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</si>
  <si>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</si>
  <si>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</si>
  <si>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</si>
  <si>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</si>
  <si>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</si>
  <si>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</si>
  <si>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</si>
  <si>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</si>
  <si>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</si>
  <si>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</si>
  <si>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</si>
  <si>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</si>
  <si>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</si>
  <si>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</si>
  <si>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</si>
  <si>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</si>
  <si>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</si>
  <si>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</si>
  <si>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</si>
  <si>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</si>
  <si>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</si>
  <si>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</si>
  <si>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</si>
  <si>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</si>
  <si>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</si>
  <si>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</si>
  <si>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</si>
  <si>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</si>
  <si>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</si>
  <si>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</si>
  <si>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</si>
  <si>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</si>
  <si>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</si>
  <si>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</si>
  <si>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</si>
  <si>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</si>
  <si>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</si>
  <si>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</si>
  <si>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</si>
  <si>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</si>
  <si>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</si>
  <si>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</si>
  <si>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</si>
  <si>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</si>
  <si>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</si>
  <si>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</si>
  <si>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</si>
  <si>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</si>
  <si>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</si>
  <si>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</si>
  <si>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</si>
  <si>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</si>
  <si>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</si>
  <si>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</si>
  <si>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</si>
  <si>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</si>
  <si>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</si>
  <si>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</si>
  <si>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</si>
  <si>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</si>
  <si>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</si>
  <si>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</si>
  <si>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</si>
  <si>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</si>
  <si>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</si>
  <si>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</si>
  <si>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</si>
  <si>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</si>
  <si>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</si>
  <si>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</si>
  <si>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</si>
  <si>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</si>
  <si>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</si>
  <si>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</si>
  <si>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</si>
  <si>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</si>
  <si>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</si>
  <si>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</si>
  <si>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</si>
  <si>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</si>
  <si>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</si>
  <si>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</si>
  <si>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</si>
  <si>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</si>
  <si>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</si>
  <si>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</si>
  <si>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</si>
  <si>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</si>
  <si>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</si>
  <si>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</si>
  <si>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</si>
  <si>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</si>
  <si>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</si>
  <si>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</si>
  <si>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</si>
  <si>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</si>
  <si>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</si>
  <si>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</si>
  <si>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</si>
  <si>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</si>
  <si>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</si>
  <si>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</si>
  <si>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</si>
  <si>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</si>
  <si>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</si>
  <si>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</si>
  <si>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</si>
  <si>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</si>
  <si>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</si>
  <si>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</si>
  <si>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</si>
  <si>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</si>
  <si>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</si>
  <si>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</si>
  <si>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</si>
  <si>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</si>
  <si>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</si>
  <si>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</si>
  <si>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</si>
  <si>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</si>
  <si>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</si>
  <si>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</si>
  <si>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</si>
  <si>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</si>
  <si>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</si>
  <si>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</si>
  <si>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</si>
  <si>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</si>
  <si>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</si>
  <si>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</si>
  <si>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</si>
  <si>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</si>
  <si>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</si>
  <si>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</si>
  <si>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</si>
  <si>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</si>
  <si>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</si>
  <si>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</si>
  <si>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</si>
  <si>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</si>
  <si>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</si>
  <si>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</si>
  <si>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</si>
  <si>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</si>
  <si>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</si>
  <si>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</si>
  <si>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</si>
  <si>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</si>
  <si>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</si>
  <si>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</si>
  <si>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</si>
  <si>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</si>
  <si>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</si>
  <si>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</si>
  <si>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</si>
  <si>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</si>
  <si>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</si>
  <si>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</si>
  <si>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</si>
  <si>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</si>
  <si>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</si>
  <si>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</si>
  <si>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</si>
  <si>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</si>
  <si>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</si>
  <si>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</si>
  <si>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</si>
  <si>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</si>
  <si>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</si>
  <si>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</si>
  <si>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</si>
  <si>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</si>
  <si>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</si>
  <si>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</si>
  <si>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</si>
  <si>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</si>
  <si>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</si>
  <si>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</si>
  <si>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</si>
  <si>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</si>
  <si>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</si>
  <si>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</si>
  <si>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</si>
  <si>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</si>
  <si>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</si>
  <si>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</si>
  <si>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</si>
  <si>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</si>
  <si>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</si>
  <si>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</si>
  <si>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</si>
  <si>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</si>
  <si>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</si>
  <si>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</si>
  <si>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</si>
  <si>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</si>
  <si>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</si>
  <si>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</si>
  <si>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</si>
  <si>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</si>
  <si>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</si>
  <si>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</si>
  <si>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</si>
  <si>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</si>
  <si>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</si>
  <si>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</si>
  <si>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</si>
  <si>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</si>
  <si>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</si>
  <si>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</si>
  <si>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</si>
  <si>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</si>
  <si>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</si>
  <si>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</si>
  <si>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</si>
  <si>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</si>
  <si>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</si>
  <si>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</si>
  <si>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</si>
  <si>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</si>
  <si>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</si>
  <si>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</si>
  <si>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</si>
  <si>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</si>
  <si>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</si>
  <si>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</si>
  <si>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</si>
  <si>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</si>
  <si>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</si>
  <si>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</si>
  <si>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</si>
  <si>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</si>
  <si>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</si>
  <si>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</si>
  <si>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</si>
  <si>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</si>
  <si>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</si>
  <si>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</si>
  <si>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</si>
  <si>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</si>
  <si>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</si>
  <si>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</si>
  <si>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</si>
  <si>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</si>
  <si>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</si>
  <si>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</si>
  <si>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</si>
  <si>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</si>
  <si>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</si>
  <si>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</si>
  <si>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</si>
  <si>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</si>
  <si>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</si>
  <si>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</si>
  <si>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</si>
  <si>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</si>
  <si>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</si>
  <si>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</si>
  <si>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</si>
  <si>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</si>
  <si>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</si>
  <si>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</si>
  <si>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</si>
  <si>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</si>
  <si>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</si>
  <si>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</si>
  <si>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</si>
  <si>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</si>
  <si>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</si>
  <si>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</si>
  <si>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</si>
  <si>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</si>
  <si>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</si>
  <si>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</si>
  <si>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</si>
  <si>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</si>
  <si>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</si>
  <si>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</si>
  <si>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</si>
  <si>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</si>
  <si>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</si>
  <si>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</si>
  <si>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</si>
  <si>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</si>
  <si>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</si>
  <si>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</si>
  <si>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</si>
  <si>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</si>
  <si>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</si>
  <si>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</si>
  <si>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</si>
  <si>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</si>
  <si>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</si>
  <si>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</si>
  <si>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</si>
  <si>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</si>
  <si>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</si>
  <si>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</si>
  <si>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</si>
  <si>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</si>
  <si>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</si>
  <si>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</si>
  <si>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</si>
  <si>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</si>
  <si>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</si>
  <si>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</si>
  <si>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</si>
  <si>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</si>
  <si>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</si>
  <si>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</si>
  <si>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</si>
  <si>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</si>
  <si>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</si>
  <si>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</si>
  <si>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</si>
  <si>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</si>
  <si>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</si>
  <si>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</si>
  <si>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</si>
  <si>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</si>
  <si>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</si>
  <si>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</si>
  <si>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</si>
  <si>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</si>
  <si>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</si>
  <si>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</si>
  <si>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</si>
  <si>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</si>
  <si>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</si>
  <si>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</si>
  <si>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</si>
  <si>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</si>
  <si>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</si>
  <si>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</si>
  <si>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</si>
  <si>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</si>
  <si>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</si>
  <si>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</si>
  <si>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</si>
  <si>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</si>
  <si>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</si>
  <si>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</si>
  <si>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</si>
  <si>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</si>
  <si>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</si>
  <si>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</si>
  <si>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</si>
  <si>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</si>
  <si>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</si>
  <si>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</si>
  <si>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</si>
  <si>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</si>
  <si>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</si>
  <si>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Allegheny Energy (Wilton/Lincoln) </t>
  </si>
  <si>
    <t>Alliance thu Manlove</t>
  </si>
  <si>
    <t>Utrasonic Bi-Directional</t>
  </si>
  <si>
    <t>Payback PGL to Alliance</t>
  </si>
  <si>
    <t>NGPL 10"+A26</t>
  </si>
  <si>
    <t>Alliance thru Manlove</t>
  </si>
  <si>
    <t>INCREASING CLOUDS, WITH A CHANCE OF SHOWERS AND T-STORMS THIS AFTER-</t>
  </si>
  <si>
    <t>NOON. CHANCE OF RAIN 60%.CLOUDY  WITH SHOWERS AT NIGHT.</t>
  </si>
  <si>
    <t>PARTLY SUNNY AND WARMER. 30% CHANCE OF RAIN IN THE AFTERNOON. TO-</t>
  </si>
  <si>
    <t>NIGHT CLOUDY WITH A 40% CHANCE OF RAIN. LOW IN THE 60S HIGH IN THE LOW 80S.</t>
  </si>
  <si>
    <t xml:space="preserve">CLOUDY WITH A 30% CHANCE OF RAIN. HIGH IN THE LOWER 80S. BUT TURNING </t>
  </si>
  <si>
    <t>COOLER NEAR THE LAKE. FAIR AND IN THE UPPER 50S AT NIGHT.</t>
  </si>
  <si>
    <t>PARTLY CLOUDY WITH A CHANCE OF T-STORMS. HIGH NEAR 80.</t>
  </si>
  <si>
    <t xml:space="preserve">CLOUDY WITH A CHANCE OF T-STORMS. HIGH AROUND 75, LOW IN THE  HIGH 50S TO </t>
  </si>
  <si>
    <t>LOW 60S AT NIGHT.</t>
  </si>
  <si>
    <t>FAIR… LOW AROUND MIDDLE 50S HIGHS NEAR 75.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</si>
</sst>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6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6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29" fillId="0" borderId="16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0" fontId="55" fillId="0" borderId="116" xfId="0" applyFont="1" applyFill="1" applyBorder="1" applyAlignment="1"/>
    <xf numFmtId="49" fontId="29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29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6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7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167" fontId="29" fillId="0" borderId="17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60" xfId="0" applyNumberFormat="1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6" fontId="29" fillId="0" borderId="60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166" fontId="28" fillId="0" borderId="63" xfId="0" applyNumberFormat="1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6" fillId="0" borderId="3" xfId="0" applyFont="1" applyBorder="1"/>
    <xf numFmtId="0" fontId="35" fillId="6" borderId="169" xfId="0" applyFont="1" applyFill="1" applyBorder="1" applyAlignment="1">
      <alignment horizontal="centerContinuous"/>
    </xf>
    <xf numFmtId="0" fontId="31" fillId="5" borderId="13" xfId="0" applyFont="1" applyFill="1" applyBorder="1" applyAlignment="1">
      <alignment horizontal="center"/>
    </xf>
    <xf numFmtId="0" fontId="31" fillId="2" borderId="141" xfId="0" applyFont="1" applyFill="1" applyBorder="1"/>
    <xf numFmtId="0" fontId="29" fillId="0" borderId="5" xfId="0" applyFont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0" fontId="36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8" fillId="0" borderId="104" xfId="0" applyNumberFormat="1" applyFont="1" applyBorder="1"/>
    <xf numFmtId="167" fontId="29" fillId="0" borderId="30" xfId="0" applyNumberFormat="1" applyFont="1" applyBorder="1"/>
    <xf numFmtId="0" fontId="31" fillId="0" borderId="29" xfId="0" applyFont="1" applyBorder="1"/>
    <xf numFmtId="172" fontId="29" fillId="0" borderId="56" xfId="0" applyNumberFormat="1" applyFont="1" applyBorder="1"/>
    <xf numFmtId="172" fontId="29" fillId="0" borderId="52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30" fillId="6" borderId="30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29" fillId="0" borderId="141" xfId="0" applyNumberFormat="1" applyFont="1" applyBorder="1"/>
    <xf numFmtId="0" fontId="33" fillId="0" borderId="110" xfId="0" applyFont="1" applyBorder="1"/>
    <xf numFmtId="0" fontId="29" fillId="0" borderId="54" xfId="0" applyFont="1" applyBorder="1"/>
    <xf numFmtId="0" fontId="33" fillId="0" borderId="11" xfId="0" applyFont="1" applyBorder="1"/>
    <xf numFmtId="167" fontId="29" fillId="0" borderId="39" xfId="0" applyNumberFormat="1" applyFont="1" applyBorder="1"/>
    <xf numFmtId="0" fontId="33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0" fontId="29" fillId="0" borderId="58" xfId="0" applyFont="1" applyBorder="1" applyAlignment="1">
      <alignment horizontal="left"/>
    </xf>
    <xf numFmtId="0" fontId="28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8" fillId="0" borderId="55" xfId="0" applyNumberFormat="1" applyFont="1" applyBorder="1" applyAlignment="1">
      <alignment horizontal="center"/>
    </xf>
    <xf numFmtId="167" fontId="28" fillId="0" borderId="173" xfId="0" applyNumberFormat="1" applyFont="1" applyBorder="1" applyAlignment="1">
      <alignment horizontal="center"/>
    </xf>
    <xf numFmtId="167" fontId="28" fillId="0" borderId="174" xfId="0" applyNumberFormat="1" applyFont="1" applyBorder="1" applyAlignment="1">
      <alignment horizontal="center"/>
    </xf>
    <xf numFmtId="167" fontId="28" fillId="0" borderId="40" xfId="0" applyNumberFormat="1" applyFont="1" applyBorder="1" applyAlignment="1">
      <alignment horizontal="center"/>
    </xf>
    <xf numFmtId="167" fontId="28" fillId="0" borderId="46" xfId="0" applyNumberFormat="1" applyFont="1" applyBorder="1" applyAlignment="1">
      <alignment horizontal="center"/>
    </xf>
    <xf numFmtId="167" fontId="28" fillId="0" borderId="106" xfId="0" applyNumberFormat="1" applyFont="1" applyBorder="1" applyAlignment="1">
      <alignment horizontal="center"/>
    </xf>
    <xf numFmtId="167" fontId="28" fillId="0" borderId="61" xfId="0" applyNumberFormat="1" applyFont="1" applyBorder="1" applyAlignment="1">
      <alignment horizontal="center"/>
    </xf>
    <xf numFmtId="167" fontId="28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5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6" fillId="0" borderId="176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8" fillId="0" borderId="81" xfId="0" applyNumberFormat="1" applyFont="1" applyBorder="1" applyAlignment="1">
      <alignment horizontal="center"/>
    </xf>
    <xf numFmtId="167" fontId="28" fillId="0" borderId="82" xfId="0" applyNumberFormat="1" applyFont="1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62" xfId="0" applyNumberFormat="1" applyFont="1" applyBorder="1"/>
    <xf numFmtId="166" fontId="29" fillId="0" borderId="177" xfId="0" applyNumberFormat="1" applyFont="1" applyBorder="1"/>
    <xf numFmtId="166" fontId="29" fillId="0" borderId="177" xfId="0" applyNumberFormat="1" applyFont="1" applyFill="1" applyBorder="1" applyAlignment="1"/>
    <xf numFmtId="166" fontId="29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0" fillId="6" borderId="85" xfId="0" applyFont="1" applyFill="1" applyBorder="1" applyAlignment="1">
      <alignment horizontal="centerContinuous"/>
    </xf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5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82" xfId="0" applyNumberFormat="1" applyFont="1" applyFill="1" applyBorder="1" applyProtection="1"/>
    <xf numFmtId="166" fontId="57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29" fillId="0" borderId="65" xfId="0" applyNumberFormat="1" applyFont="1" applyBorder="1"/>
    <xf numFmtId="167" fontId="28" fillId="0" borderId="3" xfId="0" applyNumberFormat="1" applyFont="1" applyBorder="1" applyAlignment="1">
      <alignment horizontal="center"/>
    </xf>
    <xf numFmtId="0" fontId="62" fillId="0" borderId="44" xfId="0" quotePrefix="1" applyFont="1" applyBorder="1" applyAlignment="1">
      <alignment horizontal="left"/>
    </xf>
    <xf numFmtId="0" fontId="7" fillId="0" borderId="59" xfId="0" applyFont="1" applyBorder="1"/>
    <xf numFmtId="0" fontId="28" fillId="6" borderId="67" xfId="0" quotePrefix="1" applyFont="1" applyFill="1" applyBorder="1" applyAlignment="1">
      <alignment horizontal="center"/>
    </xf>
    <xf numFmtId="0" fontId="28" fillId="0" borderId="119" xfId="0" quotePrefix="1" applyFont="1" applyBorder="1" applyAlignment="1">
      <alignment horizontal="left"/>
    </xf>
    <xf numFmtId="0" fontId="29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8" fillId="0" borderId="58" xfId="0" applyNumberFormat="1" applyFont="1" applyBorder="1" applyAlignment="1">
      <alignment horizontal="center"/>
    </xf>
    <xf numFmtId="0" fontId="40" fillId="0" borderId="59" xfId="0" applyFont="1" applyBorder="1" applyAlignment="1">
      <alignment horizontal="left"/>
    </xf>
    <xf numFmtId="167" fontId="29" fillId="2" borderId="60" xfId="0" applyNumberFormat="1" applyFont="1" applyFill="1" applyBorder="1" applyProtection="1"/>
    <xf numFmtId="0" fontId="29" fillId="0" borderId="65" xfId="0" applyFont="1" applyBorder="1"/>
    <xf numFmtId="167" fontId="29" fillId="2" borderId="81" xfId="0" applyNumberFormat="1" applyFont="1" applyFill="1" applyBorder="1" applyProtection="1"/>
    <xf numFmtId="0" fontId="29" fillId="0" borderId="81" xfId="0" applyFont="1" applyBorder="1"/>
    <xf numFmtId="0" fontId="0" fillId="0" borderId="170" xfId="0" applyBorder="1"/>
    <xf numFmtId="167" fontId="28" fillId="0" borderId="139" xfId="0" applyNumberFormat="1" applyFont="1" applyBorder="1" applyAlignment="1">
      <alignment horizontal="center"/>
    </xf>
    <xf numFmtId="0" fontId="0" fillId="0" borderId="51" xfId="0" applyBorder="1"/>
    <xf numFmtId="0" fontId="45" fillId="0" borderId="0" xfId="0" applyFont="1" applyAlignment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6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5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6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6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007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008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009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010" name="Day_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011" name="Day_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012" name="Day_6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06" t="s">
        <v>630</v>
      </c>
      <c r="B1" s="810"/>
    </row>
    <row r="2" spans="1:88">
      <c r="A2" s="1106" t="s">
        <v>11</v>
      </c>
      <c r="B2" t="s">
        <v>11</v>
      </c>
    </row>
    <row r="3" spans="1:88" ht="15.6" thickBot="1">
      <c r="A3" s="1195" t="s">
        <v>11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4"/>
      <c r="B4" s="810" t="s">
        <v>172</v>
      </c>
      <c r="H4" t="s">
        <v>11</v>
      </c>
      <c r="I4" t="s">
        <v>11</v>
      </c>
      <c r="J4" t="s">
        <v>11</v>
      </c>
      <c r="CJ4" s="462" t="s">
        <v>11</v>
      </c>
    </row>
    <row r="5" spans="1:88">
      <c r="A5" t="s">
        <v>11</v>
      </c>
      <c r="B5" s="777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411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5" t="s">
        <v>697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630</v>
      </c>
    </row>
    <row r="11" spans="1:88">
      <c r="A11" t="s">
        <v>11</v>
      </c>
      <c r="B11" s="810" t="s">
        <v>11</v>
      </c>
      <c r="C11" s="416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630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8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777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4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627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627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7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7" t="s">
        <v>172</v>
      </c>
      <c r="C25" t="s">
        <v>11</v>
      </c>
      <c r="E25" t="s">
        <v>11</v>
      </c>
      <c r="G25" s="453"/>
      <c r="H25" t="s">
        <v>11</v>
      </c>
      <c r="I25" t="s">
        <v>11</v>
      </c>
      <c r="J25" t="s">
        <v>11</v>
      </c>
      <c r="K25" t="s">
        <v>630</v>
      </c>
    </row>
    <row r="26" spans="1:13">
      <c r="A26" t="s">
        <v>11</v>
      </c>
      <c r="B26" t="s">
        <v>11</v>
      </c>
      <c r="C26" t="s">
        <v>172</v>
      </c>
      <c r="G26" s="453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630</v>
      </c>
      <c r="D27" t="s">
        <v>11</v>
      </c>
      <c r="G27" s="453"/>
      <c r="H27" t="s">
        <v>11</v>
      </c>
      <c r="I27" t="s">
        <v>11</v>
      </c>
      <c r="J27" s="124" t="s">
        <v>11</v>
      </c>
      <c r="K27" t="s">
        <v>11</v>
      </c>
      <c r="L27" t="s">
        <v>172</v>
      </c>
    </row>
    <row r="28" spans="1:13">
      <c r="G28" s="453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3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/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6" t="s">
        <v>649</v>
      </c>
      <c r="B1" s="834"/>
      <c r="C1" s="834"/>
      <c r="D1" s="834"/>
      <c r="E1" s="834"/>
      <c r="F1" s="834"/>
      <c r="G1" s="834" t="s">
        <v>135</v>
      </c>
      <c r="H1" s="877" t="str">
        <f>D3</f>
        <v>MON</v>
      </c>
      <c r="I1" s="878">
        <f>D4</f>
        <v>37025</v>
      </c>
      <c r="J1" s="112"/>
    </row>
    <row r="2" spans="1:10" ht="20.100000000000001" customHeight="1">
      <c r="A2" s="837" t="s">
        <v>163</v>
      </c>
      <c r="B2" s="838"/>
      <c r="C2" s="838"/>
      <c r="D2" s="838"/>
      <c r="E2" s="838"/>
      <c r="F2" s="838"/>
      <c r="G2" s="838"/>
      <c r="H2" s="838"/>
      <c r="I2" s="839"/>
      <c r="J2" s="112"/>
    </row>
    <row r="3" spans="1:10" ht="20.100000000000001" customHeight="1" thickBot="1">
      <c r="A3" s="840"/>
      <c r="B3" s="838"/>
      <c r="C3" s="838"/>
      <c r="D3" s="841" t="str">
        <f t="shared" ref="D3:I3" si="0">CHOOSE(WEEKDAY(D4),"SUN","MON","TUE","WED","THU","FRI","SAT")</f>
        <v>MON</v>
      </c>
      <c r="E3" s="841" t="str">
        <f t="shared" si="0"/>
        <v>TUE</v>
      </c>
      <c r="F3" s="841" t="str">
        <f t="shared" si="0"/>
        <v>WED</v>
      </c>
      <c r="G3" s="841" t="str">
        <f t="shared" si="0"/>
        <v>THU</v>
      </c>
      <c r="H3" s="841" t="str">
        <f t="shared" si="0"/>
        <v>FRI</v>
      </c>
      <c r="I3" s="842" t="str">
        <f t="shared" si="0"/>
        <v>SAT</v>
      </c>
      <c r="J3" s="112"/>
    </row>
    <row r="4" spans="1:10" ht="20.100000000000001" customHeight="1" thickBot="1">
      <c r="A4" s="843" t="s">
        <v>164</v>
      </c>
      <c r="B4" s="844"/>
      <c r="C4" s="844"/>
      <c r="D4" s="845">
        <f>Weather_Input!A5</f>
        <v>37025</v>
      </c>
      <c r="E4" s="845">
        <f>Weather_Input!A6</f>
        <v>37026</v>
      </c>
      <c r="F4" s="845">
        <f>Weather_Input!A7</f>
        <v>37027</v>
      </c>
      <c r="G4" s="845">
        <f>Weather_Input!A8</f>
        <v>37028</v>
      </c>
      <c r="H4" s="845">
        <f>Weather_Input!A9</f>
        <v>37029</v>
      </c>
      <c r="I4" s="846">
        <f>Weather_Input!A10</f>
        <v>37030</v>
      </c>
      <c r="J4" s="112"/>
    </row>
    <row r="5" spans="1:10" s="113" customFormat="1" ht="20.100000000000001" customHeight="1" thickTop="1">
      <c r="A5" s="847" t="s">
        <v>137</v>
      </c>
      <c r="B5" s="838"/>
      <c r="C5" s="838" t="s">
        <v>138</v>
      </c>
      <c r="D5" s="879" t="str">
        <f>TEXT(Weather_Input!B5,"0")&amp;"/"&amp;TEXT(Weather_Input!C5,"0") &amp; "/" &amp; TEXT((Weather_Input!B5+Weather_Input!C5)/2,"0")</f>
        <v>73/53/63</v>
      </c>
      <c r="E5" s="879" t="str">
        <f>TEXT(Weather_Input!B6,"0")&amp;"/"&amp;TEXT(Weather_Input!C6,"0") &amp; "/" &amp; TEXT((Weather_Input!B6+Weather_Input!C6)/2,"0")</f>
        <v>87/67/77</v>
      </c>
      <c r="F5" s="879" t="str">
        <f>TEXT(Weather_Input!B7,"0")&amp;"/"&amp;TEXT(Weather_Input!C7,"0") &amp; "/" &amp; TEXT((Weather_Input!B7+Weather_Input!C7)/2,"0")</f>
        <v>79/65/72</v>
      </c>
      <c r="G5" s="879" t="str">
        <f>TEXT(Weather_Input!B8,"0")&amp;"/"&amp;TEXT(Weather_Input!C8,"0") &amp; "/" &amp; TEXT((Weather_Input!B8+Weather_Input!C8)/2,"0")</f>
        <v>78/58/68</v>
      </c>
      <c r="H5" s="879" t="str">
        <f>TEXT(Weather_Input!B9,"0")&amp;"/"&amp;TEXT(Weather_Input!C9,"0") &amp; "/" &amp; TEXT((Weather_Input!B9+Weather_Input!C9)/2,"0")</f>
        <v>74/58/66</v>
      </c>
      <c r="I5" s="880" t="str">
        <f>TEXT(Weather_Input!B10,"0")&amp;"/"&amp;TEXT(Weather_Input!C10,"0") &amp; "/" &amp; TEXT((Weather_Input!B10+Weather_Input!C10)/2,"0")</f>
        <v>72/53/63</v>
      </c>
      <c r="J5" s="112"/>
    </row>
    <row r="6" spans="1:10" ht="20.100000000000001" customHeight="1">
      <c r="A6" s="850" t="s">
        <v>139</v>
      </c>
      <c r="B6" s="838"/>
      <c r="C6" s="838"/>
      <c r="D6" s="848">
        <f ca="1">VLOOKUP(D4,NSG_Sendouts,CELL("Col",NSG_Deliveries!C5),FALSE)/1000</f>
        <v>57</v>
      </c>
      <c r="E6" s="848">
        <f ca="1">VLOOKUP(E4,NSG_Sendouts,CELL("Col",NSG_Deliveries!C6),FALSE)/1000</f>
        <v>43</v>
      </c>
      <c r="F6" s="848">
        <f ca="1">VLOOKUP(F4,NSG_Sendouts,CELL("Col",NSG_Deliveries!C7),FALSE)/1000</f>
        <v>38</v>
      </c>
      <c r="G6" s="848">
        <f ca="1">VLOOKUP(G4,NSG_Sendouts,CELL("Col",NSG_Deliveries!C8),FALSE)/1000</f>
        <v>38</v>
      </c>
      <c r="H6" s="848">
        <f ca="1">VLOOKUP(H4,NSG_Sendouts,CELL("Col",NSG_Deliveries!C9),FALSE)/1000</f>
        <v>37</v>
      </c>
      <c r="I6" s="853">
        <f ca="1">VLOOKUP(I4,NSG_Sendouts,CELL("Col",NSG_Deliveries!C10),FALSE)/1000</f>
        <v>37</v>
      </c>
      <c r="J6" s="113"/>
    </row>
    <row r="7" spans="1:10" ht="20.100000000000001" customHeight="1">
      <c r="A7" s="847" t="s">
        <v>140</v>
      </c>
      <c r="B7" s="838" t="s">
        <v>141</v>
      </c>
      <c r="C7" s="838"/>
      <c r="D7" s="848">
        <f>NSG_Requirements!C7/1000</f>
        <v>0</v>
      </c>
      <c r="E7" s="848">
        <f>NSG_Requirements!C8/1000</f>
        <v>0</v>
      </c>
      <c r="F7" s="848">
        <f>NSG_Requirements!C9/1000</f>
        <v>0</v>
      </c>
      <c r="G7" s="848">
        <f>NSG_Requirements!C10/1000</f>
        <v>0</v>
      </c>
      <c r="H7" s="848">
        <f>NSG_Requirements!C11/1000</f>
        <v>0</v>
      </c>
      <c r="I7" s="849">
        <f>NSG_Requirements!C12/1000</f>
        <v>0</v>
      </c>
      <c r="J7" s="112"/>
    </row>
    <row r="8" spans="1:10" ht="20.100000000000001" customHeight="1">
      <c r="A8" s="847"/>
      <c r="B8" s="838" t="s">
        <v>143</v>
      </c>
      <c r="C8" s="838"/>
      <c r="D8" s="848">
        <f>NSG_Requirements!D7/1000</f>
        <v>0</v>
      </c>
      <c r="E8" s="848">
        <f>NSG_Requirements!D8/1000</f>
        <v>0</v>
      </c>
      <c r="F8" s="848">
        <f>NSG_Requirements!D9/1000</f>
        <v>0</v>
      </c>
      <c r="G8" s="848">
        <f>NSG_Requirements!D10/1000</f>
        <v>0</v>
      </c>
      <c r="H8" s="848">
        <f>NSG_Requirements!D11/1000</f>
        <v>0</v>
      </c>
      <c r="I8" s="853">
        <f>NSG_Requirements!D11/1000</f>
        <v>0</v>
      </c>
      <c r="J8" s="113"/>
    </row>
    <row r="9" spans="1:10" ht="20.100000000000001" customHeight="1">
      <c r="A9" s="847"/>
      <c r="B9" s="838" t="s">
        <v>147</v>
      </c>
      <c r="C9" s="838"/>
      <c r="D9" s="848">
        <f>NSG_Requirements!E7/1000</f>
        <v>0</v>
      </c>
      <c r="E9" s="848">
        <f>NSG_Requirements!E8/1000</f>
        <v>0</v>
      </c>
      <c r="F9" s="848">
        <f>NSG_Requirements!E9/1000</f>
        <v>0</v>
      </c>
      <c r="G9" s="848">
        <f>NSG_Requirements!E10/1000</f>
        <v>0</v>
      </c>
      <c r="H9" s="848">
        <f>NSG_Requirements!E11/1000</f>
        <v>0</v>
      </c>
      <c r="I9" s="853">
        <f>NSG_Requirements!E12/1000</f>
        <v>0</v>
      </c>
      <c r="J9" s="113"/>
    </row>
    <row r="10" spans="1:10" ht="20.100000000000001" customHeight="1">
      <c r="A10" s="847"/>
      <c r="B10" s="838" t="s">
        <v>416</v>
      </c>
      <c r="C10" s="838"/>
      <c r="D10" s="848">
        <f>NSG_Requirements!F7/1000</f>
        <v>0</v>
      </c>
      <c r="E10" s="848">
        <f>NSG_Requirements!F8/1000</f>
        <v>0</v>
      </c>
      <c r="F10" s="848">
        <f>NSG_Requirements!F9/1000</f>
        <v>0</v>
      </c>
      <c r="G10" s="848">
        <f>NSG_Requirements!F10/1000</f>
        <v>0</v>
      </c>
      <c r="H10" s="848">
        <f>NSG_Requirements!F11/1000</f>
        <v>0</v>
      </c>
      <c r="I10" s="853">
        <f>NSG_Requirements!F12/1000</f>
        <v>0</v>
      </c>
      <c r="J10" s="113"/>
    </row>
    <row r="11" spans="1:10" ht="20.100000000000001" customHeight="1">
      <c r="A11" s="847" t="s">
        <v>144</v>
      </c>
      <c r="B11" s="838" t="s">
        <v>145</v>
      </c>
      <c r="C11" s="838" t="s">
        <v>60</v>
      </c>
      <c r="D11" s="848">
        <f>(NSG_Requirements!$K$7+NSG_Requirements!$L$7+NSG_Requirements!$M$7+NSG_Requirements!$N$7)/1000</f>
        <v>0</v>
      </c>
      <c r="E11" s="848">
        <f>(NSG_Requirements!$K$8+NSG_Requirements!$L$8+NSG_Requirements!$M$8+NSG_Requirements!$N$8)/1000</f>
        <v>0</v>
      </c>
      <c r="F11" s="848">
        <f>(NSG_Requirements!$K$9+NSG_Requirements!$L$9+NSG_Requirements!$M$9+NSG_Requirements!$N$9)/1000</f>
        <v>0</v>
      </c>
      <c r="G11" s="848">
        <f>(NSG_Requirements!$K$10+NSG_Requirements!$L$10+NSG_Requirements!$M$10+NSG_Requirements!$N$10)/1000</f>
        <v>0</v>
      </c>
      <c r="H11" s="848">
        <f>(NSG_Requirements!$K$11+NSG_Requirements!$L$11+NSG_Requirements!$M$11+NSG_Requirements!$N$11)/1000</f>
        <v>0</v>
      </c>
      <c r="I11" s="853">
        <f>(NSG_Requirements!$K$12+NSG_Requirements!$L$12+NSG_Requirements!$M$12+NSG_Requirements!$N$12)/1000</f>
        <v>0</v>
      </c>
      <c r="J11" s="113"/>
    </row>
    <row r="12" spans="1:10" ht="20.100000000000001" customHeight="1">
      <c r="A12" s="847"/>
      <c r="B12" s="838" t="s">
        <v>143</v>
      </c>
      <c r="C12" s="852" t="s">
        <v>90</v>
      </c>
      <c r="D12" s="848">
        <f>NSG_Requirements!J7/1000</f>
        <v>4.3940000000000001</v>
      </c>
      <c r="E12" s="848">
        <f>NSG_Requirements!J8/1000</f>
        <v>9.2200000000000006</v>
      </c>
      <c r="F12" s="848">
        <f>NSG_Requirements!J9/1000</f>
        <v>20</v>
      </c>
      <c r="G12" s="848">
        <f>NSG_Requirements!J10/1000</f>
        <v>20</v>
      </c>
      <c r="H12" s="848">
        <f>NSG_Requirements!J11/1000</f>
        <v>20</v>
      </c>
      <c r="I12" s="849">
        <f>NSG_Requirements!J12/1000</f>
        <v>20</v>
      </c>
      <c r="J12" s="112"/>
    </row>
    <row r="13" spans="1:10" ht="20.100000000000001" customHeight="1">
      <c r="A13" s="847"/>
      <c r="B13" s="838" t="s">
        <v>141</v>
      </c>
      <c r="C13" s="852" t="s">
        <v>90</v>
      </c>
      <c r="D13" s="848">
        <f>NSG_Requirements!H7/1000</f>
        <v>0</v>
      </c>
      <c r="E13" s="848">
        <f>NSG_Requirements!H8/1000</f>
        <v>0</v>
      </c>
      <c r="F13" s="848">
        <f>NSG_Requirements!H9/1000</f>
        <v>1</v>
      </c>
      <c r="G13" s="848">
        <f>NSG_Requirements!H10/1000</f>
        <v>1</v>
      </c>
      <c r="H13" s="848">
        <f>NSG_Requirements!H11/1000</f>
        <v>1</v>
      </c>
      <c r="I13" s="849">
        <f>NSG_Requirements!H12/1000</f>
        <v>1</v>
      </c>
      <c r="J13" s="112"/>
    </row>
    <row r="14" spans="1:10" ht="20.100000000000001" customHeight="1">
      <c r="A14" s="847"/>
      <c r="B14" s="838" t="s">
        <v>143</v>
      </c>
      <c r="C14" s="838"/>
      <c r="D14" s="848">
        <f>(NSG_Requirements!$S$7+NSG_Requirements!$T$7+NSG_Requirements!$U$7)/1000</f>
        <v>0</v>
      </c>
      <c r="E14" s="848">
        <f>(NSG_Requirements!$S$8+NSG_Requirements!$T$8+NSG_Requirements!$U$8)/1000</f>
        <v>0</v>
      </c>
      <c r="F14" s="848">
        <f>(NSG_Requirements!$S$9+NSG_Requirements!$T$9+NSG_Requirements!$U$9)/1000</f>
        <v>0</v>
      </c>
      <c r="G14" s="848">
        <f>(NSG_Requirements!$S$10+NSG_Requirements!$T$10+NSG_Requirements!$U$10)/1000</f>
        <v>0</v>
      </c>
      <c r="H14" s="848">
        <f>(NSG_Requirements!$S$11+NSG_Requirements!$T$11+NSG_Requirements!$U$11)/1000</f>
        <v>0</v>
      </c>
      <c r="I14" s="853">
        <f>(NSG_Requirements!$S$12+NSG_Requirements!$T$12+NSG_Requirements!$U$12)/1000</f>
        <v>0</v>
      </c>
      <c r="J14" s="112"/>
    </row>
    <row r="15" spans="1:10" ht="20.100000000000001" customHeight="1">
      <c r="A15" s="847"/>
      <c r="B15" s="838" t="s">
        <v>141</v>
      </c>
      <c r="C15" s="838"/>
      <c r="D15" s="848">
        <f>(NSG_Requirements!$Y$7+NSG_Requirements!$Z$7+NSG_Requirements!$AA$7)/1000</f>
        <v>0</v>
      </c>
      <c r="E15" s="848">
        <f>(NSG_Requirements!$Y$8+NSG_Requirements!$Z$8+NSG_Requirements!$AA$8)/1000</f>
        <v>0</v>
      </c>
      <c r="F15" s="848">
        <f>(NSG_Requirements!$Y$9+NSG_Requirements!$Z$9+NSG_Requirements!$AA$9)/1000</f>
        <v>0</v>
      </c>
      <c r="G15" s="848">
        <f>(NSG_Requirements!$Y$10+NSG_Requirements!$Z$10+NSG_Requirements!$AA$10)/1000</f>
        <v>0</v>
      </c>
      <c r="H15" s="848">
        <f>(NSG_Requirements!$Y$11+NSG_Requirements!$Z$11+NSG_Requirements!$AA$11)/1000</f>
        <v>0</v>
      </c>
      <c r="I15" s="853">
        <f>(NSG_Requirements!$Y$12+NSG_Requirements!$Z$12+NSG_Requirements!$AA$12)/1000</f>
        <v>0</v>
      </c>
      <c r="J15" s="113"/>
    </row>
    <row r="16" spans="1:10" ht="20.100000000000001" customHeight="1">
      <c r="A16" s="847"/>
      <c r="B16" s="838" t="s">
        <v>147</v>
      </c>
      <c r="C16" s="852"/>
      <c r="D16" s="848">
        <f>(NSG_Requirements!$V$7+NSG_Requirements!$W$7+NSG_Requirements!$X$7)/1000</f>
        <v>0</v>
      </c>
      <c r="E16" s="848">
        <f>(NSG_Requirements!$V$8+NSG_Requirements!$W$8+NSG_Requirements!$X$8)/1000</f>
        <v>0</v>
      </c>
      <c r="F16" s="848">
        <f>(NSG_Requirements!$V$9+NSG_Requirements!$W$9+NSG_Requirements!$X$9)/1000</f>
        <v>0</v>
      </c>
      <c r="G16" s="848">
        <f>(NSG_Requirements!$V$10+NSG_Requirements!$W$10+NSG_Requirements!$X$10)/1000</f>
        <v>0</v>
      </c>
      <c r="H16" s="848">
        <f>(NSG_Requirements!$V$11+NSG_Requirements!$W$11+NSG_Requirements!$X$11)/1000</f>
        <v>0</v>
      </c>
      <c r="I16" s="853">
        <f>(NSG_Requirements!$V$12+NSG_Requirements!$W$12+NSG_Requirements!$X$12)/1000</f>
        <v>0</v>
      </c>
      <c r="J16" s="113"/>
    </row>
    <row r="17" spans="1:10" ht="20.100000000000001" customHeight="1">
      <c r="A17" s="847"/>
      <c r="B17" s="838" t="s">
        <v>416</v>
      </c>
      <c r="C17" s="838"/>
      <c r="D17" s="848">
        <f>(NSG_Requirements!$AB$7+NSG_Requirements!$AC$7+NSG_Requirements!$AD$7+NSG_Requirements!$AE$7)/1000</f>
        <v>0</v>
      </c>
      <c r="E17" s="848">
        <f>(NSG_Requirements!$AB$8+NSG_Requirements!$AC$8+NSG_Requirements!$AD$8+NSG_Requirements!$AE$8)/1000</f>
        <v>0</v>
      </c>
      <c r="F17" s="848">
        <f>(NSG_Requirements!$AB$9+NSG_Requirements!$AC9+NSG_Requirements!$AD$9+NSG_Requirements!$AE$9)/1000</f>
        <v>0</v>
      </c>
      <c r="G17" s="848">
        <f>(NSG_Requirements!$AB$10+NSG_Requirements!$AC$10+NSG_Requirements!$AD$10+NSG_Requirements!$AE$10)/1000</f>
        <v>0</v>
      </c>
      <c r="H17" s="848">
        <f>(NSG_Requirements!$Y$11+NSG_Requirements!$Z$11+NSG_Requirements!$AA$11+NSG_Requirements!$AE$11)/1000</f>
        <v>0</v>
      </c>
      <c r="I17" s="853">
        <f>(NSG_Requirements!$Y$12+NSG_Requirements!$Z$12+NSG_Requirements!$AA$12+NSG_Requirements!$AE$12)/1000</f>
        <v>0</v>
      </c>
      <c r="J17" s="113"/>
    </row>
    <row r="18" spans="1:10" ht="20.100000000000001" customHeight="1">
      <c r="A18" s="865" t="s">
        <v>165</v>
      </c>
      <c r="B18" s="866" t="s">
        <v>401</v>
      </c>
      <c r="C18" s="866"/>
      <c r="D18" s="881">
        <f>NSG_Requirements!B7/1000</f>
        <v>0</v>
      </c>
      <c r="E18" s="881">
        <f>NSG_Requirements!B8/1000</f>
        <v>0</v>
      </c>
      <c r="F18" s="881">
        <f>NSG_Requirements!B9/1000</f>
        <v>0</v>
      </c>
      <c r="G18" s="881">
        <f>NSG_Requirements!B10/1000</f>
        <v>0</v>
      </c>
      <c r="H18" s="881">
        <f>NSG_Requirements!B11/1000</f>
        <v>0</v>
      </c>
      <c r="I18" s="882">
        <f>NSG_Requirements!B12/1000</f>
        <v>0</v>
      </c>
      <c r="J18" s="112"/>
    </row>
    <row r="19" spans="1:10" ht="20.100000000000001" customHeight="1" thickBot="1">
      <c r="A19" s="883" t="s">
        <v>151</v>
      </c>
      <c r="B19" s="873"/>
      <c r="C19" s="873"/>
      <c r="D19" s="857">
        <f t="shared" ref="D19:I19" ca="1" si="1">SUM(D6:D18)</f>
        <v>61.393999999999998</v>
      </c>
      <c r="E19" s="857">
        <f t="shared" ca="1" si="1"/>
        <v>52.22</v>
      </c>
      <c r="F19" s="857">
        <f t="shared" ca="1" si="1"/>
        <v>59</v>
      </c>
      <c r="G19" s="857">
        <f t="shared" ca="1" si="1"/>
        <v>59</v>
      </c>
      <c r="H19" s="857">
        <f t="shared" ca="1" si="1"/>
        <v>58</v>
      </c>
      <c r="I19" s="858">
        <f t="shared" ca="1" si="1"/>
        <v>58</v>
      </c>
      <c r="J19" s="112"/>
    </row>
    <row r="20" spans="1:10" ht="20.100000000000001" customHeight="1" thickTop="1" thickBot="1">
      <c r="A20" s="884"/>
      <c r="B20" s="885"/>
      <c r="C20" s="885"/>
      <c r="D20" s="886"/>
      <c r="E20" s="886"/>
      <c r="F20" s="886"/>
      <c r="G20" s="886"/>
      <c r="H20" s="886"/>
      <c r="I20" s="886"/>
      <c r="J20" s="113"/>
    </row>
    <row r="21" spans="1:10" ht="20.100000000000001" customHeight="1" thickTop="1" thickBot="1">
      <c r="A21" s="887" t="s">
        <v>152</v>
      </c>
      <c r="B21" s="861"/>
      <c r="C21" s="861"/>
      <c r="D21" s="862"/>
      <c r="E21" s="862"/>
      <c r="F21" s="862"/>
      <c r="G21" s="862"/>
      <c r="H21" s="862"/>
      <c r="I21" s="863"/>
      <c r="J21" s="112"/>
    </row>
    <row r="22" spans="1:10" ht="20.100000000000001" customHeight="1" thickTop="1">
      <c r="A22" s="847" t="s">
        <v>769</v>
      </c>
      <c r="B22" s="838" t="s">
        <v>145</v>
      </c>
      <c r="C22" s="838" t="s">
        <v>166</v>
      </c>
      <c r="D22" s="848">
        <f>NSG_Supplies!H7/1000</f>
        <v>0</v>
      </c>
      <c r="E22" s="848">
        <f>NSG_Supplies!H8/1000</f>
        <v>0</v>
      </c>
      <c r="F22" s="848">
        <f>NSG_Supplies!H9/1000</f>
        <v>0</v>
      </c>
      <c r="G22" s="848">
        <f>NSG_Supplies!H10/1000</f>
        <v>0</v>
      </c>
      <c r="H22" s="848">
        <f>NSG_Supplies!H11/1000</f>
        <v>0</v>
      </c>
      <c r="I22" s="849">
        <f>NSG_Supplies!H12/1000</f>
        <v>0</v>
      </c>
      <c r="J22" s="112"/>
    </row>
    <row r="23" spans="1:10" ht="20.100000000000001" customHeight="1">
      <c r="A23" s="847"/>
      <c r="B23" s="838" t="s">
        <v>143</v>
      </c>
      <c r="C23" s="838" t="s">
        <v>154</v>
      </c>
      <c r="D23" s="848">
        <f>NSG_Supplies!L7/1000</f>
        <v>0</v>
      </c>
      <c r="E23" s="848">
        <f>NSG_Supplies!L8/1000</f>
        <v>0</v>
      </c>
      <c r="F23" s="848">
        <f>NSG_Supplies!L9/1000</f>
        <v>0</v>
      </c>
      <c r="G23" s="848">
        <f>NSG_Supplies!L10/1000</f>
        <v>0</v>
      </c>
      <c r="H23" s="848">
        <f>NSG_Supplies!L11/1000</f>
        <v>0</v>
      </c>
      <c r="I23" s="849">
        <f>NSG_Supplies!L12/1000</f>
        <v>0</v>
      </c>
      <c r="J23" s="112"/>
    </row>
    <row r="24" spans="1:10" ht="20.100000000000001" customHeight="1">
      <c r="A24" s="847"/>
      <c r="B24" s="838"/>
      <c r="C24" s="838" t="s">
        <v>10</v>
      </c>
      <c r="D24" s="848">
        <f>NSG_Supplies!E7/1000</f>
        <v>0</v>
      </c>
      <c r="E24" s="848">
        <f>NSG_Supplies!E8/1000</f>
        <v>0</v>
      </c>
      <c r="F24" s="848">
        <f>NSG_Supplies!E9/1000</f>
        <v>0</v>
      </c>
      <c r="G24" s="848">
        <f>NSG_Supplies!E10/1000</f>
        <v>0</v>
      </c>
      <c r="H24" s="848">
        <f>NSG_Supplies!E11/1000</f>
        <v>0</v>
      </c>
      <c r="I24" s="853">
        <f>NSG_Supplies!E12/1000</f>
        <v>0</v>
      </c>
      <c r="J24" s="113"/>
    </row>
    <row r="25" spans="1:10" ht="20.100000000000001" customHeight="1">
      <c r="A25" s="847"/>
      <c r="B25" s="838" t="s">
        <v>141</v>
      </c>
      <c r="C25" s="852" t="s">
        <v>90</v>
      </c>
      <c r="D25" s="848">
        <f>NSG_Supplies!F7/1000</f>
        <v>7.5090000000000003</v>
      </c>
      <c r="E25" s="848">
        <f>NSG_Supplies!F8/1000</f>
        <v>0</v>
      </c>
      <c r="F25" s="848">
        <f>NSG_Supplies!F9/1000</f>
        <v>0</v>
      </c>
      <c r="G25" s="848">
        <f>NSG_Supplies!F10/1000</f>
        <v>0</v>
      </c>
      <c r="H25" s="848">
        <f>NSG_Supplies!F11/1000</f>
        <v>0</v>
      </c>
      <c r="I25" s="853">
        <f>NSG_Supplies!F12/1000</f>
        <v>0</v>
      </c>
      <c r="J25" s="113"/>
    </row>
    <row r="26" spans="1:10" ht="20.100000000000001" customHeight="1">
      <c r="A26" s="847"/>
      <c r="B26" s="838" t="s">
        <v>83</v>
      </c>
      <c r="C26" s="838" t="s">
        <v>770</v>
      </c>
      <c r="D26" s="848">
        <f>NSG_Supplies!U7/1000</f>
        <v>0</v>
      </c>
      <c r="E26" s="848">
        <f>NSG_Supplies!U8/1000</f>
        <v>0</v>
      </c>
      <c r="F26" s="848">
        <f>NSG_Supplies!U9/1000</f>
        <v>0</v>
      </c>
      <c r="G26" s="848">
        <f>NSG_Supplies!U10/1000</f>
        <v>0</v>
      </c>
      <c r="H26" s="848">
        <f>NSG_Supplies!U11/1000</f>
        <v>0</v>
      </c>
      <c r="I26" s="853">
        <f>NSG_Supplies!U12/1000</f>
        <v>0</v>
      </c>
      <c r="J26" s="113"/>
    </row>
    <row r="27" spans="1:10" ht="20.100000000000001" customHeight="1">
      <c r="A27" s="850" t="s">
        <v>167</v>
      </c>
      <c r="B27" s="854" t="s">
        <v>143</v>
      </c>
      <c r="C27" s="854"/>
      <c r="D27" s="848">
        <f>(PGL_Requirements!$V$7+PGL_Requirements!$W$7+PGL_Requirements!$X$7)/1000</f>
        <v>0</v>
      </c>
      <c r="E27" s="848">
        <f>(PGL_Requirements!$V$8+PGL_Requirements!$W$8+PGL_Requirements!$X$8)/1000</f>
        <v>0</v>
      </c>
      <c r="F27" s="848">
        <f>(PGL_Requirements!$V$9+PGL_Requirements!$W$9+PGL_Requirements!$X$9)/1000</f>
        <v>0</v>
      </c>
      <c r="G27" s="848">
        <f>(PGL_Requirements!$V$10+PGL_Requirements!$W$10+PGL_Requirements!$X$10)/1000</f>
        <v>0</v>
      </c>
      <c r="H27" s="848">
        <f>(PGL_Requirements!$V$11+PGL_Requirements!$W$11+PGL_Requirements!$X$11)/1000</f>
        <v>0</v>
      </c>
      <c r="I27" s="849">
        <f>(PGL_Requirements!$V$12+PGL_Requirements!$W$12+PGL_Requirements!$X$12)/1000</f>
        <v>0</v>
      </c>
      <c r="J27" s="112"/>
    </row>
    <row r="28" spans="1:10" ht="20.100000000000001" customHeight="1">
      <c r="A28" s="847"/>
      <c r="B28" s="854" t="s">
        <v>141</v>
      </c>
      <c r="C28" s="854"/>
      <c r="D28" s="848">
        <f>(PGL_Requirements!$Y$7+PGL_Requirements!$AA$7+PGL_Requirements!$Z$7+PGL_Requirements!$AB$7)/1000</f>
        <v>0</v>
      </c>
      <c r="E28" s="848">
        <f>(PGL_Requirements!$Y$8+PGL_Requirements!$AA$8+PGL_Requirements!$Z$8+PGL_Requirements!$AB$8)/1000</f>
        <v>0</v>
      </c>
      <c r="F28" s="848">
        <f>(PGL_Requirements!$Y$9+PGL_Requirements!$AA$9+PGL_Requirements!$Z$9+PGL_Requirements!$AB$9)/1000</f>
        <v>0</v>
      </c>
      <c r="G28" s="848">
        <f>(PGL_Requirements!$Y$10+PGL_Requirements!$AA$10+PGL_Requirements!$Z$10+PGL_Requirements!$AB$10)/1000</f>
        <v>0</v>
      </c>
      <c r="H28" s="848">
        <f>(PGL_Requirements!$Y$11+PGL_Requirements!$AA$11+PGL_Requirements!$Z$11+PGL_Requirements!$AB$11)/1000</f>
        <v>0</v>
      </c>
      <c r="I28" s="849">
        <f>(PGL_Requirements!$Y$12+PGL_Requirements!$AA$12+PGL_Requirements!$Z$12+PGL_Requirements!$AB$12)/1000</f>
        <v>0</v>
      </c>
      <c r="J28" s="112"/>
    </row>
    <row r="29" spans="1:10" ht="20.100000000000001" customHeight="1">
      <c r="A29" s="847"/>
      <c r="B29" s="854" t="s">
        <v>147</v>
      </c>
      <c r="C29" s="838"/>
      <c r="D29" s="848">
        <f>(PGL_Requirements!$AC$7+PGL_Requirements!$AD$7+PGL_Requirements!$AE$7)/1000</f>
        <v>0</v>
      </c>
      <c r="E29" s="848">
        <f>(PGL_Requirements!$AC$8+PGL_Requirements!$AD$8+PGL_Requirements!$AE$8)/1000</f>
        <v>0</v>
      </c>
      <c r="F29" s="848">
        <f>(PGL_Requirements!$AC$9+PGL_Requirements!$AD$9+PGL_Requirements!$AE$9)/1000</f>
        <v>0</v>
      </c>
      <c r="G29" s="848">
        <f>(PGL_Requirements!$AC$10+PGL_Requirements!$AD$10+PGL_Requirements!$AE$10)/1000</f>
        <v>0</v>
      </c>
      <c r="H29" s="848">
        <f>(PGL_Requirements!$AC$11+PGL_Requirements!$AD$11+PGL_Requirements!$AE$11)/1000</f>
        <v>0</v>
      </c>
      <c r="I29" s="849">
        <f>(PGL_Requirements!$AC$12+PGL_Requirements!$AD$12+PGL_Requirements!$AE$12)/1000</f>
        <v>0</v>
      </c>
      <c r="J29" s="112"/>
    </row>
    <row r="30" spans="1:10" ht="20.100000000000001" customHeight="1">
      <c r="A30" s="847"/>
      <c r="B30" s="838" t="s">
        <v>416</v>
      </c>
      <c r="C30" s="838"/>
      <c r="D30" s="848">
        <v>0</v>
      </c>
      <c r="E30" s="848">
        <v>0</v>
      </c>
      <c r="F30" s="848">
        <v>0</v>
      </c>
      <c r="G30" s="848">
        <v>0</v>
      </c>
      <c r="H30" s="848">
        <v>0</v>
      </c>
      <c r="I30" s="849">
        <v>0</v>
      </c>
      <c r="J30" s="112"/>
    </row>
    <row r="31" spans="1:10" ht="20.100000000000001" customHeight="1">
      <c r="A31" s="847" t="s">
        <v>168</v>
      </c>
      <c r="B31" s="838" t="s">
        <v>143</v>
      </c>
      <c r="C31" s="838" t="s">
        <v>169</v>
      </c>
      <c r="D31" s="848">
        <f>NSG_Supplies!P7/1000</f>
        <v>0</v>
      </c>
      <c r="E31" s="848">
        <f>NSG_Supplies!P8/1000</f>
        <v>0</v>
      </c>
      <c r="F31" s="848">
        <f>NSG_Supplies!P9/1000</f>
        <v>0</v>
      </c>
      <c r="G31" s="848">
        <f>NSG_Supplies!P10/1000</f>
        <v>0</v>
      </c>
      <c r="H31" s="848">
        <f>NSG_Supplies!P11/1000</f>
        <v>0</v>
      </c>
      <c r="I31" s="849">
        <f>NSG_Supplies!P12/1000</f>
        <v>0</v>
      </c>
      <c r="J31" s="112"/>
    </row>
    <row r="32" spans="1:10" ht="20.100000000000001" customHeight="1">
      <c r="A32" s="847"/>
      <c r="B32" s="838" t="s">
        <v>141</v>
      </c>
      <c r="C32" s="1164" t="s">
        <v>771</v>
      </c>
      <c r="D32" s="848">
        <f>NSG_Supplies!R7/1000</f>
        <v>31.776</v>
      </c>
      <c r="E32" s="848">
        <f>NSG_Supplies!R8/1000</f>
        <v>32.216000000000001</v>
      </c>
      <c r="F32" s="848">
        <f>NSG_Supplies!R9/1000</f>
        <v>32.216000000000001</v>
      </c>
      <c r="G32" s="848">
        <f>NSG_Supplies!R10/1000</f>
        <v>32.216000000000001</v>
      </c>
      <c r="H32" s="848">
        <f>NSG_Supplies!R11/1000</f>
        <v>32.216000000000001</v>
      </c>
      <c r="I32" s="849">
        <f>NSG_Supplies!R12/1000</f>
        <v>32.216000000000001</v>
      </c>
      <c r="J32" s="112"/>
    </row>
    <row r="33" spans="1:13" ht="20.100000000000001" customHeight="1">
      <c r="A33" s="847"/>
      <c r="B33" s="838" t="s">
        <v>143</v>
      </c>
      <c r="C33" s="838" t="s">
        <v>638</v>
      </c>
      <c r="D33" s="848">
        <f>NSG_Supplies!Q7/1000</f>
        <v>20</v>
      </c>
      <c r="E33" s="848">
        <f>NSG_Supplies!Q8/1000</f>
        <v>20</v>
      </c>
      <c r="F33" s="848">
        <f>NSG_Supplies!Q9/1000</f>
        <v>20</v>
      </c>
      <c r="G33" s="848">
        <f>NSG_Supplies!Q10/1000</f>
        <v>20</v>
      </c>
      <c r="H33" s="848">
        <f>NSG_Supplies!Q11/1000</f>
        <v>20</v>
      </c>
      <c r="I33" s="849">
        <f>NSG_Supplies!Q12/1000</f>
        <v>20</v>
      </c>
      <c r="J33" s="112"/>
    </row>
    <row r="34" spans="1:13" ht="20.100000000000001" customHeight="1">
      <c r="A34" s="847" t="s">
        <v>160</v>
      </c>
      <c r="B34" s="838" t="s">
        <v>147</v>
      </c>
      <c r="C34" s="838" t="s">
        <v>170</v>
      </c>
      <c r="D34" s="848">
        <f>NSG_Supplies!O7/1000</f>
        <v>0</v>
      </c>
      <c r="E34" s="848">
        <f>NSG_Supplies!O8/1000</f>
        <v>0</v>
      </c>
      <c r="F34" s="848">
        <f>NSG_Supplies!O9/1000</f>
        <v>0</v>
      </c>
      <c r="G34" s="848">
        <f>NSG_Supplies!O10/1000</f>
        <v>0</v>
      </c>
      <c r="H34" s="848">
        <f>NSG_Supplies!O11/1000</f>
        <v>0</v>
      </c>
      <c r="I34" s="853">
        <f>NSG_Supplies!O12/1000</f>
        <v>0</v>
      </c>
      <c r="J34" s="112"/>
    </row>
    <row r="35" spans="1:13" ht="20.100000000000001" customHeight="1">
      <c r="A35" s="847"/>
      <c r="B35" s="838" t="s">
        <v>416</v>
      </c>
      <c r="C35" s="852" t="s">
        <v>524</v>
      </c>
      <c r="D35" s="848">
        <f>NSG_Supplies!N7/1000</f>
        <v>0</v>
      </c>
      <c r="E35" s="848">
        <f>NSG_Supplies!N8/1000</f>
        <v>0</v>
      </c>
      <c r="F35" s="848">
        <f>NSG_Supplies!N9/1000</f>
        <v>0</v>
      </c>
      <c r="G35" s="848">
        <f>NSG_Supplies!N10/1000</f>
        <v>0</v>
      </c>
      <c r="H35" s="848">
        <f>NSG_Supplies!N11/1000</f>
        <v>0</v>
      </c>
      <c r="I35" s="853">
        <f>NSG_Supplies!N12/1000</f>
        <v>0</v>
      </c>
      <c r="J35" s="112"/>
    </row>
    <row r="36" spans="1:13" ht="20.100000000000001" customHeight="1">
      <c r="A36" s="865"/>
      <c r="B36" s="866" t="s">
        <v>401</v>
      </c>
      <c r="C36" s="866"/>
      <c r="D36" s="881">
        <f>NSG_Supplies!B7/1000</f>
        <v>0</v>
      </c>
      <c r="E36" s="881">
        <f>NSG_Supplies!B8/1000</f>
        <v>0</v>
      </c>
      <c r="F36" s="881">
        <f>NSG_Supplies!B9/1000</f>
        <v>0</v>
      </c>
      <c r="G36" s="881">
        <f>NSG_Supplies!B10/1000</f>
        <v>0</v>
      </c>
      <c r="H36" s="881">
        <f>NSG_Supplies!B11/1000</f>
        <v>0</v>
      </c>
      <c r="I36" s="867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8" t="s">
        <v>160</v>
      </c>
      <c r="B37" s="869"/>
      <c r="C37" s="869"/>
      <c r="D37" s="888">
        <f t="shared" ref="D37:I37" si="2">SUM(D22:D36)</f>
        <v>59.284999999999997</v>
      </c>
      <c r="E37" s="888">
        <f t="shared" si="2"/>
        <v>52.216000000000001</v>
      </c>
      <c r="F37" s="888">
        <f t="shared" si="2"/>
        <v>52.216000000000001</v>
      </c>
      <c r="G37" s="888">
        <f t="shared" si="2"/>
        <v>52.216000000000001</v>
      </c>
      <c r="H37" s="888">
        <f t="shared" si="2"/>
        <v>52.216000000000001</v>
      </c>
      <c r="I37" s="889">
        <f t="shared" si="2"/>
        <v>52.216000000000001</v>
      </c>
      <c r="J37" s="112"/>
      <c r="K37" s="113"/>
      <c r="L37" s="95"/>
      <c r="M37" s="113"/>
    </row>
    <row r="38" spans="1:13" ht="20.100000000000001" customHeight="1">
      <c r="A38" s="890" t="s">
        <v>161</v>
      </c>
      <c r="B38" s="891"/>
      <c r="C38" s="891"/>
      <c r="D38" s="892">
        <f t="shared" ref="D38:I38" ca="1" si="3">IF(D37-D19&lt;0,0,D37-D19)</f>
        <v>0</v>
      </c>
      <c r="E38" s="892">
        <f t="shared" ca="1" si="3"/>
        <v>0</v>
      </c>
      <c r="F38" s="892">
        <f t="shared" ca="1" si="3"/>
        <v>0</v>
      </c>
      <c r="G38" s="892">
        <f t="shared" ca="1" si="3"/>
        <v>0</v>
      </c>
      <c r="H38" s="892">
        <f t="shared" ca="1" si="3"/>
        <v>0</v>
      </c>
      <c r="I38" s="893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4" t="s">
        <v>162</v>
      </c>
      <c r="B39" s="873"/>
      <c r="C39" s="873"/>
      <c r="D39" s="874">
        <f t="shared" ref="D39:I39" ca="1" si="4">IF(D19-D37&lt;0,0,D19-D37)</f>
        <v>2.1090000000000018</v>
      </c>
      <c r="E39" s="874">
        <f t="shared" ca="1" si="4"/>
        <v>3.9999999999977831E-3</v>
      </c>
      <c r="F39" s="874">
        <f t="shared" ca="1" si="4"/>
        <v>6.7839999999999989</v>
      </c>
      <c r="G39" s="874">
        <f t="shared" ca="1" si="4"/>
        <v>6.7839999999999989</v>
      </c>
      <c r="H39" s="874">
        <f t="shared" ca="1" si="4"/>
        <v>5.7839999999999989</v>
      </c>
      <c r="I39" s="875">
        <f t="shared" ca="1" si="4"/>
        <v>5.7839999999999989</v>
      </c>
      <c r="J39" s="112"/>
      <c r="K39" s="113"/>
      <c r="L39" s="113"/>
      <c r="M39" s="113"/>
    </row>
    <row r="40" spans="1:13" ht="20.100000000000001" customHeight="1" thickTop="1" thickBot="1">
      <c r="A40" s="1165" t="s">
        <v>772</v>
      </c>
      <c r="B40" s="1166"/>
      <c r="C40" s="1166"/>
      <c r="D40" s="1167">
        <f>NSG_Supplies!S7/1000</f>
        <v>20.831</v>
      </c>
      <c r="E40" s="1167">
        <f>NSG_Supplies!S8/1000</f>
        <v>21.271000000000001</v>
      </c>
      <c r="F40" s="1167">
        <f>NSG_Supplies!S9/1000</f>
        <v>21.271000000000001</v>
      </c>
      <c r="G40" s="1167">
        <f>NSG_Supplies!S10/1000</f>
        <v>21.271000000000001</v>
      </c>
      <c r="H40" s="1167">
        <f>NSG_Supplies!S11/1000</f>
        <v>21.271000000000001</v>
      </c>
      <c r="I40" s="1168">
        <f>NSG_Supplies!S12/1000</f>
        <v>21.271000000000001</v>
      </c>
    </row>
    <row r="41" spans="1:13" ht="20.100000000000001" customHeight="1" thickTop="1" thickBot="1">
      <c r="B41" s="896"/>
      <c r="C41" s="896"/>
      <c r="D41" s="896"/>
      <c r="E41" s="896"/>
      <c r="F41" s="896"/>
      <c r="G41" s="895"/>
      <c r="H41" s="895"/>
      <c r="I41" s="895"/>
    </row>
    <row r="42" spans="1:13" ht="20.100000000000001" customHeight="1" thickTop="1" thickBot="1">
      <c r="A42" s="897" t="s">
        <v>171</v>
      </c>
      <c r="B42" s="898"/>
      <c r="C42" s="898"/>
      <c r="D42" s="899">
        <f>Weather_Input!D5</f>
        <v>10.3</v>
      </c>
      <c r="E42" s="899">
        <f>Weather_Input!D6</f>
        <v>11</v>
      </c>
      <c r="F42" s="899">
        <f>Weather_Input!D7</f>
        <v>8</v>
      </c>
      <c r="G42" s="900"/>
      <c r="H42" s="895"/>
      <c r="I42" s="895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2"/>
  <sheetViews>
    <sheetView zoomScale="75" workbookViewId="0"/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6" t="s">
        <v>11</v>
      </c>
      <c r="B1" s="587"/>
      <c r="C1" s="587"/>
      <c r="D1" s="587"/>
      <c r="E1" s="588" t="s">
        <v>173</v>
      </c>
      <c r="F1" s="589">
        <f>Weather_Input!A5</f>
        <v>37025</v>
      </c>
      <c r="G1" s="769" t="str">
        <f>CHOOSE(WEEKDAY(F1),"SUN","MON","TUE","WED","THU","FRI","SAT")</f>
        <v>MON</v>
      </c>
      <c r="H1" s="591" t="s">
        <v>258</v>
      </c>
      <c r="I1" s="592"/>
    </row>
    <row r="2" spans="1:9" ht="15.6">
      <c r="A2" s="257" t="s">
        <v>11</v>
      </c>
      <c r="B2" s="608" t="s">
        <v>689</v>
      </c>
      <c r="C2" s="960"/>
      <c r="D2" s="600" t="s">
        <v>556</v>
      </c>
      <c r="E2" s="607"/>
      <c r="F2" s="605" t="s">
        <v>557</v>
      </c>
      <c r="G2" s="606" t="s">
        <v>11</v>
      </c>
      <c r="H2" s="604" t="s">
        <v>174</v>
      </c>
      <c r="I2" s="259"/>
    </row>
    <row r="3" spans="1:9">
      <c r="A3" s="786" t="s">
        <v>535</v>
      </c>
      <c r="B3" s="599" t="s">
        <v>409</v>
      </c>
      <c r="C3" s="258" t="s">
        <v>11</v>
      </c>
      <c r="D3" s="599" t="s">
        <v>23</v>
      </c>
      <c r="E3" s="260" t="s">
        <v>176</v>
      </c>
      <c r="F3" s="602" t="s">
        <v>23</v>
      </c>
      <c r="G3" s="260" t="s">
        <v>176</v>
      </c>
      <c r="H3" s="599" t="s">
        <v>23</v>
      </c>
      <c r="I3" s="493" t="s">
        <v>176</v>
      </c>
    </row>
    <row r="4" spans="1:9" ht="15.6">
      <c r="A4" s="257" t="s">
        <v>11</v>
      </c>
      <c r="B4" s="961">
        <f>Weather_Input!B5</f>
        <v>73</v>
      </c>
      <c r="C4" s="962">
        <f>Weather_Input!C5</f>
        <v>53</v>
      </c>
      <c r="D4" s="601"/>
      <c r="E4" s="601"/>
      <c r="F4" s="603" t="s">
        <v>11</v>
      </c>
      <c r="G4" s="268" t="s">
        <v>11</v>
      </c>
      <c r="H4" s="268"/>
      <c r="I4" s="266"/>
    </row>
    <row r="5" spans="1:9" ht="15.6">
      <c r="A5" s="257" t="s">
        <v>628</v>
      </c>
      <c r="B5" s="963"/>
      <c r="C5" s="964">
        <f>PGL_Requirements!H7/1000</f>
        <v>1.8620000000000001</v>
      </c>
      <c r="D5" s="619"/>
      <c r="E5" s="301"/>
      <c r="F5" s="619"/>
      <c r="G5" s="606"/>
      <c r="H5" s="301"/>
      <c r="I5" s="295"/>
    </row>
    <row r="6" spans="1:9" ht="15.6">
      <c r="A6" s="261" t="s">
        <v>419</v>
      </c>
      <c r="B6" s="1157" t="s">
        <v>11</v>
      </c>
      <c r="C6" s="965">
        <f>PGL_Deliveries!C5/1000</f>
        <v>270</v>
      </c>
      <c r="D6" s="1157" t="s">
        <v>11</v>
      </c>
      <c r="E6" s="268"/>
      <c r="F6" s="601"/>
      <c r="G6" s="268"/>
      <c r="H6" s="601"/>
      <c r="I6" s="266"/>
    </row>
    <row r="7" spans="1:9" ht="15.6" thickBot="1">
      <c r="A7" s="248" t="s">
        <v>766</v>
      </c>
      <c r="B7" s="1158"/>
      <c r="C7" s="1130">
        <f>PGL_Requirements!I7/1000</f>
        <v>0</v>
      </c>
      <c r="D7" s="121"/>
      <c r="E7" s="121"/>
      <c r="F7" s="1158"/>
      <c r="G7" s="1159"/>
      <c r="H7" s="121"/>
      <c r="I7" s="118"/>
    </row>
    <row r="8" spans="1:9" ht="16.2" thickBot="1">
      <c r="A8" s="495"/>
      <c r="B8" s="496" t="s">
        <v>11</v>
      </c>
      <c r="C8" s="496" t="s">
        <v>11</v>
      </c>
      <c r="D8" s="497"/>
      <c r="E8" s="497"/>
      <c r="F8" s="497"/>
      <c r="G8" s="497"/>
      <c r="H8" s="497"/>
      <c r="I8" s="498"/>
    </row>
    <row r="9" spans="1:9">
      <c r="A9" s="424" t="s">
        <v>796</v>
      </c>
      <c r="B9" s="292" t="s">
        <v>11</v>
      </c>
      <c r="C9" s="613">
        <f>B31</f>
        <v>0</v>
      </c>
      <c r="D9" s="618"/>
      <c r="E9" s="268"/>
      <c r="F9" s="618"/>
      <c r="G9" s="268"/>
      <c r="H9" s="618"/>
      <c r="I9" s="266" t="s">
        <v>11</v>
      </c>
    </row>
    <row r="10" spans="1:9">
      <c r="A10" s="248" t="s">
        <v>741</v>
      </c>
      <c r="B10" s="1110"/>
      <c r="C10" s="1126">
        <f>+B34</f>
        <v>157.29400000000001</v>
      </c>
      <c r="D10" s="1110"/>
      <c r="E10" s="433"/>
      <c r="F10" s="1110"/>
      <c r="G10" s="1113"/>
      <c r="H10" s="433"/>
      <c r="I10" s="284" t="s">
        <v>11</v>
      </c>
    </row>
    <row r="11" spans="1:9">
      <c r="A11" s="492" t="s">
        <v>560</v>
      </c>
      <c r="B11" s="281" t="s">
        <v>11</v>
      </c>
      <c r="C11" s="613">
        <f>B41</f>
        <v>0</v>
      </c>
      <c r="D11" s="601"/>
      <c r="E11" s="613" t="s">
        <v>11</v>
      </c>
      <c r="F11" s="601"/>
      <c r="G11" s="613" t="s">
        <v>11</v>
      </c>
      <c r="H11" s="601"/>
      <c r="I11" s="284" t="s">
        <v>11</v>
      </c>
    </row>
    <row r="12" spans="1:9">
      <c r="A12" s="492" t="s">
        <v>561</v>
      </c>
      <c r="B12" s="281" t="s">
        <v>11</v>
      </c>
      <c r="C12" s="613">
        <f>B55</f>
        <v>-102.30800000000001</v>
      </c>
      <c r="D12" s="601"/>
      <c r="E12" s="268"/>
      <c r="F12" s="601"/>
      <c r="G12" s="268" t="s">
        <v>11</v>
      </c>
      <c r="H12" s="601"/>
      <c r="I12" s="266"/>
    </row>
    <row r="13" spans="1:9">
      <c r="A13" s="492" t="s">
        <v>562</v>
      </c>
      <c r="B13" s="281" t="s">
        <v>11</v>
      </c>
      <c r="C13" s="613">
        <f>B47</f>
        <v>0</v>
      </c>
      <c r="D13" s="619"/>
      <c r="E13" s="268"/>
      <c r="F13" s="601"/>
      <c r="G13" s="268" t="s">
        <v>11</v>
      </c>
      <c r="H13" s="601"/>
      <c r="I13" s="266"/>
    </row>
    <row r="14" spans="1:9">
      <c r="A14" s="492" t="s">
        <v>563</v>
      </c>
      <c r="B14" s="285" t="s">
        <v>11</v>
      </c>
      <c r="C14" s="613">
        <f>I65</f>
        <v>179.95099999999999</v>
      </c>
      <c r="D14" s="601"/>
      <c r="E14" s="268"/>
      <c r="F14" s="601"/>
      <c r="G14" s="268" t="s">
        <v>11</v>
      </c>
      <c r="H14" s="601"/>
      <c r="I14" s="266"/>
    </row>
    <row r="15" spans="1:9">
      <c r="A15" s="492" t="s">
        <v>422</v>
      </c>
      <c r="B15" s="281" t="s">
        <v>11</v>
      </c>
      <c r="C15" s="966">
        <f>PGL_Supplies!I7/1000</f>
        <v>18.942</v>
      </c>
      <c r="D15" s="601" t="s">
        <v>11</v>
      </c>
      <c r="E15" s="268"/>
      <c r="F15" s="601"/>
      <c r="G15" s="268" t="s">
        <v>11</v>
      </c>
      <c r="H15" s="601"/>
      <c r="I15" s="266"/>
    </row>
    <row r="16" spans="1:9">
      <c r="A16" s="492" t="s">
        <v>564</v>
      </c>
      <c r="B16" s="281" t="s">
        <v>172</v>
      </c>
      <c r="C16" s="613">
        <f>+B64</f>
        <v>0</v>
      </c>
      <c r="D16" s="601"/>
      <c r="E16" s="268"/>
      <c r="F16" s="601"/>
      <c r="G16" s="268" t="s">
        <v>11</v>
      </c>
      <c r="H16" s="601"/>
      <c r="I16" s="266"/>
    </row>
    <row r="17" spans="1:12" ht="15" customHeight="1">
      <c r="A17" s="492" t="s">
        <v>565</v>
      </c>
      <c r="B17" s="281" t="s">
        <v>172</v>
      </c>
      <c r="C17" s="966">
        <f>PGL_Supplies!B7/1000</f>
        <v>0</v>
      </c>
      <c r="D17" s="619"/>
      <c r="E17" s="268"/>
      <c r="F17" s="601"/>
      <c r="G17" s="268" t="s">
        <v>11</v>
      </c>
      <c r="H17" s="601"/>
      <c r="I17" s="266"/>
    </row>
    <row r="18" spans="1:12" ht="15.6" thickBot="1">
      <c r="A18" s="291" t="s">
        <v>566</v>
      </c>
      <c r="B18" s="614" t="s">
        <v>11</v>
      </c>
      <c r="C18" s="1130">
        <f>PGL_Requirements!G7/1000</f>
        <v>24.606000000000002</v>
      </c>
      <c r="D18" s="600"/>
      <c r="E18" s="268"/>
      <c r="F18" s="601"/>
      <c r="G18" s="268"/>
      <c r="H18" s="601"/>
      <c r="I18" s="266"/>
    </row>
    <row r="19" spans="1:12" ht="16.2" thickBot="1">
      <c r="A19" s="615" t="s">
        <v>696</v>
      </c>
      <c r="B19" s="616" t="s">
        <v>11</v>
      </c>
      <c r="C19" s="510">
        <f>SUM(C9:C17)-C18</f>
        <v>229.27300000000002</v>
      </c>
      <c r="D19" s="620" t="s">
        <v>11</v>
      </c>
      <c r="E19" s="617" t="s">
        <v>11</v>
      </c>
      <c r="F19" s="620" t="s">
        <v>11</v>
      </c>
      <c r="G19" s="510" t="s">
        <v>11</v>
      </c>
      <c r="H19" s="620" t="s">
        <v>11</v>
      </c>
      <c r="I19" s="621"/>
    </row>
    <row r="20" spans="1:12" ht="16.2" thickBot="1">
      <c r="A20" s="503" t="s">
        <v>38</v>
      </c>
      <c r="B20" s="504" t="s">
        <v>11</v>
      </c>
      <c r="C20" s="967"/>
      <c r="D20" s="506"/>
      <c r="E20" s="508"/>
      <c r="F20" s="506"/>
      <c r="G20" s="506" t="s">
        <v>643</v>
      </c>
      <c r="H20" s="506"/>
      <c r="I20" s="968"/>
    </row>
    <row r="21" spans="1:12">
      <c r="A21" s="492" t="s">
        <v>629</v>
      </c>
      <c r="B21" s="281" t="s">
        <v>11</v>
      </c>
      <c r="C21" s="969">
        <f>-PGL_Supplies!J7/1000</f>
        <v>0</v>
      </c>
      <c r="D21" s="265"/>
      <c r="E21" s="268"/>
      <c r="F21" s="265"/>
      <c r="G21" s="268"/>
      <c r="H21" s="265"/>
      <c r="I21" s="259"/>
    </row>
    <row r="22" spans="1:12">
      <c r="A22" s="492" t="s">
        <v>425</v>
      </c>
      <c r="B22" s="281" t="s">
        <v>11</v>
      </c>
      <c r="C22" s="613">
        <f>C6+C7-C19</f>
        <v>40.726999999999975</v>
      </c>
      <c r="D22" s="265"/>
      <c r="E22" s="268"/>
      <c r="F22" s="265"/>
      <c r="G22" s="613" t="s">
        <v>11</v>
      </c>
      <c r="H22" s="265"/>
      <c r="I22" s="295"/>
    </row>
    <row r="23" spans="1:12" ht="18" customHeight="1">
      <c r="A23" s="635" t="s">
        <v>426</v>
      </c>
      <c r="B23" s="281" t="s">
        <v>11</v>
      </c>
      <c r="C23" s="613"/>
      <c r="D23" s="265"/>
      <c r="E23" s="268"/>
      <c r="F23" s="296" t="s">
        <v>11</v>
      </c>
      <c r="G23" s="970"/>
      <c r="H23" s="296" t="s">
        <v>11</v>
      </c>
      <c r="I23" s="259"/>
    </row>
    <row r="24" spans="1:12" ht="16.2" thickBot="1">
      <c r="A24" s="492" t="s">
        <v>427</v>
      </c>
      <c r="B24" s="971" t="s">
        <v>11</v>
      </c>
      <c r="C24" s="972">
        <f>SUM(B54+B56+B57)</f>
        <v>1.5499499999999999</v>
      </c>
      <c r="D24" s="258"/>
      <c r="E24" s="270"/>
      <c r="F24" s="973"/>
      <c r="G24" s="270"/>
      <c r="H24" s="974" t="s">
        <v>11</v>
      </c>
      <c r="I24" s="975" t="s">
        <v>11</v>
      </c>
      <c r="K24" t="s">
        <v>11</v>
      </c>
    </row>
    <row r="25" spans="1:12" ht="16.8" thickTop="1" thickBot="1">
      <c r="A25" s="636" t="s">
        <v>428</v>
      </c>
      <c r="B25" s="976" t="s">
        <v>11</v>
      </c>
      <c r="C25" s="977">
        <f>SUM(C22:C24)</f>
        <v>42.276949999999978</v>
      </c>
      <c r="D25" s="976" t="str">
        <f>B25</f>
        <v xml:space="preserve"> </v>
      </c>
      <c r="E25" s="977" t="s">
        <v>11</v>
      </c>
      <c r="F25" s="976" t="s">
        <v>11</v>
      </c>
      <c r="G25" s="977" t="s">
        <v>11</v>
      </c>
      <c r="H25" s="978" t="s">
        <v>11</v>
      </c>
      <c r="I25" s="979" t="s">
        <v>11</v>
      </c>
    </row>
    <row r="26" spans="1:12" ht="15.6" thickTop="1">
      <c r="A26" s="331" t="s">
        <v>732</v>
      </c>
      <c r="B26" s="980"/>
      <c r="C26" s="969">
        <f>SUM(-PGL_Supplies!M7/1000)</f>
        <v>0</v>
      </c>
      <c r="D26" s="1100" t="s">
        <v>11</v>
      </c>
      <c r="E26" s="1099" t="s">
        <v>11</v>
      </c>
      <c r="F26" s="1101"/>
      <c r="G26" s="1102"/>
      <c r="H26" s="513"/>
      <c r="I26" s="985"/>
    </row>
    <row r="27" spans="1:12" ht="15" customHeight="1">
      <c r="A27" s="492" t="s">
        <v>436</v>
      </c>
      <c r="B27" s="986"/>
      <c r="C27" s="987">
        <f>PGL_Requirements!O7/1000</f>
        <v>0</v>
      </c>
      <c r="D27" s="981" t="s">
        <v>11</v>
      </c>
      <c r="E27" s="964" t="s">
        <v>11</v>
      </c>
      <c r="F27" s="306"/>
      <c r="G27" s="964" t="s">
        <v>11</v>
      </c>
      <c r="H27" s="513"/>
      <c r="I27" s="982" t="s">
        <v>11</v>
      </c>
      <c r="L27" s="121"/>
    </row>
    <row r="28" spans="1:12">
      <c r="A28" s="492" t="s">
        <v>437</v>
      </c>
      <c r="B28" s="988"/>
      <c r="C28" s="983">
        <f>-PGL_Supplies!L7/1000</f>
        <v>-8.4719999999999995</v>
      </c>
      <c r="D28" s="984" t="s">
        <v>11</v>
      </c>
      <c r="E28" s="983" t="s">
        <v>11</v>
      </c>
      <c r="F28" s="306"/>
      <c r="G28" s="983" t="s">
        <v>11</v>
      </c>
      <c r="H28" s="513"/>
      <c r="I28" s="989" t="s">
        <v>11</v>
      </c>
      <c r="L28" s="1098"/>
    </row>
    <row r="29" spans="1:12">
      <c r="A29" s="424" t="s">
        <v>197</v>
      </c>
      <c r="B29" s="990"/>
      <c r="C29" s="983">
        <f>-PGL_Supplies!AC7/1000</f>
        <v>-54.57</v>
      </c>
      <c r="D29" s="984" t="s">
        <v>11</v>
      </c>
      <c r="E29" s="983">
        <f>-PGL_Supplies!AC7/1000</f>
        <v>-54.57</v>
      </c>
      <c r="F29" s="306"/>
      <c r="G29" s="983">
        <f>-PGL_Supplies!AC7/1000</f>
        <v>-54.57</v>
      </c>
      <c r="H29" s="513"/>
      <c r="I29" s="985">
        <f>-PGL_Supplies!AC7/1000</f>
        <v>-54.57</v>
      </c>
      <c r="L29" s="1098"/>
    </row>
    <row r="30" spans="1:12" ht="16.2" thickBot="1">
      <c r="A30" s="325" t="s">
        <v>11</v>
      </c>
      <c r="B30" s="486" t="s">
        <v>11</v>
      </c>
      <c r="C30" s="1180" t="s">
        <v>741</v>
      </c>
      <c r="D30" s="485"/>
      <c r="E30" s="327"/>
      <c r="F30" s="328" t="s">
        <v>202</v>
      </c>
      <c r="G30" s="327"/>
      <c r="H30" s="991"/>
      <c r="I30" s="330"/>
      <c r="L30" s="593"/>
    </row>
    <row r="31" spans="1:12">
      <c r="A31" s="424" t="s">
        <v>792</v>
      </c>
      <c r="B31" s="323">
        <v>0</v>
      </c>
      <c r="C31" s="8"/>
      <c r="D31" s="612"/>
      <c r="E31" s="8"/>
      <c r="F31" s="331" t="s">
        <v>460</v>
      </c>
      <c r="G31" s="543"/>
      <c r="H31" s="522"/>
      <c r="I31" s="335"/>
      <c r="L31" s="1098"/>
    </row>
    <row r="32" spans="1:12" ht="15.6">
      <c r="A32" s="424" t="s">
        <v>794</v>
      </c>
      <c r="B32" s="987">
        <f>PGL_Requirements!J7/1000</f>
        <v>0</v>
      </c>
      <c r="C32" s="314" t="s">
        <v>11</v>
      </c>
      <c r="D32" s="312"/>
      <c r="E32" s="332"/>
      <c r="F32" s="424" t="s">
        <v>461</v>
      </c>
      <c r="G32" s="543"/>
      <c r="H32" s="316"/>
      <c r="I32" s="335"/>
      <c r="L32" s="593"/>
    </row>
    <row r="33" spans="1:12" ht="15.6" thickBot="1">
      <c r="A33" s="1127" t="s">
        <v>4</v>
      </c>
      <c r="B33" s="323">
        <f>PGL_Supplies!Y7/1000</f>
        <v>157.29400000000001</v>
      </c>
      <c r="C33" s="1114" t="s">
        <v>11</v>
      </c>
      <c r="D33" s="348"/>
      <c r="E33" s="553"/>
      <c r="F33" s="424" t="s">
        <v>462</v>
      </c>
      <c r="G33" s="543"/>
      <c r="H33" s="316"/>
      <c r="I33" s="335"/>
      <c r="L33" s="1098"/>
    </row>
    <row r="34" spans="1:12" ht="16.2" thickBot="1">
      <c r="A34" s="558" t="s">
        <v>443</v>
      </c>
      <c r="B34" s="1118">
        <f>+B33-B32-B31</f>
        <v>157.29400000000001</v>
      </c>
      <c r="C34" s="1119" t="s">
        <v>11</v>
      </c>
      <c r="D34" s="530"/>
      <c r="E34" s="520"/>
      <c r="F34" s="424" t="s">
        <v>463</v>
      </c>
      <c r="G34" s="543"/>
      <c r="H34" s="316"/>
      <c r="I34" s="335"/>
      <c r="L34" s="1098"/>
    </row>
    <row r="35" spans="1:12" ht="16.2" thickBot="1">
      <c r="A35" s="325" t="s">
        <v>11</v>
      </c>
      <c r="B35" s="1115" t="s">
        <v>11</v>
      </c>
      <c r="C35" s="995" t="s">
        <v>68</v>
      </c>
      <c r="D35" s="1116"/>
      <c r="E35" s="1117"/>
      <c r="F35" s="424" t="s">
        <v>464</v>
      </c>
      <c r="G35" s="543"/>
      <c r="H35" s="316"/>
      <c r="I35" s="992" t="s">
        <v>690</v>
      </c>
      <c r="L35" s="1098"/>
    </row>
    <row r="36" spans="1:12">
      <c r="A36" s="424" t="s">
        <v>631</v>
      </c>
      <c r="B36" s="323">
        <f>PGL_Requirements!U7/1000</f>
        <v>40.200000000000003</v>
      </c>
      <c r="C36" s="593"/>
      <c r="D36" s="312"/>
      <c r="E36" s="332"/>
      <c r="F36" s="369" t="s">
        <v>465</v>
      </c>
      <c r="G36" s="543"/>
      <c r="H36" s="316"/>
      <c r="I36" s="993"/>
      <c r="L36" s="1098"/>
    </row>
    <row r="37" spans="1:12">
      <c r="A37" s="424" t="s">
        <v>712</v>
      </c>
      <c r="B37" s="323">
        <f>PGL_Supplies!R7/1000</f>
        <v>0</v>
      </c>
      <c r="C37" s="312"/>
      <c r="D37" s="312"/>
      <c r="E37" s="332"/>
      <c r="F37" s="424" t="s">
        <v>466</v>
      </c>
      <c r="G37" s="543"/>
      <c r="H37" s="316"/>
      <c r="I37" s="335"/>
      <c r="L37" s="1098"/>
    </row>
    <row r="38" spans="1:12">
      <c r="A38" s="424" t="s">
        <v>441</v>
      </c>
      <c r="B38" s="323">
        <f>PGL_Requirements!C7/1000</f>
        <v>0</v>
      </c>
      <c r="C38" s="1110"/>
      <c r="D38" s="1111"/>
      <c r="E38" s="1008"/>
      <c r="F38" s="424" t="s">
        <v>467</v>
      </c>
      <c r="G38" s="543"/>
      <c r="H38" s="316"/>
      <c r="I38" s="335"/>
      <c r="L38" s="1098"/>
    </row>
    <row r="39" spans="1:12">
      <c r="A39" s="424" t="s">
        <v>442</v>
      </c>
      <c r="B39" s="323">
        <f>PGL_Supplies!C7/1000</f>
        <v>0</v>
      </c>
      <c r="C39" s="1110"/>
      <c r="D39" s="1111"/>
      <c r="E39" s="811"/>
      <c r="F39" s="994" t="s">
        <v>468</v>
      </c>
      <c r="G39" s="121"/>
      <c r="H39" s="548"/>
      <c r="I39" s="335"/>
      <c r="L39" s="1098"/>
    </row>
    <row r="40" spans="1:12" ht="15.6" thickBot="1">
      <c r="A40" s="637" t="s">
        <v>694</v>
      </c>
      <c r="B40" s="323">
        <f>PGL_Supplies!Z7/1000</f>
        <v>40.200000000000003</v>
      </c>
      <c r="C40" s="121"/>
      <c r="D40" s="1109"/>
      <c r="E40" s="121"/>
      <c r="F40" s="546" t="s">
        <v>469</v>
      </c>
      <c r="G40" s="543"/>
      <c r="H40" s="349"/>
      <c r="I40" s="335"/>
      <c r="L40" s="593"/>
    </row>
    <row r="41" spans="1:12" ht="16.2" thickBot="1">
      <c r="A41" s="558" t="s">
        <v>443</v>
      </c>
      <c r="B41" s="565">
        <f>B40+B37-B36-B38+B39</f>
        <v>0</v>
      </c>
      <c r="C41" s="530"/>
      <c r="D41" s="530"/>
      <c r="E41" s="520"/>
      <c r="F41" s="424" t="s">
        <v>470</v>
      </c>
      <c r="G41" s="543"/>
      <c r="H41" s="351"/>
      <c r="I41" s="335"/>
      <c r="L41" s="593"/>
    </row>
    <row r="42" spans="1:12" ht="16.2" thickBot="1">
      <c r="A42" s="554" t="s">
        <v>11</v>
      </c>
      <c r="B42" s="555" t="s">
        <v>11</v>
      </c>
      <c r="C42" s="995" t="s">
        <v>69</v>
      </c>
      <c r="D42" s="557"/>
      <c r="E42" s="996" t="s">
        <v>11</v>
      </c>
      <c r="F42" s="424" t="s">
        <v>471</v>
      </c>
      <c r="G42" s="543"/>
      <c r="H42" s="316"/>
      <c r="I42" s="335"/>
    </row>
    <row r="43" spans="1:12">
      <c r="A43" s="424" t="s">
        <v>518</v>
      </c>
      <c r="B43" s="323">
        <f>NSG_Supplies!O7/1000+PGL_Supplies!AA7/1000</f>
        <v>0</v>
      </c>
      <c r="C43" s="351"/>
      <c r="D43" s="312"/>
      <c r="E43" s="350"/>
      <c r="F43" s="424" t="s">
        <v>403</v>
      </c>
      <c r="G43" s="543"/>
      <c r="H43" s="351"/>
      <c r="I43" s="335"/>
    </row>
    <row r="44" spans="1:12">
      <c r="A44" s="770" t="s">
        <v>519</v>
      </c>
      <c r="B44" s="323">
        <v>0</v>
      </c>
      <c r="C44" s="593"/>
      <c r="D44" s="312"/>
      <c r="E44" s="350"/>
      <c r="F44" s="369" t="s">
        <v>472</v>
      </c>
      <c r="G44" s="547"/>
      <c r="H44" s="538"/>
      <c r="I44" s="335"/>
    </row>
    <row r="45" spans="1:12" ht="15.6" thickBot="1">
      <c r="A45" s="424" t="s">
        <v>446</v>
      </c>
      <c r="B45" s="997">
        <f>PGL_Requirements!D7/1000</f>
        <v>0</v>
      </c>
      <c r="C45" s="351"/>
      <c r="D45" s="312"/>
      <c r="E45" s="350"/>
      <c r="F45" s="369" t="s">
        <v>473</v>
      </c>
      <c r="G45" s="547"/>
      <c r="H45" s="549"/>
      <c r="I45" s="335"/>
    </row>
    <row r="46" spans="1:12" ht="16.2" thickBot="1">
      <c r="A46" s="424" t="s">
        <v>447</v>
      </c>
      <c r="B46" s="323">
        <f>PGL_Supplies!D7/1000</f>
        <v>0</v>
      </c>
      <c r="C46" s="351"/>
      <c r="D46" s="312"/>
      <c r="E46" s="350"/>
      <c r="F46" s="550" t="s">
        <v>224</v>
      </c>
      <c r="G46" s="551"/>
      <c r="H46" s="552"/>
      <c r="I46" s="335"/>
    </row>
    <row r="47" spans="1:12" ht="16.2" thickBot="1">
      <c r="A47" s="558" t="s">
        <v>443</v>
      </c>
      <c r="B47" s="998">
        <f>B43+B44-B45+B46</f>
        <v>0</v>
      </c>
      <c r="C47" s="999"/>
      <c r="D47" s="530"/>
      <c r="E47" s="1000"/>
      <c r="F47" s="527" t="s">
        <v>11</v>
      </c>
      <c r="G47" s="528" t="s">
        <v>474</v>
      </c>
      <c r="H47" s="528" t="s">
        <v>11</v>
      </c>
      <c r="I47" s="359"/>
    </row>
    <row r="48" spans="1:12" ht="16.2" thickBot="1">
      <c r="A48" s="554" t="s">
        <v>11</v>
      </c>
      <c r="B48" s="559" t="s">
        <v>11</v>
      </c>
      <c r="C48" s="995" t="s">
        <v>60</v>
      </c>
      <c r="D48" s="557"/>
      <c r="E48" s="557"/>
      <c r="F48" s="567" t="s">
        <v>426</v>
      </c>
      <c r="G48" s="540"/>
      <c r="H48" s="562" t="s">
        <v>11</v>
      </c>
      <c r="I48" s="365" t="s">
        <v>11</v>
      </c>
    </row>
    <row r="49" spans="1:9">
      <c r="A49" s="424" t="s">
        <v>72</v>
      </c>
      <c r="B49" s="323">
        <f>PGL_Requirements!P7/1000</f>
        <v>103.33</v>
      </c>
      <c r="C49" s="312"/>
      <c r="D49" s="312"/>
      <c r="E49" s="312"/>
      <c r="F49" s="360" t="s">
        <v>475</v>
      </c>
      <c r="G49" s="312"/>
      <c r="H49" s="387" t="s">
        <v>11</v>
      </c>
      <c r="I49" s="365" t="s">
        <v>11</v>
      </c>
    </row>
    <row r="50" spans="1:9" ht="15.6" thickBot="1">
      <c r="A50" s="424" t="s">
        <v>448</v>
      </c>
      <c r="B50" s="323">
        <f>PGL_Supplies!M7/1000</f>
        <v>0</v>
      </c>
      <c r="C50" s="312"/>
      <c r="D50" s="312"/>
      <c r="E50" s="312"/>
      <c r="F50" s="536" t="s">
        <v>476</v>
      </c>
      <c r="G50" s="354"/>
      <c r="H50" s="525" t="s">
        <v>11</v>
      </c>
      <c r="I50" s="406"/>
    </row>
    <row r="51" spans="1:9" ht="15.6" thickBot="1">
      <c r="A51" s="424" t="s">
        <v>449</v>
      </c>
      <c r="B51" s="323">
        <f>SUM(PGL_Requirements!B7/1000)</f>
        <v>0</v>
      </c>
      <c r="C51" s="312"/>
      <c r="D51" s="312"/>
      <c r="E51" s="312"/>
      <c r="F51" s="564" t="s">
        <v>452</v>
      </c>
      <c r="G51" s="530"/>
      <c r="H51" s="565" t="s">
        <v>11</v>
      </c>
      <c r="I51" s="1001" t="s">
        <v>11</v>
      </c>
    </row>
    <row r="52" spans="1:9" ht="16.2" thickBot="1">
      <c r="A52" s="424" t="s">
        <v>450</v>
      </c>
      <c r="B52" s="323">
        <f>PGL_Supplies!H7/1000</f>
        <v>1.6719999999999999</v>
      </c>
      <c r="C52" s="312"/>
      <c r="D52" s="312"/>
      <c r="E52" s="312"/>
      <c r="F52" s="357" t="s">
        <v>477</v>
      </c>
      <c r="G52" s="358"/>
      <c r="H52" s="358"/>
      <c r="I52" s="359"/>
    </row>
    <row r="53" spans="1:9">
      <c r="A53" s="369" t="s">
        <v>737</v>
      </c>
      <c r="B53" s="323">
        <f>PGL_Requirements!R7/1000</f>
        <v>0.65</v>
      </c>
      <c r="C53" s="312"/>
      <c r="D53" s="312"/>
      <c r="E53" s="312"/>
      <c r="F53" s="541" t="s">
        <v>478</v>
      </c>
      <c r="G53" s="542"/>
      <c r="H53" s="568" t="s">
        <v>11</v>
      </c>
      <c r="I53" s="569">
        <f>+PGL_Supplies!K7/1000</f>
        <v>0</v>
      </c>
    </row>
    <row r="54" spans="1:9" ht="16.2" thickBot="1">
      <c r="A54" s="424" t="s">
        <v>738</v>
      </c>
      <c r="B54" s="323">
        <f>PGL_Requirements!Q7/1000</f>
        <v>1.5499499999999999</v>
      </c>
      <c r="C54" s="348"/>
      <c r="D54" s="348"/>
      <c r="E54" s="348"/>
      <c r="F54" s="357" t="s">
        <v>421</v>
      </c>
      <c r="G54" s="358"/>
      <c r="H54" s="358"/>
      <c r="I54" s="359"/>
    </row>
    <row r="55" spans="1:9" ht="16.2" thickBot="1">
      <c r="A55" s="517" t="s">
        <v>452</v>
      </c>
      <c r="B55" s="518">
        <f>-B49+B50+B52-B53-B51+B56+B57</f>
        <v>-102.30800000000001</v>
      </c>
      <c r="C55" s="519"/>
      <c r="D55" s="519"/>
      <c r="E55" s="520"/>
      <c r="F55" s="546" t="s">
        <v>480</v>
      </c>
      <c r="G55" s="544"/>
      <c r="H55" s="539"/>
      <c r="I55" s="1002">
        <f>PGL_Requirements!E7/1000</f>
        <v>0</v>
      </c>
    </row>
    <row r="56" spans="1:9">
      <c r="A56" s="331" t="s">
        <v>795</v>
      </c>
      <c r="B56" s="323">
        <v>0</v>
      </c>
      <c r="C56" s="522"/>
      <c r="D56" s="522"/>
      <c r="E56" s="523"/>
      <c r="F56" s="369" t="s">
        <v>481</v>
      </c>
      <c r="G56" s="543"/>
      <c r="H56" s="1003">
        <f>PGL_Supplies!E7/1000</f>
        <v>0</v>
      </c>
      <c r="I56" s="1004" t="s">
        <v>11</v>
      </c>
    </row>
    <row r="57" spans="1:9">
      <c r="A57" s="424" t="s">
        <v>216</v>
      </c>
      <c r="B57" s="1188">
        <v>0</v>
      </c>
      <c r="C57" s="539"/>
      <c r="D57" s="539"/>
      <c r="E57" s="1189"/>
      <c r="F57" s="424" t="s">
        <v>109</v>
      </c>
      <c r="G57" s="572"/>
      <c r="H57" s="1003">
        <f>PGL_Supplies!AB7/1000+NSG_Supplies!N7/1000</f>
        <v>169.63</v>
      </c>
      <c r="I57" s="1004" t="s">
        <v>11</v>
      </c>
    </row>
    <row r="58" spans="1:9" ht="15.6" thickBot="1">
      <c r="A58" s="424" t="s">
        <v>793</v>
      </c>
      <c r="B58" s="1190">
        <v>0</v>
      </c>
      <c r="C58" s="593"/>
      <c r="D58" s="1191"/>
      <c r="E58" s="393"/>
      <c r="F58" s="121" t="s">
        <v>623</v>
      </c>
      <c r="G58" s="121"/>
      <c r="H58" s="1003">
        <f>PGL_Supplies!T7/1000</f>
        <v>20</v>
      </c>
      <c r="I58" s="1008"/>
    </row>
    <row r="59" spans="1:9" ht="16.2" thickBot="1">
      <c r="A59" s="638" t="s">
        <v>11</v>
      </c>
      <c r="B59" s="1005"/>
      <c r="C59" s="1006" t="s">
        <v>37</v>
      </c>
      <c r="D59" s="1007"/>
      <c r="E59" s="1112"/>
      <c r="F59" s="121" t="s">
        <v>622</v>
      </c>
      <c r="G59" s="121"/>
      <c r="H59" s="1009"/>
      <c r="I59" s="1010">
        <f>PGL_Requirements!H7/1000</f>
        <v>1.8620000000000001</v>
      </c>
    </row>
    <row r="60" spans="1:9" ht="16.2" thickBot="1">
      <c r="A60" s="424" t="s">
        <v>454</v>
      </c>
      <c r="B60" s="323">
        <f>PGL_Supplies!Q7/1000</f>
        <v>0</v>
      </c>
      <c r="C60" s="380" t="s">
        <v>11</v>
      </c>
      <c r="D60" s="312"/>
      <c r="E60" s="381"/>
      <c r="F60" s="550" t="s">
        <v>691</v>
      </c>
      <c r="G60" s="429"/>
      <c r="H60" s="429"/>
      <c r="I60" s="1079">
        <f>SUM(H55:H59)-I55</f>
        <v>189.63</v>
      </c>
    </row>
    <row r="61" spans="1:9">
      <c r="A61" s="424" t="s">
        <v>455</v>
      </c>
      <c r="B61" s="387">
        <f>PGL_Requirements!F7/1000</f>
        <v>0</v>
      </c>
      <c r="C61" s="380" t="s">
        <v>11</v>
      </c>
      <c r="D61" s="312"/>
      <c r="E61" s="381"/>
      <c r="F61" s="1011" t="s">
        <v>782</v>
      </c>
      <c r="G61" s="1012"/>
      <c r="H61" s="1082"/>
      <c r="I61" s="1080">
        <v>0</v>
      </c>
    </row>
    <row r="62" spans="1:9">
      <c r="A62" s="424" t="s">
        <v>456</v>
      </c>
      <c r="B62" s="323">
        <f>PGL_Supplies!G7/1000</f>
        <v>0</v>
      </c>
      <c r="C62" s="323"/>
      <c r="D62" s="312"/>
      <c r="E62" s="316"/>
      <c r="F62" s="1013" t="s">
        <v>783</v>
      </c>
      <c r="G62" s="593"/>
      <c r="H62" s="1083" t="s">
        <v>11</v>
      </c>
      <c r="I62" s="1081">
        <f>I60-I61-I63</f>
        <v>187.768</v>
      </c>
    </row>
    <row r="63" spans="1:9" ht="15.6" thickBot="1">
      <c r="A63" s="424" t="s">
        <v>109</v>
      </c>
      <c r="B63" s="1014">
        <f>PGL_Supplies!AD7/1000</f>
        <v>0</v>
      </c>
      <c r="C63" s="526"/>
      <c r="D63" s="348"/>
      <c r="E63" s="524"/>
      <c r="F63" s="1015" t="s">
        <v>784</v>
      </c>
      <c r="G63" s="224"/>
      <c r="H63" s="1110"/>
      <c r="I63" s="1176">
        <f>I59</f>
        <v>1.8620000000000001</v>
      </c>
    </row>
    <row r="64" spans="1:9" ht="16.2" thickBot="1">
      <c r="A64" s="798" t="s">
        <v>559</v>
      </c>
      <c r="B64" s="1016">
        <f>+B63+B62-B61+B60</f>
        <v>0</v>
      </c>
      <c r="C64" s="998" t="s">
        <v>11</v>
      </c>
      <c r="D64" s="530"/>
      <c r="E64" s="520"/>
      <c r="F64" s="1179" t="s">
        <v>785</v>
      </c>
      <c r="G64" s="433"/>
      <c r="H64" s="1111"/>
      <c r="I64" s="1176">
        <f>PGL_Requirements!H7/1000</f>
        <v>1.8620000000000001</v>
      </c>
    </row>
    <row r="65" spans="1:9" ht="15.6">
      <c r="A65" s="541" t="s">
        <v>728</v>
      </c>
      <c r="B65" s="1022"/>
      <c r="C65" s="1032" t="s">
        <v>11</v>
      </c>
      <c r="D65" s="1032" t="s">
        <v>11</v>
      </c>
      <c r="E65" s="1033" t="s">
        <v>11</v>
      </c>
      <c r="F65" s="1178" t="s">
        <v>3</v>
      </c>
      <c r="H65" s="1111"/>
      <c r="I65" s="1186">
        <f>+I61+I62+I63-I64-I66</f>
        <v>179.95099999999999</v>
      </c>
    </row>
    <row r="66" spans="1:9" ht="15.6">
      <c r="A66" s="369" t="s">
        <v>729</v>
      </c>
      <c r="B66" s="1025"/>
      <c r="C66" s="1031" t="s">
        <v>11</v>
      </c>
      <c r="D66" s="1031" t="s">
        <v>11</v>
      </c>
      <c r="E66" s="1177" t="s">
        <v>11</v>
      </c>
      <c r="F66" s="1187" t="s">
        <v>791</v>
      </c>
      <c r="G66" s="1113"/>
      <c r="H66" s="239"/>
      <c r="I66" s="1176">
        <f>PGL_Requirements!K7/1000</f>
        <v>7.8170000000000002</v>
      </c>
    </row>
    <row r="67" spans="1:9" ht="16.2" thickBot="1">
      <c r="A67" s="1182" t="s">
        <v>776</v>
      </c>
      <c r="B67" s="1023"/>
      <c r="C67" s="1034" t="s">
        <v>11</v>
      </c>
      <c r="D67" s="1034" t="s">
        <v>11</v>
      </c>
      <c r="E67" s="1035" t="s">
        <v>11</v>
      </c>
      <c r="F67" s="357" t="s">
        <v>744</v>
      </c>
      <c r="G67" s="358"/>
      <c r="H67" s="358"/>
      <c r="I67" s="359"/>
    </row>
    <row r="68" spans="1:9" ht="16.2" thickBot="1">
      <c r="A68" s="1020" t="s">
        <v>695</v>
      </c>
      <c r="B68" s="1027" t="s">
        <v>11</v>
      </c>
      <c r="C68" s="1094" t="s">
        <v>11</v>
      </c>
      <c r="D68" s="1094" t="s">
        <v>11</v>
      </c>
      <c r="E68" s="1095" t="s">
        <v>11</v>
      </c>
      <c r="F68" s="580" t="s">
        <v>484</v>
      </c>
      <c r="G68" s="540" t="s">
        <v>11</v>
      </c>
      <c r="H68" s="573" t="s">
        <v>11</v>
      </c>
      <c r="I68" s="585" t="s">
        <v>11</v>
      </c>
    </row>
    <row r="69" spans="1:9" ht="16.2" thickBot="1">
      <c r="A69" s="1103" t="s">
        <v>746</v>
      </c>
      <c r="B69" s="1096"/>
      <c r="C69" s="121"/>
      <c r="D69" s="1096"/>
      <c r="E69" s="121"/>
      <c r="F69" s="360" t="s">
        <v>485</v>
      </c>
      <c r="G69" s="312"/>
      <c r="H69" s="539"/>
      <c r="I69" s="1019"/>
    </row>
    <row r="70" spans="1:9" ht="16.2" thickBot="1">
      <c r="A70" s="517" t="s">
        <v>730</v>
      </c>
      <c r="B70" s="1026" t="s">
        <v>11</v>
      </c>
      <c r="C70" s="1028" t="s">
        <v>11</v>
      </c>
      <c r="D70" s="1028" t="s">
        <v>11</v>
      </c>
      <c r="E70" s="1193" t="s">
        <v>11</v>
      </c>
      <c r="F70" s="1194"/>
      <c r="I70" s="1192"/>
    </row>
    <row r="71" spans="1:9" ht="16.2" thickBot="1">
      <c r="A71" s="1181" t="s">
        <v>775</v>
      </c>
      <c r="B71" s="1024" t="s">
        <v>11</v>
      </c>
      <c r="C71" s="1029" t="s">
        <v>11</v>
      </c>
      <c r="D71" s="1029" t="s">
        <v>11</v>
      </c>
      <c r="E71" s="1030" t="s">
        <v>11</v>
      </c>
      <c r="F71" s="1021" t="s">
        <v>486</v>
      </c>
      <c r="G71" s="119"/>
      <c r="H71" s="1018" t="s">
        <v>487</v>
      </c>
      <c r="I71" s="403" t="s">
        <v>11</v>
      </c>
    </row>
    <row r="72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097" t="s">
        <v>11</v>
      </c>
      <c r="B1" s="639"/>
      <c r="C1" s="639" t="s">
        <v>11</v>
      </c>
      <c r="D1" s="640"/>
      <c r="E1" s="769" t="s">
        <v>173</v>
      </c>
      <c r="F1" s="769" t="str">
        <f>CHOOSE(WEEKDAY(G1),"SUN","MON","TUE","WED","THU","FRI","SAT")</f>
        <v>MON</v>
      </c>
      <c r="G1" s="1078">
        <f>Weather_Input!A5</f>
        <v>37025</v>
      </c>
      <c r="H1" s="588" t="s">
        <v>258</v>
      </c>
      <c r="I1" s="592"/>
    </row>
    <row r="2" spans="1:9" ht="20.399999999999999">
      <c r="A2" s="641" t="s">
        <v>11</v>
      </c>
      <c r="B2" s="792" t="s">
        <v>555</v>
      </c>
      <c r="C2" s="951"/>
      <c r="D2" s="794" t="s">
        <v>556</v>
      </c>
      <c r="E2" s="793"/>
      <c r="F2" s="794" t="s">
        <v>557</v>
      </c>
      <c r="G2" s="793"/>
      <c r="H2" s="795" t="s">
        <v>496</v>
      </c>
      <c r="I2" s="644"/>
    </row>
    <row r="3" spans="1:9" ht="21">
      <c r="A3" s="1087" t="s">
        <v>497</v>
      </c>
      <c r="B3" s="645" t="s">
        <v>23</v>
      </c>
      <c r="C3" s="646"/>
      <c r="D3" s="647" t="s">
        <v>23</v>
      </c>
      <c r="E3" s="646" t="s">
        <v>24</v>
      </c>
      <c r="F3" s="647" t="s">
        <v>23</v>
      </c>
      <c r="G3" s="647" t="s">
        <v>24</v>
      </c>
      <c r="H3" s="645" t="s">
        <v>23</v>
      </c>
      <c r="I3" s="648" t="s">
        <v>24</v>
      </c>
    </row>
    <row r="4" spans="1:9" ht="21" thickBot="1">
      <c r="A4" s="649"/>
      <c r="B4" s="650">
        <f>Weather_Input!B5</f>
        <v>73</v>
      </c>
      <c r="C4" s="757">
        <f>Weather_Input!C5</f>
        <v>53</v>
      </c>
      <c r="D4" s="651"/>
      <c r="E4" s="652"/>
      <c r="F4" s="651"/>
      <c r="G4" s="652"/>
      <c r="H4" s="653"/>
      <c r="I4" s="654"/>
    </row>
    <row r="5" spans="1:9" ht="23.4" thickBot="1">
      <c r="A5" s="655" t="s">
        <v>139</v>
      </c>
      <c r="B5" s="656"/>
      <c r="C5" s="657">
        <f>NSG_Deliveries!C5/1000</f>
        <v>57</v>
      </c>
      <c r="D5" s="656"/>
      <c r="E5" s="658"/>
      <c r="F5" s="656"/>
      <c r="G5" s="658" t="s">
        <v>11</v>
      </c>
      <c r="H5" s="656"/>
      <c r="I5" s="659"/>
    </row>
    <row r="6" spans="1:9" ht="12" customHeight="1" thickBot="1">
      <c r="A6" s="660" t="s">
        <v>11</v>
      </c>
      <c r="B6" s="661"/>
      <c r="C6" s="662"/>
      <c r="D6" s="663"/>
      <c r="E6" s="662"/>
      <c r="F6" s="663"/>
      <c r="G6" s="663"/>
      <c r="H6" s="661"/>
      <c r="I6" s="664"/>
    </row>
    <row r="7" spans="1:9" ht="23.4" thickBot="1">
      <c r="A7" s="665" t="s">
        <v>86</v>
      </c>
      <c r="B7" s="656"/>
      <c r="C7" s="762">
        <f>C5-C9-C11-C12</f>
        <v>41.393999999999998</v>
      </c>
      <c r="D7" s="666"/>
      <c r="E7" s="658"/>
      <c r="F7" s="666"/>
      <c r="G7" s="666" t="s">
        <v>11</v>
      </c>
      <c r="H7" s="656"/>
      <c r="I7" s="659"/>
    </row>
    <row r="8" spans="1:9" ht="12" customHeight="1" thickBot="1">
      <c r="A8" s="660"/>
      <c r="B8" s="667"/>
      <c r="C8" s="662"/>
      <c r="D8" s="663"/>
      <c r="E8" s="662"/>
      <c r="F8" s="663"/>
      <c r="G8" s="663"/>
      <c r="H8" s="661"/>
      <c r="I8" s="664"/>
    </row>
    <row r="9" spans="1:9" s="114" customFormat="1" ht="21" customHeight="1" thickBot="1">
      <c r="A9" s="827" t="s">
        <v>639</v>
      </c>
      <c r="B9" s="674"/>
      <c r="C9" s="1108">
        <f>B46</f>
        <v>15.606</v>
      </c>
      <c r="D9" s="672"/>
      <c r="E9" s="673"/>
      <c r="F9" s="672"/>
      <c r="G9" s="672"/>
      <c r="H9" s="674"/>
      <c r="I9" s="675"/>
    </row>
    <row r="10" spans="1:9" ht="12" customHeight="1" thickBot="1">
      <c r="A10" s="823"/>
      <c r="B10" s="667"/>
      <c r="C10" s="662"/>
      <c r="D10" s="824"/>
      <c r="E10" s="668"/>
      <c r="F10" s="824"/>
      <c r="G10" s="824"/>
      <c r="H10" s="667"/>
      <c r="I10" s="825"/>
    </row>
    <row r="11" spans="1:9" ht="22.8">
      <c r="A11" s="669" t="s">
        <v>498</v>
      </c>
      <c r="B11" s="670"/>
      <c r="C11" s="671">
        <f>B38</f>
        <v>0</v>
      </c>
      <c r="D11" s="672"/>
      <c r="E11" s="673"/>
      <c r="F11" s="672"/>
      <c r="G11" s="672" t="s">
        <v>11</v>
      </c>
      <c r="H11" s="674"/>
      <c r="I11" s="675"/>
    </row>
    <row r="12" spans="1:9" ht="22.8">
      <c r="A12" s="676" t="s">
        <v>499</v>
      </c>
      <c r="B12" s="677"/>
      <c r="C12" s="678">
        <v>0</v>
      </c>
      <c r="D12" s="679"/>
      <c r="E12" s="680"/>
      <c r="F12" s="679"/>
      <c r="G12" s="679"/>
      <c r="H12" s="677"/>
      <c r="I12" s="681"/>
    </row>
    <row r="13" spans="1:9" ht="21" thickBot="1">
      <c r="A13" s="684" t="s">
        <v>99</v>
      </c>
      <c r="B13" s="682"/>
      <c r="C13" s="683"/>
      <c r="D13" s="679"/>
      <c r="E13" s="680"/>
      <c r="F13" s="679"/>
      <c r="G13" s="679"/>
      <c r="H13" s="677"/>
      <c r="I13" s="681"/>
    </row>
    <row r="14" spans="1:9" ht="21" thickBot="1">
      <c r="A14" s="684" t="s">
        <v>110</v>
      </c>
      <c r="B14" s="685"/>
      <c r="C14" s="686"/>
      <c r="D14" s="685"/>
      <c r="E14" s="686"/>
      <c r="F14" s="685"/>
      <c r="G14" s="685"/>
      <c r="H14" s="687"/>
      <c r="I14" s="688"/>
    </row>
    <row r="15" spans="1:9" ht="23.4" thickBot="1">
      <c r="A15" s="689" t="s">
        <v>500</v>
      </c>
      <c r="B15" s="690"/>
      <c r="C15" s="762">
        <v>0</v>
      </c>
      <c r="D15" s="692"/>
      <c r="E15" s="691"/>
      <c r="F15" s="692"/>
      <c r="G15" s="692" t="s">
        <v>11</v>
      </c>
      <c r="H15" s="690"/>
      <c r="I15" s="693"/>
    </row>
    <row r="16" spans="1:9" ht="21.6" thickBot="1">
      <c r="A16" s="694" t="s">
        <v>11</v>
      </c>
      <c r="B16" s="661"/>
      <c r="C16" s="662"/>
      <c r="D16" s="663"/>
      <c r="E16" s="662"/>
      <c r="F16" s="663"/>
      <c r="G16" s="663"/>
      <c r="H16" s="661"/>
      <c r="I16" s="664"/>
    </row>
    <row r="17" spans="1:9" ht="23.4" thickBot="1">
      <c r="A17" s="695" t="s">
        <v>501</v>
      </c>
      <c r="B17" s="696"/>
      <c r="C17" s="697" t="s">
        <v>11</v>
      </c>
      <c r="D17" s="698"/>
      <c r="E17" s="699"/>
      <c r="F17" s="698"/>
      <c r="G17" s="698"/>
      <c r="H17" s="696"/>
      <c r="I17" s="700"/>
    </row>
    <row r="18" spans="1:9" ht="21.6" thickBot="1">
      <c r="A18" s="701" t="s">
        <v>502</v>
      </c>
      <c r="B18" s="661"/>
      <c r="C18" s="662" t="s">
        <v>11</v>
      </c>
      <c r="D18" s="663"/>
      <c r="E18" s="662"/>
      <c r="F18" s="663"/>
      <c r="G18" s="506" t="s">
        <v>643</v>
      </c>
      <c r="H18" s="661"/>
      <c r="I18" s="828"/>
    </row>
    <row r="19" spans="1:9" ht="23.4" thickBot="1">
      <c r="A19" s="702" t="s">
        <v>428</v>
      </c>
      <c r="B19" s="703"/>
      <c r="C19" s="704">
        <f>C7+C12</f>
        <v>41.393999999999998</v>
      </c>
      <c r="D19" s="705"/>
      <c r="E19" s="706"/>
      <c r="F19" s="705"/>
      <c r="G19" s="705" t="s">
        <v>11</v>
      </c>
      <c r="H19" s="703"/>
      <c r="I19" s="707"/>
    </row>
    <row r="20" spans="1:9" ht="20.399999999999999">
      <c r="A20" s="708" t="s">
        <v>430</v>
      </c>
      <c r="B20" s="709"/>
      <c r="C20" s="710">
        <f>NSG_Requirements!C7/1000</f>
        <v>0</v>
      </c>
      <c r="D20" s="711"/>
      <c r="E20" s="710">
        <f>NSG_Requirements!C7/1000</f>
        <v>0</v>
      </c>
      <c r="F20" s="711"/>
      <c r="G20" s="710">
        <f>NSG_Requirements!C7/1000</f>
        <v>0</v>
      </c>
      <c r="H20" s="709"/>
      <c r="I20" s="773">
        <f>NSG_Requirements!C7/1000</f>
        <v>0</v>
      </c>
    </row>
    <row r="21" spans="1:9" ht="20.399999999999999">
      <c r="A21" s="712" t="s">
        <v>433</v>
      </c>
      <c r="B21" s="713"/>
      <c r="C21" s="710">
        <f>NSG_Requirements!R7/1000</f>
        <v>0</v>
      </c>
      <c r="D21" s="714"/>
      <c r="E21" s="710">
        <f>NSG_Requirements!R7/1000</f>
        <v>0</v>
      </c>
      <c r="F21" s="714"/>
      <c r="G21" s="710">
        <f>NSG_Requirements!R7/1000</f>
        <v>0</v>
      </c>
      <c r="H21" s="713"/>
      <c r="I21" s="774">
        <f>NSG_Requirements!R7/1000</f>
        <v>0</v>
      </c>
    </row>
    <row r="22" spans="1:9" ht="20.399999999999999">
      <c r="A22" s="712" t="s">
        <v>503</v>
      </c>
      <c r="B22" s="716"/>
      <c r="C22" s="710">
        <f>NSG_Supplies!K7/1000</f>
        <v>0</v>
      </c>
      <c r="D22" s="717"/>
      <c r="E22" s="710">
        <f>NSG_Supplies!K7/1000</f>
        <v>0</v>
      </c>
      <c r="F22" s="717"/>
      <c r="G22" s="710">
        <f>NSG_Supplies!K7/1000</f>
        <v>0</v>
      </c>
      <c r="H22" s="716"/>
      <c r="I22" s="775">
        <f>NSG_Supplies!K7/1000</f>
        <v>0</v>
      </c>
    </row>
    <row r="23" spans="1:9" ht="20.399999999999999">
      <c r="A23" s="708" t="s">
        <v>434</v>
      </c>
      <c r="B23" s="716"/>
      <c r="C23" s="791">
        <f>-(PGL_Requirements!$Y$7+PGL_Requirements!$Z$7+PGL_Requirements!$AA$7+PGL_Requirements!$AB$7)/1000+(NSG_Requirements!$Y$7+NSG_Requirements!$Z$7+NSG_Requirements!$AA$7)/1000</f>
        <v>0</v>
      </c>
      <c r="D23" s="642"/>
      <c r="E23" s="791">
        <f>-(PGL_Requirements!$Y$7+PGL_Requirements!$Z$7+PGL_Requirements!$AA$7+PGL_Requirements!$AB$7)/1000+(NSG_Requirements!$Y$7+NSG_Requirements!$Z$7+NSG_Requirements!$AA$7)/1000</f>
        <v>0</v>
      </c>
      <c r="F23" s="642"/>
      <c r="G23" s="791">
        <f>-(PGL_Requirements!$Y$7+PGL_Requirements!$Z$7+PGL_Requirements!$AA$7+PGL_Requirements!$AB$7)/1000+(NSG_Requirements!$Y$7+NSG_Requirements!$Z$7+NSG_Requirements!$AA$7)/1000</f>
        <v>0</v>
      </c>
      <c r="H23" s="713"/>
      <c r="I23" s="790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8" t="s">
        <v>436</v>
      </c>
      <c r="B24" s="716"/>
      <c r="C24" s="710">
        <f>NSG_Requirements!H7/1000</f>
        <v>0</v>
      </c>
      <c r="D24" s="717"/>
      <c r="E24" s="710" t="s">
        <v>11</v>
      </c>
      <c r="F24" s="717"/>
      <c r="G24" s="710" t="s">
        <v>11</v>
      </c>
      <c r="H24" s="716"/>
      <c r="I24" s="710" t="s">
        <v>11</v>
      </c>
    </row>
    <row r="25" spans="1:9" ht="20.399999999999999">
      <c r="A25" s="708" t="s">
        <v>437</v>
      </c>
      <c r="B25" s="713"/>
      <c r="C25" s="710">
        <f>-NSG_Supplies!F7/1000</f>
        <v>-7.5090000000000003</v>
      </c>
      <c r="D25" s="714"/>
      <c r="E25" s="710" t="s">
        <v>11</v>
      </c>
      <c r="F25" s="714"/>
      <c r="G25" s="710" t="s">
        <v>11</v>
      </c>
      <c r="H25" s="713"/>
      <c r="I25" s="710" t="s">
        <v>11</v>
      </c>
    </row>
    <row r="26" spans="1:9" ht="20.399999999999999">
      <c r="A26" s="708" t="s">
        <v>197</v>
      </c>
      <c r="B26" s="716"/>
      <c r="C26" s="710">
        <f>-NSG_Supplies!R7/1000</f>
        <v>-31.776</v>
      </c>
      <c r="D26" s="717"/>
      <c r="E26" s="710">
        <f>-NSG_Supplies!R7/1000</f>
        <v>-31.776</v>
      </c>
      <c r="F26" s="717"/>
      <c r="G26" s="710">
        <f>-NSG_Supplies!R7/1000</f>
        <v>-31.776</v>
      </c>
      <c r="H26" s="716"/>
      <c r="I26" s="775">
        <f>-NSG_Supplies!R7/1000</f>
        <v>-31.776</v>
      </c>
    </row>
    <row r="27" spans="1:9" ht="20.399999999999999">
      <c r="A27" s="708" t="s">
        <v>435</v>
      </c>
      <c r="B27" s="716"/>
      <c r="C27" s="710">
        <v>0</v>
      </c>
      <c r="D27" s="717"/>
      <c r="E27" s="710">
        <v>0</v>
      </c>
      <c r="F27" s="717"/>
      <c r="G27" s="710">
        <v>0</v>
      </c>
      <c r="H27" s="716"/>
      <c r="I27" s="775">
        <v>0</v>
      </c>
    </row>
    <row r="28" spans="1:9" ht="21" thickBot="1">
      <c r="A28" s="763" t="s">
        <v>532</v>
      </c>
      <c r="B28" s="719"/>
      <c r="C28" s="710">
        <f>-NSG_Supplies!H7/1000+NSG_Requirements!L7/1000</f>
        <v>0</v>
      </c>
      <c r="D28" s="714"/>
      <c r="E28" s="710">
        <f>-NSG_Supplies!H7/1000+NSG_Requirements!L7/1000</f>
        <v>0</v>
      </c>
      <c r="F28" s="714"/>
      <c r="G28" s="710">
        <f>-NSG_Supplies!H7/1000+NSG_Requirements!L7/1000</f>
        <v>0</v>
      </c>
      <c r="H28" s="719"/>
      <c r="I28" s="784">
        <f>-NSG_Supplies!H7/1000+NSG_Requirements!L7/1000</f>
        <v>0</v>
      </c>
    </row>
    <row r="29" spans="1:9" ht="23.4" thickBot="1">
      <c r="A29" s="721"/>
      <c r="B29" s="722"/>
      <c r="C29" s="723" t="s">
        <v>498</v>
      </c>
      <c r="D29" s="722"/>
      <c r="E29" s="724"/>
      <c r="F29" s="722"/>
      <c r="G29" s="725" t="s">
        <v>11</v>
      </c>
      <c r="H29" s="722"/>
      <c r="I29" s="726"/>
    </row>
    <row r="30" spans="1:9" ht="21">
      <c r="A30" s="782" t="s">
        <v>440</v>
      </c>
      <c r="B30" s="759">
        <f>NSG_Requirements!O7/1000</f>
        <v>0</v>
      </c>
      <c r="C30" s="728" t="s">
        <v>11</v>
      </c>
      <c r="D30" s="729"/>
      <c r="E30" s="730"/>
      <c r="F30" s="731" t="s">
        <v>283</v>
      </c>
      <c r="G30" s="732"/>
      <c r="H30" s="732"/>
      <c r="I30" s="733"/>
    </row>
    <row r="31" spans="1:9" ht="20.399999999999999">
      <c r="A31" s="783" t="s">
        <v>533</v>
      </c>
      <c r="B31" s="758">
        <f>NSG_Supplies!L7/1000+PGL_Requirements!V7/1000</f>
        <v>0</v>
      </c>
      <c r="C31" s="717"/>
      <c r="D31" s="735"/>
      <c r="E31" s="718"/>
      <c r="F31" s="642"/>
      <c r="G31" s="714"/>
      <c r="H31" s="714"/>
      <c r="I31" s="733"/>
    </row>
    <row r="32" spans="1:9" ht="20.399999999999999">
      <c r="A32" s="783" t="s">
        <v>534</v>
      </c>
      <c r="B32" s="758">
        <f>NSG_Supplies!M7/1000</f>
        <v>0</v>
      </c>
      <c r="C32" s="714"/>
      <c r="D32" s="736"/>
      <c r="E32" s="715"/>
      <c r="F32" s="642"/>
      <c r="G32" s="714"/>
      <c r="H32" s="714"/>
      <c r="I32" s="733"/>
    </row>
    <row r="33" spans="1:9" ht="20.399999999999999">
      <c r="A33" s="782" t="s">
        <v>504</v>
      </c>
      <c r="B33" s="760">
        <f>(NSG_Requirements!S7+NSG_Requirements!T7+NSG_Requirements!U7)/1000</f>
        <v>0</v>
      </c>
      <c r="C33" s="717"/>
      <c r="D33" s="735"/>
      <c r="E33" s="718"/>
      <c r="F33" s="642"/>
      <c r="G33" s="714"/>
      <c r="H33" s="714"/>
      <c r="I33" s="733"/>
    </row>
    <row r="34" spans="1:9" ht="20.399999999999999">
      <c r="A34" s="782" t="s">
        <v>89</v>
      </c>
      <c r="B34" s="758">
        <f>NSG_Requirements!D7/1000</f>
        <v>0</v>
      </c>
      <c r="C34" s="717"/>
      <c r="D34" s="735"/>
      <c r="E34" s="718"/>
      <c r="F34" s="642"/>
      <c r="G34" s="714"/>
      <c r="H34" s="714"/>
      <c r="I34" s="733"/>
    </row>
    <row r="35" spans="1:9" ht="20.399999999999999">
      <c r="A35" s="783" t="s">
        <v>516</v>
      </c>
      <c r="B35" s="760">
        <f>NSG_Requirements!B7/1000</f>
        <v>0</v>
      </c>
      <c r="C35" s="717"/>
      <c r="D35" s="735"/>
      <c r="E35" s="718"/>
      <c r="F35" s="642"/>
      <c r="G35" s="714"/>
      <c r="H35" s="714"/>
      <c r="I35" s="733"/>
    </row>
    <row r="36" spans="1:9" ht="20.399999999999999">
      <c r="A36" s="783" t="s">
        <v>517</v>
      </c>
      <c r="B36" s="760">
        <f>NSG_Supplies!B7/1000</f>
        <v>0</v>
      </c>
      <c r="C36" s="717"/>
      <c r="D36" s="735"/>
      <c r="E36" s="718"/>
      <c r="F36" s="642"/>
      <c r="G36" s="714"/>
      <c r="H36" s="714"/>
      <c r="I36" s="733"/>
    </row>
    <row r="37" spans="1:9" ht="21" thickBot="1">
      <c r="A37" s="782" t="s">
        <v>109</v>
      </c>
      <c r="B37" s="758">
        <f>NSG_Supplies!P7/1000</f>
        <v>0</v>
      </c>
      <c r="C37" s="738"/>
      <c r="D37" s="739"/>
      <c r="E37" s="720"/>
      <c r="F37" s="642"/>
      <c r="G37" s="714"/>
      <c r="H37" s="714"/>
      <c r="I37" s="733"/>
    </row>
    <row r="38" spans="1:9" ht="21.6" thickBot="1">
      <c r="A38" s="740" t="s">
        <v>505</v>
      </c>
      <c r="B38" s="761">
        <f>-B30+B31+B32-B33-B34-B35+B36+B37</f>
        <v>0</v>
      </c>
      <c r="C38" s="642"/>
      <c r="D38" s="741"/>
      <c r="E38" s="742"/>
      <c r="F38" s="642"/>
      <c r="G38" s="714"/>
      <c r="H38" s="714"/>
      <c r="I38" s="733"/>
    </row>
    <row r="39" spans="1:9" ht="23.4" thickBot="1">
      <c r="A39" s="721"/>
      <c r="B39" s="722"/>
      <c r="C39" s="829" t="s">
        <v>644</v>
      </c>
      <c r="D39" s="722"/>
      <c r="E39" s="724"/>
      <c r="F39" s="642"/>
      <c r="G39" s="714"/>
      <c r="H39" s="714"/>
      <c r="I39" s="733"/>
    </row>
    <row r="40" spans="1:9" ht="20.399999999999999">
      <c r="A40" s="708" t="s">
        <v>506</v>
      </c>
      <c r="B40" s="819">
        <v>0</v>
      </c>
      <c r="C40" s="642"/>
      <c r="D40" s="743"/>
      <c r="E40" s="744"/>
      <c r="F40" s="642"/>
      <c r="G40" s="714"/>
      <c r="H40" s="714"/>
      <c r="I40" s="733"/>
    </row>
    <row r="41" spans="1:9" ht="20.399999999999999">
      <c r="A41" s="708" t="s">
        <v>507</v>
      </c>
      <c r="B41" s="820">
        <f>NSG_Requirements!J7/1000</f>
        <v>4.3940000000000001</v>
      </c>
      <c r="C41" s="717"/>
      <c r="D41" s="735"/>
      <c r="E41" s="718"/>
      <c r="F41" s="642"/>
      <c r="G41" s="714"/>
      <c r="H41" s="714"/>
      <c r="I41" s="733"/>
    </row>
    <row r="42" spans="1:9" ht="20.399999999999999">
      <c r="A42" s="708" t="s">
        <v>508</v>
      </c>
      <c r="B42" s="821">
        <f>NSG_Supplies!E7/1000</f>
        <v>0</v>
      </c>
      <c r="C42" s="642"/>
      <c r="D42" s="745"/>
      <c r="E42" s="746"/>
      <c r="F42" s="642"/>
      <c r="G42" s="714"/>
      <c r="H42" s="714"/>
      <c r="I42" s="733"/>
    </row>
    <row r="43" spans="1:9" ht="20.399999999999999">
      <c r="A43" s="708" t="s">
        <v>509</v>
      </c>
      <c r="B43" s="820">
        <v>0</v>
      </c>
      <c r="C43" s="717"/>
      <c r="D43" s="735"/>
      <c r="E43" s="718"/>
      <c r="F43" s="642"/>
      <c r="G43" s="714"/>
      <c r="H43" s="714"/>
      <c r="I43" s="733"/>
    </row>
    <row r="44" spans="1:9" ht="20.399999999999999">
      <c r="A44" s="708" t="s">
        <v>510</v>
      </c>
      <c r="B44" s="820">
        <v>0</v>
      </c>
      <c r="C44" s="717"/>
      <c r="D44" s="735"/>
      <c r="E44" s="718"/>
      <c r="F44" s="642"/>
      <c r="G44" s="714"/>
      <c r="H44" s="714"/>
      <c r="I44" s="733"/>
    </row>
    <row r="45" spans="1:9" ht="21" thickBot="1">
      <c r="A45" s="637" t="s">
        <v>640</v>
      </c>
      <c r="B45" s="821">
        <f>NSG_Supplies!Q7/1000</f>
        <v>20</v>
      </c>
      <c r="C45" s="642"/>
      <c r="D45" s="745"/>
      <c r="E45" s="746"/>
      <c r="F45" s="642"/>
      <c r="G45" s="714"/>
      <c r="H45" s="714"/>
      <c r="I45" s="733"/>
    </row>
    <row r="46" spans="1:9" ht="21.6" thickBot="1">
      <c r="A46" s="740" t="s">
        <v>505</v>
      </c>
      <c r="B46" s="822">
        <f>B45+B42-B41</f>
        <v>15.606</v>
      </c>
      <c r="C46" s="748"/>
      <c r="D46" s="747"/>
      <c r="E46" s="749"/>
      <c r="F46" s="642"/>
      <c r="G46" s="714"/>
      <c r="H46" s="714"/>
      <c r="I46" s="733"/>
    </row>
    <row r="47" spans="1:9" ht="23.4" thickBot="1">
      <c r="A47" s="721"/>
      <c r="B47" s="722"/>
      <c r="C47" s="723" t="s">
        <v>69</v>
      </c>
      <c r="D47" s="722"/>
      <c r="E47" s="724"/>
      <c r="F47" s="642"/>
      <c r="G47" s="714"/>
      <c r="H47" s="714"/>
      <c r="I47" s="733"/>
    </row>
    <row r="48" spans="1:9" ht="20.399999999999999">
      <c r="A48" s="708" t="s">
        <v>511</v>
      </c>
      <c r="B48" s="727">
        <f>(NSG_Requirements!V7+NSG_Requirements!W7+NSG_Requirements!X7)/1000</f>
        <v>0</v>
      </c>
      <c r="C48" s="750"/>
      <c r="D48" s="735"/>
      <c r="E48" s="718"/>
      <c r="F48" s="642"/>
      <c r="G48" s="714"/>
      <c r="H48" s="714"/>
      <c r="I48" s="733"/>
    </row>
    <row r="49" spans="1:9" ht="20.399999999999999">
      <c r="A49" s="708" t="s">
        <v>512</v>
      </c>
      <c r="B49" s="734">
        <f>NSG_Requirements!M7/1000</f>
        <v>0</v>
      </c>
      <c r="C49" s="754"/>
      <c r="D49" s="754"/>
      <c r="E49" s="643"/>
      <c r="F49" s="642"/>
      <c r="G49" s="714"/>
      <c r="H49" s="714"/>
      <c r="I49" s="733"/>
    </row>
    <row r="50" spans="1:9" ht="20.399999999999999">
      <c r="A50" s="708" t="s">
        <v>89</v>
      </c>
      <c r="B50" s="734">
        <f>NSG_Requirements!E7/1000</f>
        <v>0</v>
      </c>
      <c r="C50" s="751"/>
      <c r="D50" s="745"/>
      <c r="E50" s="746"/>
      <c r="F50" s="642"/>
      <c r="G50" s="714"/>
      <c r="H50" s="714"/>
      <c r="I50" s="733"/>
    </row>
    <row r="51" spans="1:9" ht="21" thickBot="1">
      <c r="A51" s="708" t="s">
        <v>109</v>
      </c>
      <c r="B51" s="737">
        <f>NSG_Supplies!O7/1000</f>
        <v>0</v>
      </c>
      <c r="C51" s="750"/>
      <c r="D51" s="735"/>
      <c r="E51" s="718"/>
      <c r="F51" s="642"/>
      <c r="G51" s="714"/>
      <c r="H51" s="714"/>
      <c r="I51" s="733"/>
    </row>
    <row r="52" spans="1:9" ht="23.4" thickBot="1">
      <c r="A52" s="721"/>
      <c r="B52" s="722"/>
      <c r="C52" s="723" t="s">
        <v>513</v>
      </c>
      <c r="D52" s="722"/>
      <c r="E52" s="724"/>
      <c r="F52" s="642"/>
      <c r="G52" s="714"/>
      <c r="H52" s="714"/>
      <c r="I52" s="733"/>
    </row>
    <row r="53" spans="1:9" ht="20.399999999999999">
      <c r="A53" s="752" t="s">
        <v>514</v>
      </c>
      <c r="B53" s="753"/>
      <c r="C53" s="642"/>
      <c r="D53" s="743"/>
      <c r="E53" s="744"/>
      <c r="F53" s="642"/>
      <c r="G53" s="714"/>
      <c r="H53" s="714"/>
      <c r="I53" s="733"/>
    </row>
    <row r="54" spans="1:9" ht="21.6" thickBot="1">
      <c r="A54" s="755" t="s">
        <v>515</v>
      </c>
      <c r="B54" s="764"/>
      <c r="C54" s="765"/>
      <c r="D54" s="766"/>
      <c r="E54" s="767"/>
      <c r="F54" s="756"/>
      <c r="G54" s="768"/>
      <c r="H54" s="1089"/>
      <c r="I54" s="1088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8" t="s">
        <v>11</v>
      </c>
      <c r="B1" s="253"/>
      <c r="C1" s="253"/>
      <c r="D1" s="253"/>
      <c r="E1" s="254" t="s">
        <v>173</v>
      </c>
      <c r="F1" s="461">
        <f>Weather_Input!A5</f>
        <v>37025</v>
      </c>
      <c r="G1" s="255" t="s">
        <v>11</v>
      </c>
      <c r="H1" s="253"/>
      <c r="I1" s="256"/>
    </row>
    <row r="2" spans="1:9" ht="17.100000000000001" customHeight="1">
      <c r="A2" s="257" t="s">
        <v>11</v>
      </c>
      <c r="B2" s="258"/>
      <c r="C2" s="258"/>
      <c r="D2" s="258" t="s">
        <v>11</v>
      </c>
      <c r="E2" s="258"/>
      <c r="F2" s="258"/>
      <c r="G2" s="258"/>
      <c r="H2" s="258" t="s">
        <v>11</v>
      </c>
      <c r="I2" s="259"/>
    </row>
    <row r="3" spans="1:9" ht="17.100000000000001" customHeight="1" thickBot="1">
      <c r="A3" s="257"/>
      <c r="B3" s="456" t="s">
        <v>536</v>
      </c>
      <c r="C3" s="452">
        <v>44</v>
      </c>
      <c r="D3" s="258"/>
      <c r="E3" s="258"/>
      <c r="F3" s="452" t="s">
        <v>396</v>
      </c>
      <c r="G3" s="452"/>
      <c r="H3" s="260" t="s">
        <v>174</v>
      </c>
      <c r="I3" s="259"/>
    </row>
    <row r="4" spans="1:9" ht="17.100000000000001" customHeight="1">
      <c r="A4" s="261" t="s">
        <v>175</v>
      </c>
      <c r="B4" s="261" t="s">
        <v>175</v>
      </c>
      <c r="C4" s="262" t="s">
        <v>176</v>
      </c>
      <c r="D4" s="262" t="s">
        <v>23</v>
      </c>
      <c r="E4" s="262" t="s">
        <v>176</v>
      </c>
      <c r="F4" s="262" t="s">
        <v>23</v>
      </c>
      <c r="G4" s="262" t="s">
        <v>176</v>
      </c>
      <c r="H4" s="262" t="s">
        <v>23</v>
      </c>
      <c r="I4" s="263" t="s">
        <v>176</v>
      </c>
    </row>
    <row r="5" spans="1:9" ht="17.100000000000001" customHeight="1">
      <c r="A5" s="264" t="s">
        <v>177</v>
      </c>
      <c r="B5" s="265">
        <f>Weather_Input!B5</f>
        <v>73</v>
      </c>
      <c r="C5" s="265">
        <f>Weather_Input!C5</f>
        <v>53</v>
      </c>
      <c r="D5" s="265"/>
      <c r="E5" s="265"/>
      <c r="F5" s="265"/>
      <c r="G5" s="265"/>
      <c r="H5" s="265"/>
      <c r="I5" s="266"/>
    </row>
    <row r="6" spans="1:9" ht="17.100000000000001" customHeight="1">
      <c r="A6" s="264" t="s">
        <v>178</v>
      </c>
      <c r="B6" s="267"/>
      <c r="C6" s="268"/>
      <c r="D6" s="268"/>
      <c r="E6" s="268"/>
      <c r="F6" s="268"/>
      <c r="G6" s="268"/>
      <c r="H6" s="268"/>
      <c r="I6" s="266"/>
    </row>
    <row r="7" spans="1:9" ht="17.100000000000001" customHeight="1" thickBot="1">
      <c r="A7" s="257" t="s">
        <v>179</v>
      </c>
      <c r="B7" s="269"/>
      <c r="C7" s="270"/>
      <c r="D7" s="258"/>
      <c r="E7" s="269"/>
      <c r="F7" s="270"/>
      <c r="G7" s="270"/>
      <c r="H7" s="270"/>
      <c r="I7" s="259"/>
    </row>
    <row r="8" spans="1:9" ht="17.100000000000001" customHeight="1" thickBot="1">
      <c r="A8" s="271" t="s">
        <v>180</v>
      </c>
      <c r="B8" s="272">
        <f>PGL_Deliveries!C5/1000</f>
        <v>270</v>
      </c>
      <c r="C8" s="273">
        <f>NSG_Deliveries!C5/1000</f>
        <v>57</v>
      </c>
      <c r="D8" s="272" t="s">
        <v>11</v>
      </c>
      <c r="E8" s="274"/>
      <c r="F8" s="275"/>
      <c r="G8" s="275"/>
      <c r="H8" s="275"/>
      <c r="I8" s="256"/>
    </row>
    <row r="9" spans="1:9" ht="17.100000000000001" customHeight="1" thickTop="1" thickBot="1">
      <c r="A9" s="276"/>
      <c r="B9" s="455" t="s">
        <v>55</v>
      </c>
      <c r="C9" s="277" t="s">
        <v>83</v>
      </c>
      <c r="D9" s="278"/>
      <c r="E9" s="278"/>
      <c r="F9" s="278"/>
      <c r="G9" s="278"/>
      <c r="H9" s="278"/>
      <c r="I9" s="279"/>
    </row>
    <row r="10" spans="1:9" ht="17.100000000000001" customHeight="1" thickTop="1">
      <c r="A10" s="280" t="s">
        <v>68</v>
      </c>
      <c r="B10" s="281">
        <f>B62</f>
        <v>0</v>
      </c>
      <c r="C10" s="267"/>
      <c r="D10" s="265"/>
      <c r="E10" s="267"/>
      <c r="F10" s="267"/>
      <c r="G10" s="267"/>
      <c r="H10" s="267"/>
      <c r="I10" s="266" t="s">
        <v>11</v>
      </c>
    </row>
    <row r="11" spans="1:9" ht="17.100000000000001" customHeight="1">
      <c r="A11" s="282" t="s">
        <v>181</v>
      </c>
      <c r="B11" s="281">
        <f>+B54</f>
        <v>176.70400000000001</v>
      </c>
      <c r="C11" s="283" t="s">
        <v>11</v>
      </c>
      <c r="D11" s="265"/>
      <c r="E11" s="283" t="str">
        <f>+C11</f>
        <v xml:space="preserve"> </v>
      </c>
      <c r="F11" s="267"/>
      <c r="G11" s="283" t="str">
        <f>+C11</f>
        <v xml:space="preserve"> </v>
      </c>
      <c r="H11" s="267"/>
      <c r="I11" s="284" t="str">
        <f>+C11</f>
        <v xml:space="preserve"> </v>
      </c>
    </row>
    <row r="12" spans="1:9" ht="17.100000000000001" customHeight="1">
      <c r="A12" s="257" t="s">
        <v>182</v>
      </c>
      <c r="B12" s="281">
        <f>PGL_Supplies!K7/1000</f>
        <v>0</v>
      </c>
      <c r="C12" s="283"/>
      <c r="D12" s="265"/>
      <c r="E12" s="267"/>
      <c r="F12" s="267"/>
      <c r="G12" s="267"/>
      <c r="H12" s="267"/>
      <c r="I12" s="266"/>
    </row>
    <row r="13" spans="1:9" ht="17.100000000000001" customHeight="1">
      <c r="A13" s="282" t="s">
        <v>74</v>
      </c>
      <c r="B13" s="281">
        <f>PGL_Supplies!I7/1000</f>
        <v>18.942</v>
      </c>
      <c r="C13" s="267"/>
      <c r="D13" s="460"/>
      <c r="E13" s="267"/>
      <c r="F13" s="267"/>
      <c r="G13" s="267"/>
      <c r="H13" s="267"/>
      <c r="I13" s="266"/>
    </row>
    <row r="14" spans="1:9" ht="17.100000000000001" customHeight="1">
      <c r="A14" s="282" t="s">
        <v>183</v>
      </c>
      <c r="B14" s="285">
        <f>+B72</f>
        <v>53.964000000000013</v>
      </c>
      <c r="C14" s="267"/>
      <c r="D14" s="265"/>
      <c r="E14" s="267"/>
      <c r="F14" s="267"/>
      <c r="G14" s="267"/>
      <c r="H14" s="267"/>
      <c r="I14" s="266"/>
    </row>
    <row r="15" spans="1:9" ht="17.100000000000001" customHeight="1">
      <c r="A15" s="282" t="s">
        <v>184</v>
      </c>
      <c r="B15" s="281">
        <f>+B46</f>
        <v>1.6719999999999999</v>
      </c>
      <c r="C15" s="267" t="s">
        <v>11</v>
      </c>
      <c r="D15" s="265" t="s">
        <v>11</v>
      </c>
      <c r="E15" s="267"/>
      <c r="F15" s="460"/>
      <c r="G15" s="267"/>
      <c r="H15" s="267"/>
      <c r="I15" s="266"/>
    </row>
    <row r="16" spans="1:9" ht="17.100000000000001" customHeight="1">
      <c r="A16" s="257" t="s">
        <v>185</v>
      </c>
      <c r="B16" s="281">
        <f>PGL_Requirements!G7/1000</f>
        <v>24.606000000000002</v>
      </c>
      <c r="C16" s="267"/>
      <c r="D16" s="265"/>
      <c r="E16" s="267"/>
      <c r="F16" s="305" t="s">
        <v>11</v>
      </c>
      <c r="G16" s="267"/>
      <c r="H16" s="267"/>
      <c r="I16" s="266"/>
    </row>
    <row r="17" spans="1:9" ht="17.100000000000001" customHeight="1" thickBot="1">
      <c r="A17" s="282" t="s">
        <v>186</v>
      </c>
      <c r="B17" s="281">
        <f>PGL_Supplies!B7/1000</f>
        <v>0</v>
      </c>
      <c r="C17" s="267"/>
      <c r="D17" s="258"/>
      <c r="E17" s="267"/>
      <c r="F17" s="267"/>
      <c r="G17" s="267"/>
      <c r="H17" s="267"/>
      <c r="I17" s="286"/>
    </row>
    <row r="18" spans="1:9" ht="17.100000000000001" customHeight="1" thickBot="1">
      <c r="A18" s="287" t="s">
        <v>399</v>
      </c>
      <c r="B18" s="457">
        <f>-B10-B11-B12-B13-B14-B15+B16-B17</f>
        <v>-226.67600000000002</v>
      </c>
      <c r="C18" s="288">
        <f>-I63</f>
        <v>0</v>
      </c>
      <c r="D18" s="289" t="s">
        <v>11</v>
      </c>
      <c r="E18" s="288">
        <f>-I63</f>
        <v>0</v>
      </c>
      <c r="F18" s="289" t="s">
        <v>11</v>
      </c>
      <c r="G18" s="288">
        <f>-I63</f>
        <v>0</v>
      </c>
      <c r="H18" s="289" t="s">
        <v>11</v>
      </c>
      <c r="I18" s="290"/>
    </row>
    <row r="19" spans="1:9" ht="17.100000000000001" customHeight="1">
      <c r="A19" s="291" t="s">
        <v>61</v>
      </c>
      <c r="B19" s="292">
        <f>-PGL_Supplies!J7/1000</f>
        <v>0</v>
      </c>
      <c r="C19" s="293">
        <f>-NSG_Supplies!U7/1000</f>
        <v>0</v>
      </c>
      <c r="D19" s="253"/>
      <c r="E19" s="274"/>
      <c r="F19" s="253"/>
      <c r="G19" s="274"/>
      <c r="H19" s="275"/>
      <c r="I19" s="266"/>
    </row>
    <row r="20" spans="1:9" ht="17.100000000000001" customHeight="1">
      <c r="A20" s="291" t="s">
        <v>187</v>
      </c>
      <c r="B20" s="281">
        <f>B8+B18+B19</f>
        <v>43.323999999999984</v>
      </c>
      <c r="C20" s="294">
        <f>C8+C18+C19</f>
        <v>57</v>
      </c>
      <c r="D20" s="265"/>
      <c r="E20" s="267"/>
      <c r="F20" s="265"/>
      <c r="G20" s="267"/>
      <c r="H20" s="268"/>
      <c r="I20" s="259"/>
    </row>
    <row r="21" spans="1:9" ht="17.100000000000001" customHeight="1">
      <c r="A21" s="291" t="s">
        <v>188</v>
      </c>
      <c r="B21" s="281">
        <v>0</v>
      </c>
      <c r="C21" s="267"/>
      <c r="D21" s="265"/>
      <c r="E21" s="267"/>
      <c r="F21" s="265"/>
      <c r="G21" s="267"/>
      <c r="H21" s="268"/>
      <c r="I21" s="295"/>
    </row>
    <row r="22" spans="1:9" ht="17.100000000000001" customHeight="1">
      <c r="A22" s="291" t="s">
        <v>189</v>
      </c>
      <c r="B22" s="281">
        <f>+B44</f>
        <v>1.5499499999999999</v>
      </c>
      <c r="C22" s="267"/>
      <c r="D22" s="265"/>
      <c r="E22" s="267"/>
      <c r="F22" s="296" t="s">
        <v>11</v>
      </c>
      <c r="G22" s="305"/>
      <c r="H22" s="297" t="s">
        <v>11</v>
      </c>
      <c r="I22" s="259"/>
    </row>
    <row r="23" spans="1:9" ht="17.100000000000001" customHeight="1">
      <c r="A23" s="298" t="s">
        <v>190</v>
      </c>
      <c r="B23" s="299">
        <f>B20+B21+B22</f>
        <v>44.873949999999986</v>
      </c>
      <c r="C23" s="300">
        <f>C20</f>
        <v>57</v>
      </c>
      <c r="D23" s="265"/>
      <c r="E23" s="267"/>
      <c r="F23" s="301"/>
      <c r="G23" s="267"/>
      <c r="H23" s="302" t="s">
        <v>11</v>
      </c>
      <c r="I23" s="303" t="s">
        <v>11</v>
      </c>
    </row>
    <row r="24" spans="1:9" ht="17.100000000000001" customHeight="1" thickBot="1">
      <c r="A24" s="304" t="s">
        <v>191</v>
      </c>
      <c r="B24" s="305">
        <f>-NSG_Requirements!$L$7/1000</f>
        <v>0</v>
      </c>
      <c r="C24" s="305">
        <f>NSG_Requirements!$L$7/1000</f>
        <v>0</v>
      </c>
      <c r="D24" s="306">
        <f>B24</f>
        <v>0</v>
      </c>
      <c r="E24" s="305">
        <f>C24</f>
        <v>0</v>
      </c>
      <c r="F24" s="306">
        <f>B24</f>
        <v>0</v>
      </c>
      <c r="G24" s="305">
        <f>C24</f>
        <v>0</v>
      </c>
      <c r="H24" s="451">
        <f>B24</f>
        <v>0</v>
      </c>
      <c r="I24" s="307">
        <f>C24</f>
        <v>0</v>
      </c>
    </row>
    <row r="25" spans="1:9" ht="17.100000000000001" customHeight="1" thickTop="1" thickBot="1">
      <c r="A25" s="276"/>
      <c r="B25" s="278"/>
      <c r="C25" s="487" t="s">
        <v>11</v>
      </c>
      <c r="D25" s="278"/>
      <c r="E25" s="278"/>
      <c r="F25" s="278"/>
      <c r="G25" s="278"/>
      <c r="H25" s="278"/>
      <c r="I25" s="279"/>
    </row>
    <row r="26" spans="1:9" ht="17.25" customHeight="1" thickTop="1">
      <c r="A26" s="308" t="s">
        <v>192</v>
      </c>
      <c r="B26" s="309">
        <f>PGL_Requirements!L7/1000</f>
        <v>0</v>
      </c>
      <c r="C26" s="309">
        <f>NSG_Requirements!C7/1000</f>
        <v>0</v>
      </c>
      <c r="D26" s="309">
        <f>B26</f>
        <v>0</v>
      </c>
      <c r="E26" s="309">
        <f>+C26</f>
        <v>0</v>
      </c>
      <c r="F26" s="309">
        <f>B26</f>
        <v>0</v>
      </c>
      <c r="G26" s="309">
        <f>+C26</f>
        <v>0</v>
      </c>
      <c r="H26" s="310">
        <f>B26</f>
        <v>0</v>
      </c>
      <c r="I26" s="311">
        <f>+C26</f>
        <v>0</v>
      </c>
    </row>
    <row r="27" spans="1:9" ht="17.25" customHeight="1">
      <c r="A27" s="308" t="s">
        <v>193</v>
      </c>
      <c r="B27" s="309">
        <f>PGL_Requirements!R7/1000</f>
        <v>0.65</v>
      </c>
      <c r="C27" s="309">
        <f>NSG_Requirements!P7/1000</f>
        <v>0</v>
      </c>
      <c r="D27" s="309">
        <f>PGL_Requirements!R7/1000</f>
        <v>0.65</v>
      </c>
      <c r="E27" s="309">
        <f>NSG_Requirements!P7/1000</f>
        <v>0</v>
      </c>
      <c r="F27" s="309">
        <f>PGL_Requirements!R7/1000</f>
        <v>0.65</v>
      </c>
      <c r="G27" s="309">
        <f>NSG_Requirements!P7/1000</f>
        <v>0</v>
      </c>
      <c r="H27" s="310">
        <f>+B27</f>
        <v>0.65</v>
      </c>
      <c r="I27" s="311">
        <f>+C27</f>
        <v>0</v>
      </c>
    </row>
    <row r="28" spans="1:9" ht="17.100000000000001" customHeight="1">
      <c r="A28" s="321" t="s">
        <v>194</v>
      </c>
      <c r="B28" s="314">
        <v>0</v>
      </c>
      <c r="C28" s="314">
        <v>0</v>
      </c>
      <c r="D28" s="314">
        <v>0</v>
      </c>
      <c r="E28" s="314">
        <v>0</v>
      </c>
      <c r="F28" s="314">
        <v>0</v>
      </c>
      <c r="G28" s="314">
        <f>C28</f>
        <v>0</v>
      </c>
      <c r="H28" s="319">
        <f>B28</f>
        <v>0</v>
      </c>
      <c r="I28" s="320">
        <f>C28</f>
        <v>0</v>
      </c>
    </row>
    <row r="29" spans="1:9" ht="17.100000000000001" customHeight="1">
      <c r="A29" s="321" t="s">
        <v>195</v>
      </c>
      <c r="B29" s="418">
        <f>-PGL_Supplies!N7/1000</f>
        <v>0</v>
      </c>
      <c r="C29" s="418">
        <f>-NSG_Supplies!I7/1000</f>
        <v>0</v>
      </c>
      <c r="D29" s="314">
        <f>-PGL_Supplies!N7/1000</f>
        <v>0</v>
      </c>
      <c r="E29" s="314">
        <f>-NSG_Supplies!I7/1000</f>
        <v>0</v>
      </c>
      <c r="F29" s="314">
        <f>-PGL_Supplies!N7/1000</f>
        <v>0</v>
      </c>
      <c r="G29" s="314">
        <f>-NSG_Supplies!I7/1000</f>
        <v>0</v>
      </c>
      <c r="H29" s="319">
        <f>-PGL_Supplies!N7/1000</f>
        <v>0</v>
      </c>
      <c r="I29" s="320">
        <f>-NSG_Supplies!I7/1000</f>
        <v>0</v>
      </c>
    </row>
    <row r="30" spans="1:9" ht="17.100000000000001" customHeight="1">
      <c r="A30" s="318" t="s">
        <v>405</v>
      </c>
      <c r="B30" s="314">
        <f>-PGL_Supplies!O7/1000</f>
        <v>0</v>
      </c>
      <c r="C30" s="314">
        <f>-NSG_Supplies!J7/1000</f>
        <v>0</v>
      </c>
      <c r="D30" s="314">
        <f>-PGL_Supplies!O7/1000</f>
        <v>0</v>
      </c>
      <c r="E30" s="314">
        <f>-NSG_Supplies!J7/1000</f>
        <v>0</v>
      </c>
      <c r="F30" s="314">
        <f>-PGL_Supplies!O7/1000</f>
        <v>0</v>
      </c>
      <c r="G30" s="314">
        <f>-NSG_Supplies!J7/1000</f>
        <v>0</v>
      </c>
      <c r="H30" s="319">
        <f>-PGL_Supplies!O7/1000</f>
        <v>0</v>
      </c>
      <c r="I30" s="320">
        <f>-NSG_Supplies!J7/1000</f>
        <v>0</v>
      </c>
    </row>
    <row r="31" spans="1:9" ht="17.100000000000001" customHeight="1">
      <c r="A31" s="313" t="s">
        <v>196</v>
      </c>
      <c r="B31" s="419">
        <f>(PGL_Requirements!$Y$7+PGL_Requirements!$Z$7+PGL_Requirements!$AA$7)/1000+(NSG_Requirements!$Y$7+NSG_Requirements!$Z$7+NSG_Requirements!$AA$7)/1000</f>
        <v>0</v>
      </c>
      <c r="C31" s="419">
        <f>-(PGL_Requirements!$Y$7+PGL_Requirements!$Z$7+PGL_Requirements!$AA$7)/1000+(NSG_Requirements!$Y$7+NSG_Requirements!$Z$7+NSG_Requirements!$AA$7)/1000</f>
        <v>0</v>
      </c>
      <c r="D31" s="309">
        <f>+B31</f>
        <v>0</v>
      </c>
      <c r="E31" s="314">
        <f>+C31</f>
        <v>0</v>
      </c>
      <c r="F31" s="309">
        <f>+B31</f>
        <v>0</v>
      </c>
      <c r="G31" s="314">
        <f>+E31</f>
        <v>0</v>
      </c>
      <c r="H31" s="310">
        <f>+B31</f>
        <v>0</v>
      </c>
      <c r="I31" s="311">
        <f>+C31</f>
        <v>0</v>
      </c>
    </row>
    <row r="32" spans="1:9" ht="17.100000000000001" customHeight="1">
      <c r="A32" s="321" t="s">
        <v>197</v>
      </c>
      <c r="B32" s="314">
        <f>-PGL_Supplies!AC7/1000</f>
        <v>-54.57</v>
      </c>
      <c r="C32" s="314">
        <f>-NSG_Supplies!R7/1000</f>
        <v>-31.776</v>
      </c>
      <c r="D32" s="314">
        <f>B32</f>
        <v>-54.57</v>
      </c>
      <c r="E32" s="314">
        <f>C32</f>
        <v>-31.776</v>
      </c>
      <c r="F32" s="314">
        <f>B32</f>
        <v>-54.57</v>
      </c>
      <c r="G32" s="314">
        <f>C32</f>
        <v>-31.776</v>
      </c>
      <c r="H32" s="319">
        <f>B32</f>
        <v>-54.57</v>
      </c>
      <c r="I32" s="320">
        <f>C32</f>
        <v>-31.776</v>
      </c>
    </row>
    <row r="33" spans="1:9" ht="17.100000000000001" customHeight="1">
      <c r="A33" s="318" t="s">
        <v>393</v>
      </c>
      <c r="B33" s="314">
        <f>-PGL_Supplies!X7/1000</f>
        <v>0</v>
      </c>
      <c r="C33" s="314">
        <f>-NSG_Supplies!S7/1000</f>
        <v>-20.831</v>
      </c>
      <c r="D33" s="314">
        <f>B33</f>
        <v>0</v>
      </c>
      <c r="E33" s="314">
        <f>C33</f>
        <v>-20.831</v>
      </c>
      <c r="F33" s="314">
        <f>B33</f>
        <v>0</v>
      </c>
      <c r="G33" s="314">
        <f>C33</f>
        <v>-20.831</v>
      </c>
      <c r="H33" s="319">
        <f>B33</f>
        <v>0</v>
      </c>
      <c r="I33" s="320">
        <f>C33</f>
        <v>-20.831</v>
      </c>
    </row>
    <row r="34" spans="1:9" ht="17.100000000000001" customHeight="1">
      <c r="A34" s="308" t="s">
        <v>198</v>
      </c>
      <c r="B34" s="309">
        <f>PGL_Requirements!S7/1000</f>
        <v>0</v>
      </c>
      <c r="C34" s="309" t="s">
        <v>11</v>
      </c>
      <c r="D34" s="309">
        <f>+B34</f>
        <v>0</v>
      </c>
      <c r="E34" s="312"/>
      <c r="F34" s="309">
        <f>+D34</f>
        <v>0</v>
      </c>
      <c r="G34" s="312"/>
      <c r="H34" s="310">
        <f>+B34</f>
        <v>0</v>
      </c>
      <c r="I34" s="311" t="str">
        <f>+C34</f>
        <v xml:space="preserve"> </v>
      </c>
    </row>
    <row r="35" spans="1:9" ht="17.100000000000001" customHeight="1">
      <c r="A35" s="315" t="s">
        <v>199</v>
      </c>
      <c r="B35" s="309">
        <f>PGL_Requirements!O7/1000</f>
        <v>0</v>
      </c>
      <c r="C35" s="309">
        <f>NSG_Requirements!H7/1000</f>
        <v>0</v>
      </c>
      <c r="D35" s="312"/>
      <c r="E35" s="312"/>
      <c r="F35" s="312"/>
      <c r="G35" s="312"/>
      <c r="H35" s="316"/>
      <c r="I35" s="317"/>
    </row>
    <row r="36" spans="1:9" ht="17.100000000000001" customHeight="1">
      <c r="A36" s="315" t="s">
        <v>200</v>
      </c>
      <c r="B36" s="314">
        <f>-PGL_Supplies!L7/1000</f>
        <v>-8.4719999999999995</v>
      </c>
      <c r="C36" s="314">
        <f>-NSG_Supplies!F7/1000</f>
        <v>-7.5090000000000003</v>
      </c>
      <c r="D36" s="312"/>
      <c r="E36" s="312"/>
      <c r="F36" s="312"/>
      <c r="G36" s="312"/>
      <c r="H36" s="316"/>
      <c r="I36" s="317"/>
    </row>
    <row r="37" spans="1:9" ht="17.100000000000001" customHeight="1">
      <c r="A37" s="318" t="s">
        <v>406</v>
      </c>
      <c r="B37" s="309">
        <f>PGL_Requirements!M7/1000</f>
        <v>0</v>
      </c>
      <c r="C37" s="322" t="s">
        <v>11</v>
      </c>
      <c r="D37" s="309">
        <f>PGL_Requirements!M7/1000</f>
        <v>0</v>
      </c>
      <c r="E37" s="312"/>
      <c r="F37" s="309">
        <f>PGL_Requirements!M7/1000</f>
        <v>0</v>
      </c>
      <c r="G37" s="309" t="s">
        <v>11</v>
      </c>
      <c r="H37" s="316"/>
      <c r="I37" s="332"/>
    </row>
    <row r="38" spans="1:9" ht="17.100000000000001" customHeight="1" thickBot="1">
      <c r="A38" s="324" t="s">
        <v>201</v>
      </c>
      <c r="B38" s="309" t="e">
        <f>PGL_Requirements!#REF!/1000</f>
        <v>#REF!</v>
      </c>
      <c r="C38" s="314">
        <f>NSG_Supplies!K7/1000</f>
        <v>0</v>
      </c>
      <c r="D38" s="312"/>
      <c r="E38" s="312"/>
      <c r="F38" s="312"/>
      <c r="G38" s="312"/>
      <c r="H38" s="323" t="e">
        <f>B38</f>
        <v>#REF!</v>
      </c>
      <c r="I38" s="332"/>
    </row>
    <row r="39" spans="1:9" ht="17.100000000000001" customHeight="1" thickBot="1">
      <c r="A39" s="325" t="s">
        <v>11</v>
      </c>
      <c r="B39" s="486" t="s">
        <v>413</v>
      </c>
      <c r="C39" s="484"/>
      <c r="D39" s="485"/>
      <c r="E39" s="327"/>
      <c r="F39" s="328" t="s">
        <v>202</v>
      </c>
      <c r="G39" s="327"/>
      <c r="H39" s="329"/>
      <c r="I39" s="330"/>
    </row>
    <row r="40" spans="1:9" ht="17.100000000000001" customHeight="1">
      <c r="A40" s="331" t="s">
        <v>203</v>
      </c>
      <c r="B40" s="314">
        <f>PGL_Requirements!P7/1000</f>
        <v>103.33</v>
      </c>
      <c r="C40" s="314" t="s">
        <v>11</v>
      </c>
      <c r="D40" s="395"/>
      <c r="E40" s="332"/>
      <c r="F40" s="333" t="s">
        <v>204</v>
      </c>
      <c r="G40" s="312"/>
      <c r="H40" s="334"/>
      <c r="I40" s="335"/>
    </row>
    <row r="41" spans="1:9" ht="17.100000000000001" customHeight="1">
      <c r="A41" s="331" t="s">
        <v>205</v>
      </c>
      <c r="B41" s="323">
        <f>PGL_Supplies!M7/1000</f>
        <v>0</v>
      </c>
      <c r="C41" s="314" t="s">
        <v>11</v>
      </c>
      <c r="D41" s="312"/>
      <c r="E41" s="332"/>
      <c r="F41" s="336" t="s">
        <v>206</v>
      </c>
      <c r="G41" s="312"/>
      <c r="H41" s="316"/>
      <c r="I41" s="335"/>
    </row>
    <row r="42" spans="1:9" ht="17.100000000000001" customHeight="1">
      <c r="A42" s="331" t="s">
        <v>207</v>
      </c>
      <c r="B42" s="314">
        <f>PGL_Requirements!B7/1000</f>
        <v>0</v>
      </c>
      <c r="C42" s="314" t="s">
        <v>11</v>
      </c>
      <c r="D42" s="312"/>
      <c r="E42" s="332"/>
      <c r="F42" s="336" t="s">
        <v>208</v>
      </c>
      <c r="G42" s="312"/>
      <c r="H42" s="316"/>
      <c r="I42" s="335"/>
    </row>
    <row r="43" spans="1:9" ht="17.100000000000001" customHeight="1">
      <c r="A43" s="331" t="s">
        <v>209</v>
      </c>
      <c r="B43" s="314">
        <f>PGL_Supplies!H7/1000</f>
        <v>1.6719999999999999</v>
      </c>
      <c r="C43" s="312"/>
      <c r="D43" s="312"/>
      <c r="E43" s="332"/>
      <c r="F43" s="337" t="s">
        <v>210</v>
      </c>
      <c r="G43" s="312"/>
      <c r="H43" s="316"/>
      <c r="I43" s="335"/>
    </row>
    <row r="44" spans="1:9" ht="17.100000000000001" customHeight="1">
      <c r="A44" s="331" t="s">
        <v>189</v>
      </c>
      <c r="B44" s="338">
        <f>+B48+B47+B45</f>
        <v>1.5499499999999999</v>
      </c>
      <c r="C44" s="339"/>
      <c r="D44" s="312"/>
      <c r="E44" s="332"/>
      <c r="F44" s="336" t="s">
        <v>211</v>
      </c>
      <c r="G44" s="312"/>
      <c r="H44" s="316"/>
      <c r="I44" s="335"/>
    </row>
    <row r="45" spans="1:9" ht="17.100000000000001" customHeight="1">
      <c r="A45" s="331" t="s">
        <v>212</v>
      </c>
      <c r="B45" s="314">
        <f>PGL_Requirements!Q7/1000</f>
        <v>1.5499499999999999</v>
      </c>
      <c r="C45" s="312"/>
      <c r="D45" s="312"/>
      <c r="E45" s="332"/>
      <c r="F45" s="341" t="s">
        <v>213</v>
      </c>
      <c r="G45" s="312"/>
      <c r="H45" s="316"/>
      <c r="I45" s="335"/>
    </row>
    <row r="46" spans="1:9" ht="17.100000000000001" customHeight="1">
      <c r="A46" s="321" t="s">
        <v>214</v>
      </c>
      <c r="B46" s="314">
        <f>+B47+B43+B41</f>
        <v>1.6719999999999999</v>
      </c>
      <c r="C46" s="312"/>
      <c r="D46" s="312"/>
      <c r="E46" s="332"/>
      <c r="F46" s="336" t="s">
        <v>215</v>
      </c>
      <c r="G46" s="312"/>
      <c r="H46" s="316"/>
      <c r="I46" s="335"/>
    </row>
    <row r="47" spans="1:9" ht="17.100000000000001" customHeight="1">
      <c r="A47" s="331" t="s">
        <v>216</v>
      </c>
      <c r="B47" s="340">
        <v>0</v>
      </c>
      <c r="C47" s="312"/>
      <c r="D47" s="312"/>
      <c r="E47" s="332"/>
      <c r="F47" s="336" t="s">
        <v>217</v>
      </c>
      <c r="G47" s="312"/>
      <c r="H47" s="316"/>
      <c r="I47" s="335"/>
    </row>
    <row r="48" spans="1:9" ht="17.100000000000001" customHeight="1" thickBot="1">
      <c r="A48" s="424" t="s">
        <v>218</v>
      </c>
      <c r="B48" s="342">
        <v>0</v>
      </c>
      <c r="C48" s="343"/>
      <c r="D48" s="343"/>
      <c r="E48" s="344"/>
      <c r="F48" s="337" t="s">
        <v>219</v>
      </c>
      <c r="G48" s="312"/>
      <c r="H48" s="316"/>
      <c r="I48" s="335"/>
    </row>
    <row r="49" spans="1:9" ht="17.100000000000001" customHeight="1" thickTop="1" thickBot="1">
      <c r="A49" s="345" t="s">
        <v>11</v>
      </c>
      <c r="B49" s="326" t="s">
        <v>370</v>
      </c>
      <c r="C49" s="346"/>
      <c r="D49" s="346"/>
      <c r="E49" s="346" t="s">
        <v>11</v>
      </c>
      <c r="F49" s="347" t="s">
        <v>220</v>
      </c>
      <c r="G49" s="348"/>
      <c r="H49" s="349"/>
      <c r="I49" s="335"/>
    </row>
    <row r="50" spans="1:9" ht="17.100000000000001" customHeight="1">
      <c r="A50" s="331" t="s">
        <v>410</v>
      </c>
      <c r="B50" s="323">
        <f>PGL_Supplies!V7/1000+PGL_Supplies!D7/1000</f>
        <v>176.70400000000001</v>
      </c>
      <c r="C50" s="312"/>
      <c r="D50" s="312"/>
      <c r="E50" s="312"/>
      <c r="F50" s="318" t="s">
        <v>402</v>
      </c>
      <c r="G50" s="350"/>
      <c r="H50" s="351"/>
      <c r="I50" s="335"/>
    </row>
    <row r="51" spans="1:9" ht="17.100000000000001" customHeight="1">
      <c r="A51" s="331" t="s">
        <v>221</v>
      </c>
      <c r="B51" s="323">
        <f>PGL_Supplies!AA7/1000</f>
        <v>0</v>
      </c>
      <c r="C51" s="339"/>
      <c r="D51" s="312"/>
      <c r="E51" s="312"/>
      <c r="F51" s="352" t="s">
        <v>222</v>
      </c>
      <c r="G51" s="350"/>
      <c r="H51" s="316"/>
      <c r="I51" s="335"/>
    </row>
    <row r="52" spans="1:9" ht="17.100000000000001" customHeight="1" thickBot="1">
      <c r="A52" s="331" t="s">
        <v>371</v>
      </c>
      <c r="B52" s="323">
        <f>NSG_Supplies!O7/1000+PGL_Supplies!Q7/1000</f>
        <v>0</v>
      </c>
      <c r="C52" s="312"/>
      <c r="D52" s="312"/>
      <c r="E52" s="312"/>
      <c r="F52" s="353" t="s">
        <v>223</v>
      </c>
      <c r="G52" s="354"/>
      <c r="H52" s="355"/>
      <c r="I52" s="335"/>
    </row>
    <row r="53" spans="1:9" ht="17.100000000000001" customHeight="1">
      <c r="A53" s="369" t="s">
        <v>233</v>
      </c>
      <c r="B53" s="323">
        <f>PGL_Requirements!J7/1000+NSG_Requirements!E7/1000</f>
        <v>0</v>
      </c>
      <c r="C53" s="312"/>
      <c r="D53" s="312"/>
      <c r="E53" s="312"/>
      <c r="F53" s="347" t="s">
        <v>224</v>
      </c>
      <c r="G53" s="356"/>
      <c r="H53" s="339"/>
      <c r="I53" s="335"/>
    </row>
    <row r="54" spans="1:9" ht="17.100000000000001" customHeight="1" thickBot="1">
      <c r="A54" s="321" t="s">
        <v>225</v>
      </c>
      <c r="B54" s="375">
        <f>SUM(B50+B51+B52-B53)</f>
        <v>176.70400000000001</v>
      </c>
      <c r="C54" s="323"/>
      <c r="D54" s="312"/>
      <c r="E54" s="312"/>
      <c r="F54" s="357" t="s">
        <v>226</v>
      </c>
      <c r="G54" s="358"/>
      <c r="H54" s="358"/>
      <c r="I54" s="359"/>
    </row>
    <row r="55" spans="1:9" ht="17.100000000000001" customHeight="1" thickBot="1">
      <c r="A55" s="345" t="s">
        <v>11</v>
      </c>
      <c r="B55" s="328" t="s">
        <v>68</v>
      </c>
      <c r="C55" s="346"/>
      <c r="D55" s="346"/>
      <c r="E55" s="346"/>
      <c r="F55" s="360" t="s">
        <v>227</v>
      </c>
      <c r="G55" s="312"/>
      <c r="H55" s="361"/>
      <c r="I55" s="320">
        <f>NSG_Supplies!P7/1000</f>
        <v>0</v>
      </c>
    </row>
    <row r="56" spans="1:9" ht="17.100000000000001" customHeight="1">
      <c r="A56" s="424" t="s">
        <v>393</v>
      </c>
      <c r="B56" s="323">
        <f>PGL_Supplies!U7/1000</f>
        <v>0</v>
      </c>
      <c r="C56" s="312"/>
      <c r="D56" s="312"/>
      <c r="E56" s="312"/>
      <c r="F56" s="360" t="s">
        <v>228</v>
      </c>
      <c r="G56" s="312"/>
      <c r="H56" s="362">
        <f>NSG_Requirements!B7/1000</f>
        <v>0</v>
      </c>
      <c r="I56" s="320">
        <f>NSG_Supplies!B7/1000</f>
        <v>0</v>
      </c>
    </row>
    <row r="57" spans="1:9" ht="17.100000000000001" customHeight="1">
      <c r="A57" s="331" t="s">
        <v>495</v>
      </c>
      <c r="B57" s="323">
        <f>PGL_Supplies!Z7/1000+PGL_Supplies!C7/1000-PGL_Requirements!C7/1000</f>
        <v>40.200000000000003</v>
      </c>
      <c r="C57" s="312"/>
      <c r="D57" s="312"/>
      <c r="E57" s="312"/>
      <c r="F57" s="360" t="s">
        <v>229</v>
      </c>
      <c r="G57" s="312"/>
      <c r="H57" s="362">
        <f>NSG_Requirements!S7/1000</f>
        <v>0</v>
      </c>
      <c r="I57" s="363"/>
    </row>
    <row r="58" spans="1:9" ht="17.100000000000001" customHeight="1">
      <c r="A58" s="331" t="s">
        <v>230</v>
      </c>
      <c r="B58" s="323">
        <f>PGL_Requirements!U7/1000</f>
        <v>40.200000000000003</v>
      </c>
      <c r="C58" s="312"/>
      <c r="D58" s="312"/>
      <c r="E58" s="312"/>
      <c r="F58" s="360" t="s">
        <v>231</v>
      </c>
      <c r="G58" s="312"/>
      <c r="H58" s="364"/>
      <c r="I58" s="365">
        <f>PGL_Requirements!V7/1000</f>
        <v>0</v>
      </c>
    </row>
    <row r="59" spans="1:9" ht="17.100000000000001" customHeight="1">
      <c r="A59" s="331" t="s">
        <v>232</v>
      </c>
      <c r="B59" s="323">
        <f>PGL_Supplies!R7/1000</f>
        <v>0</v>
      </c>
      <c r="C59" s="312"/>
      <c r="D59" s="312"/>
      <c r="E59" s="312"/>
      <c r="F59" s="366" t="s">
        <v>233</v>
      </c>
      <c r="G59" s="312"/>
      <c r="H59" s="367">
        <f>NSG_Requirements!D7/1000</f>
        <v>0</v>
      </c>
      <c r="I59" s="368"/>
    </row>
    <row r="60" spans="1:9" ht="17.100000000000001" customHeight="1">
      <c r="A60" s="369" t="s">
        <v>233</v>
      </c>
      <c r="B60" s="323">
        <f>PGL_Requirements!I7/1000</f>
        <v>0</v>
      </c>
      <c r="C60" s="312"/>
      <c r="D60" s="312"/>
      <c r="E60" s="312"/>
      <c r="F60" s="370" t="s">
        <v>234</v>
      </c>
      <c r="G60" s="350"/>
      <c r="H60" s="367">
        <f>NSG_Requirements!O7/1000</f>
        <v>0</v>
      </c>
      <c r="I60" s="320">
        <f>+NSG_Supplies!L7/1000</f>
        <v>0</v>
      </c>
    </row>
    <row r="61" spans="1:9" ht="17.100000000000001" customHeight="1" thickBot="1">
      <c r="A61" s="424" t="s">
        <v>415</v>
      </c>
      <c r="B61" s="371">
        <f>(NSG_Requirements!$S$7+NSG_Requirements!$T$7+NSG_Requirements!$U$7+NSG_Requirements!$N$7)/1000</f>
        <v>0</v>
      </c>
      <c r="C61" s="312"/>
      <c r="D61" s="312"/>
      <c r="E61" s="312"/>
      <c r="F61" s="372" t="s">
        <v>235</v>
      </c>
      <c r="G61" s="343"/>
      <c r="H61" s="373"/>
      <c r="I61" s="374">
        <f>NSG_Supplies!M7/1000</f>
        <v>0</v>
      </c>
    </row>
    <row r="62" spans="1:9" ht="17.100000000000001" customHeight="1" thickTop="1">
      <c r="A62" s="321" t="s">
        <v>225</v>
      </c>
      <c r="B62" s="375">
        <f>B56+B57-B58+B59-B60+B61</f>
        <v>0</v>
      </c>
      <c r="C62" s="376"/>
      <c r="D62" s="376"/>
      <c r="E62" s="376"/>
      <c r="F62" s="377" t="s">
        <v>236</v>
      </c>
      <c r="G62" s="312"/>
      <c r="H62" s="364"/>
      <c r="I62" s="378">
        <v>0</v>
      </c>
    </row>
    <row r="63" spans="1:9" ht="17.100000000000001" customHeight="1" thickBot="1">
      <c r="A63" s="345" t="s">
        <v>11</v>
      </c>
      <c r="B63" s="326"/>
      <c r="C63" s="326" t="s">
        <v>412</v>
      </c>
      <c r="D63" s="346"/>
      <c r="E63" s="482" t="s">
        <v>11</v>
      </c>
      <c r="F63" s="347" t="s">
        <v>237</v>
      </c>
      <c r="G63" s="312"/>
      <c r="H63" s="364"/>
      <c r="I63" s="311">
        <f>I58+I60+I56-H56</f>
        <v>0</v>
      </c>
    </row>
    <row r="64" spans="1:9" ht="17.100000000000001" customHeight="1" thickBot="1">
      <c r="A64" s="424" t="s">
        <v>393</v>
      </c>
      <c r="B64" s="323">
        <f>PGL_Supplies!Y7/1000</f>
        <v>157.29400000000001</v>
      </c>
      <c r="C64" s="312"/>
      <c r="D64" s="312"/>
      <c r="E64" s="379"/>
      <c r="F64" s="357" t="s">
        <v>238</v>
      </c>
      <c r="G64" s="358"/>
      <c r="H64" s="358"/>
      <c r="I64" s="359"/>
    </row>
    <row r="65" spans="1:10" ht="17.100000000000001" customHeight="1">
      <c r="A65" s="331" t="s">
        <v>494</v>
      </c>
      <c r="B65" s="323">
        <f>PGL_Supplies!AD7/1000+PGL_Supplies!G7/1000-PGL_Requirements!F7/1000</f>
        <v>0</v>
      </c>
      <c r="C65" s="380" t="s">
        <v>11</v>
      </c>
      <c r="D65" s="312"/>
      <c r="E65" s="381"/>
      <c r="F65" s="382" t="s">
        <v>239</v>
      </c>
      <c r="G65" s="383"/>
      <c r="H65" s="384"/>
      <c r="I65" s="385">
        <f>NSG_Supplies!O7/1000</f>
        <v>0</v>
      </c>
    </row>
    <row r="66" spans="1:10" ht="17.100000000000001" customHeight="1">
      <c r="A66" s="331" t="s">
        <v>240</v>
      </c>
      <c r="B66" s="323">
        <f>PGL_Supplies!AE7/1000</f>
        <v>0</v>
      </c>
      <c r="C66" s="380" t="s">
        <v>11</v>
      </c>
      <c r="D66" s="312"/>
      <c r="E66" s="381"/>
      <c r="F66" s="383" t="s">
        <v>241</v>
      </c>
      <c r="G66" s="383"/>
      <c r="H66" s="386">
        <f>NSG_Requirements!M7/1000</f>
        <v>0</v>
      </c>
      <c r="I66" s="363"/>
    </row>
    <row r="67" spans="1:10" ht="17.100000000000001" customHeight="1">
      <c r="A67" s="331" t="s">
        <v>242</v>
      </c>
      <c r="B67" s="387">
        <f>PGL_Requirements!T7/1000</f>
        <v>0</v>
      </c>
      <c r="C67" s="388" t="s">
        <v>11</v>
      </c>
      <c r="D67" s="312"/>
      <c r="E67" s="381"/>
      <c r="F67" s="383" t="s">
        <v>243</v>
      </c>
      <c r="G67" s="383"/>
      <c r="H67" s="389">
        <f>(NSG_Requirements!$Y$7+NSG_Requirements!$Z$7+NSG_Requirements!$AA$7)/1000</f>
        <v>0</v>
      </c>
      <c r="I67" s="390">
        <f>(PGL_Requirements!$AC$7+PGL_Requirements!$AD$7+PGL_Requirements!$AE$7)/1000</f>
        <v>0</v>
      </c>
    </row>
    <row r="68" spans="1:10" ht="17.100000000000001" customHeight="1" thickBot="1">
      <c r="A68" s="331" t="s">
        <v>244</v>
      </c>
      <c r="B68" s="323">
        <f>PGL_Supplies!P7/1000</f>
        <v>0</v>
      </c>
      <c r="C68" s="380" t="s">
        <v>11</v>
      </c>
      <c r="D68" s="312"/>
      <c r="E68" s="381"/>
      <c r="F68" s="391"/>
      <c r="G68" s="391"/>
      <c r="H68" s="392"/>
      <c r="I68" s="393"/>
    </row>
    <row r="69" spans="1:10" ht="17.100000000000001" customHeight="1">
      <c r="A69" s="369" t="s">
        <v>233</v>
      </c>
      <c r="B69" s="387">
        <f>PGL_Requirements!N7/1000</f>
        <v>0</v>
      </c>
      <c r="C69" s="388" t="s">
        <v>11</v>
      </c>
      <c r="D69" s="312"/>
      <c r="E69" s="490"/>
      <c r="F69" s="394" t="s">
        <v>245</v>
      </c>
      <c r="G69" s="384" t="s">
        <v>11</v>
      </c>
      <c r="H69" s="395" t="s">
        <v>398</v>
      </c>
      <c r="I69" s="381"/>
    </row>
    <row r="70" spans="1:10" ht="17.100000000000001" customHeight="1">
      <c r="A70" s="331" t="s">
        <v>246</v>
      </c>
      <c r="B70" s="387">
        <f>PGL_Requirements!P7/1000</f>
        <v>103.33</v>
      </c>
      <c r="C70" s="388" t="s">
        <v>11</v>
      </c>
      <c r="D70" s="312"/>
      <c r="E70" s="381"/>
      <c r="F70" s="394" t="s">
        <v>247</v>
      </c>
      <c r="G70" s="384" t="s">
        <v>11</v>
      </c>
      <c r="H70" s="423" t="s">
        <v>248</v>
      </c>
      <c r="I70" s="422"/>
    </row>
    <row r="71" spans="1:10" ht="17.100000000000001" customHeight="1">
      <c r="A71" s="331" t="s">
        <v>249</v>
      </c>
      <c r="B71" s="387">
        <f>PGL_Requirements!F7/1000</f>
        <v>0</v>
      </c>
      <c r="C71" s="380" t="s">
        <v>11</v>
      </c>
      <c r="D71" s="312"/>
      <c r="E71" s="381"/>
      <c r="F71" s="383" t="s">
        <v>250</v>
      </c>
      <c r="G71" s="384" t="s">
        <v>11</v>
      </c>
      <c r="H71" s="397"/>
      <c r="I71" s="381" t="s">
        <v>11</v>
      </c>
    </row>
    <row r="72" spans="1:10" ht="17.100000000000001" customHeight="1" thickBot="1">
      <c r="A72" s="398" t="s">
        <v>225</v>
      </c>
      <c r="B72" s="399">
        <f>+B65+B64+B66+B68-B67-B69-B70</f>
        <v>53.964000000000013</v>
      </c>
      <c r="C72" s="399" t="s">
        <v>11</v>
      </c>
      <c r="D72" s="400"/>
      <c r="E72" s="401"/>
      <c r="F72" s="396"/>
      <c r="G72" s="491"/>
      <c r="H72" s="402"/>
      <c r="I72" s="403"/>
    </row>
    <row r="73" spans="1:10" ht="17.100000000000001" customHeight="1" thickBot="1">
      <c r="A73" s="357" t="s">
        <v>251</v>
      </c>
      <c r="B73" s="358"/>
      <c r="C73" s="359"/>
      <c r="D73" s="339"/>
      <c r="E73" s="339"/>
      <c r="F73" s="421" t="s">
        <v>252</v>
      </c>
      <c r="G73" s="404" t="str">
        <f>CHOOSE(WEEKDAY(H73),"SUN","MON","TUE","WED","THU","FRI","SAT")</f>
        <v>MON</v>
      </c>
      <c r="H73" s="405">
        <f>Weather_Input!A5</f>
        <v>37025</v>
      </c>
      <c r="I73" s="406"/>
    </row>
    <row r="74" spans="1:10" ht="17.100000000000001" customHeight="1">
      <c r="A74" s="382" t="s">
        <v>253</v>
      </c>
      <c r="B74" s="312" t="s">
        <v>11</v>
      </c>
      <c r="C74" s="332"/>
      <c r="D74" s="407"/>
      <c r="E74" s="339"/>
      <c r="F74" s="339"/>
      <c r="G74" s="339"/>
      <c r="H74" s="339"/>
      <c r="I74" s="406"/>
    </row>
    <row r="75" spans="1:10" ht="17.100000000000001" customHeight="1">
      <c r="A75" s="360" t="s">
        <v>254</v>
      </c>
      <c r="B75" s="312"/>
      <c r="C75" s="332"/>
      <c r="D75" s="408"/>
      <c r="E75" s="383"/>
      <c r="F75" s="383"/>
      <c r="G75" s="383"/>
      <c r="H75" s="339"/>
      <c r="I75" s="406"/>
    </row>
    <row r="76" spans="1:10" ht="17.100000000000001" customHeight="1" thickBot="1">
      <c r="A76" s="409" t="s">
        <v>255</v>
      </c>
      <c r="B76" s="343"/>
      <c r="C76" s="344"/>
      <c r="D76" s="410" t="s">
        <v>256</v>
      </c>
      <c r="E76" s="411"/>
      <c r="F76" s="412" t="s">
        <v>257</v>
      </c>
      <c r="G76" s="413"/>
      <c r="H76" s="414" t="s">
        <v>258</v>
      </c>
      <c r="I76" s="415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6" t="s">
        <v>420</v>
      </c>
      <c r="B90" s="587"/>
      <c r="C90" s="587"/>
      <c r="D90" s="587"/>
      <c r="E90" s="588" t="s">
        <v>173</v>
      </c>
      <c r="F90" s="589">
        <f>Weather_Input!L5</f>
        <v>1</v>
      </c>
      <c r="G90" s="590" t="s">
        <v>11</v>
      </c>
      <c r="H90" s="591"/>
      <c r="I90" s="592"/>
    </row>
    <row r="91" spans="1:9" ht="15.6">
      <c r="A91" s="257"/>
      <c r="B91" s="608" t="s">
        <v>417</v>
      </c>
      <c r="C91" s="268" t="s">
        <v>11</v>
      </c>
      <c r="D91" s="600" t="s">
        <v>488</v>
      </c>
      <c r="E91" s="607"/>
      <c r="F91" s="605" t="s">
        <v>489</v>
      </c>
      <c r="G91" s="606"/>
      <c r="H91" s="604" t="s">
        <v>174</v>
      </c>
      <c r="I91" s="259"/>
    </row>
    <row r="92" spans="1:9" ht="15">
      <c r="A92" s="492" t="s">
        <v>418</v>
      </c>
      <c r="B92" s="599" t="s">
        <v>409</v>
      </c>
      <c r="C92" s="260" t="s">
        <v>176</v>
      </c>
      <c r="D92" s="599" t="s">
        <v>23</v>
      </c>
      <c r="E92" s="260" t="s">
        <v>176</v>
      </c>
      <c r="F92" s="602" t="s">
        <v>23</v>
      </c>
      <c r="G92" s="260" t="s">
        <v>176</v>
      </c>
      <c r="H92" s="599" t="s">
        <v>23</v>
      </c>
      <c r="I92" s="493" t="s">
        <v>176</v>
      </c>
    </row>
    <row r="93" spans="1:9" ht="15.6">
      <c r="A93" s="257" t="s">
        <v>11</v>
      </c>
      <c r="B93" s="267"/>
      <c r="C93" s="265"/>
      <c r="D93" s="601"/>
      <c r="E93" s="601"/>
      <c r="F93" s="603"/>
      <c r="G93" s="268"/>
      <c r="H93" s="268"/>
      <c r="I93" s="266"/>
    </row>
    <row r="94" spans="1:9" ht="16.2" thickBot="1">
      <c r="A94" s="257" t="s">
        <v>419</v>
      </c>
      <c r="B94" s="500" t="s">
        <v>11</v>
      </c>
      <c r="C94" s="499" t="s">
        <v>11</v>
      </c>
      <c r="D94" s="494" t="s">
        <v>11</v>
      </c>
      <c r="E94" s="501"/>
      <c r="F94" s="502"/>
      <c r="G94" s="270"/>
      <c r="H94" s="502"/>
      <c r="I94" s="259"/>
    </row>
    <row r="95" spans="1:9" ht="16.2" thickBot="1">
      <c r="A95" s="495"/>
      <c r="B95" s="496" t="s">
        <v>11</v>
      </c>
      <c r="C95" s="496" t="s">
        <v>11</v>
      </c>
      <c r="D95" s="497"/>
      <c r="E95" s="497"/>
      <c r="F95" s="497"/>
      <c r="G95" s="497"/>
      <c r="H95" s="497"/>
      <c r="I95" s="498"/>
    </row>
    <row r="96" spans="1:9" ht="15">
      <c r="A96" s="492" t="s">
        <v>182</v>
      </c>
      <c r="B96" s="292" t="s">
        <v>11</v>
      </c>
      <c r="C96" s="622" t="e">
        <f>I150</f>
        <v>#REF!</v>
      </c>
      <c r="D96" s="618"/>
      <c r="E96" s="268"/>
      <c r="F96" s="618"/>
      <c r="G96" s="268"/>
      <c r="H96" s="618"/>
      <c r="I96" s="266" t="s">
        <v>11</v>
      </c>
    </row>
    <row r="97" spans="1:9" ht="15">
      <c r="A97" s="492" t="s">
        <v>68</v>
      </c>
      <c r="B97" s="281" t="s">
        <v>11</v>
      </c>
      <c r="C97" s="622">
        <f>B133</f>
        <v>0</v>
      </c>
      <c r="D97" s="601"/>
      <c r="E97" s="613">
        <f>+C97</f>
        <v>0</v>
      </c>
      <c r="F97" s="601"/>
      <c r="G97" s="613">
        <f>+C97</f>
        <v>0</v>
      </c>
      <c r="H97" s="601"/>
      <c r="I97" s="284">
        <f>+C97</f>
        <v>0</v>
      </c>
    </row>
    <row r="98" spans="1:9" ht="15">
      <c r="A98" s="492" t="s">
        <v>60</v>
      </c>
      <c r="B98" s="281" t="s">
        <v>11</v>
      </c>
      <c r="C98" s="622">
        <f>B149</f>
        <v>1.6719999999999999</v>
      </c>
      <c r="D98" s="601"/>
      <c r="E98" s="268"/>
      <c r="F98" s="601"/>
      <c r="G98" s="268"/>
      <c r="H98" s="601"/>
      <c r="I98" s="266"/>
    </row>
    <row r="99" spans="1:9" ht="15">
      <c r="A99" s="492" t="s">
        <v>69</v>
      </c>
      <c r="B99" s="281" t="s">
        <v>11</v>
      </c>
      <c r="C99" s="622">
        <f>B141</f>
        <v>176.70400000000001</v>
      </c>
      <c r="D99" s="619"/>
      <c r="E99" s="268"/>
      <c r="F99" s="601"/>
      <c r="G99" s="268"/>
      <c r="H99" s="601"/>
      <c r="I99" s="266"/>
    </row>
    <row r="100" spans="1:9" ht="15">
      <c r="A100" s="492" t="s">
        <v>421</v>
      </c>
      <c r="B100" s="285" t="s">
        <v>11</v>
      </c>
      <c r="C100" s="622">
        <f>I157+I158</f>
        <v>0</v>
      </c>
      <c r="D100" s="601"/>
      <c r="E100" s="268"/>
      <c r="F100" s="601"/>
      <c r="G100" s="268"/>
      <c r="H100" s="601"/>
      <c r="I100" s="266"/>
    </row>
    <row r="101" spans="1:9" ht="15">
      <c r="A101" s="492" t="s">
        <v>422</v>
      </c>
      <c r="B101" s="281" t="s">
        <v>11</v>
      </c>
      <c r="C101" s="622" t="e">
        <f>I146</f>
        <v>#REF!</v>
      </c>
      <c r="D101" s="601" t="s">
        <v>11</v>
      </c>
      <c r="E101" s="268"/>
      <c r="F101" s="601"/>
      <c r="G101" s="268"/>
      <c r="H101" s="601"/>
      <c r="I101" s="266"/>
    </row>
    <row r="102" spans="1:9" ht="15">
      <c r="A102" s="492" t="s">
        <v>37</v>
      </c>
      <c r="B102" s="281" t="s">
        <v>172</v>
      </c>
      <c r="C102" s="622">
        <f>B162</f>
        <v>157.29400000000001</v>
      </c>
      <c r="D102" s="601"/>
      <c r="E102" s="268"/>
      <c r="F102" s="601"/>
      <c r="G102" s="268"/>
      <c r="H102" s="601"/>
      <c r="I102" s="266"/>
    </row>
    <row r="103" spans="1:9" ht="15">
      <c r="A103" s="492" t="s">
        <v>99</v>
      </c>
      <c r="B103" s="281" t="s">
        <v>11</v>
      </c>
      <c r="C103" s="622">
        <f>PGL_Requirements!G7/1000</f>
        <v>24.606000000000002</v>
      </c>
      <c r="D103" s="619"/>
      <c r="E103" s="268"/>
      <c r="F103" s="601"/>
      <c r="G103" s="268"/>
      <c r="H103" s="601"/>
      <c r="I103" s="266"/>
    </row>
    <row r="104" spans="1:9" ht="15.6" thickBot="1">
      <c r="A104" s="291" t="s">
        <v>110</v>
      </c>
      <c r="B104" s="614" t="s">
        <v>11</v>
      </c>
      <c r="C104" s="622">
        <f>PGL_Supplies!B7/1000</f>
        <v>0</v>
      </c>
      <c r="D104" s="600"/>
      <c r="E104" s="268"/>
      <c r="F104" s="601"/>
      <c r="G104" s="268"/>
      <c r="H104" s="601"/>
      <c r="I104" s="266"/>
    </row>
    <row r="105" spans="1:9" ht="16.2" thickBot="1">
      <c r="A105" s="615" t="s">
        <v>423</v>
      </c>
      <c r="B105" s="616" t="s">
        <v>11</v>
      </c>
      <c r="C105" s="510" t="s">
        <v>11</v>
      </c>
      <c r="D105" s="620" t="s">
        <v>11</v>
      </c>
      <c r="E105" s="617" t="s">
        <v>11</v>
      </c>
      <c r="F105" s="620" t="s">
        <v>11</v>
      </c>
      <c r="G105" s="617" t="s">
        <v>11</v>
      </c>
      <c r="H105" s="620" t="s">
        <v>11</v>
      </c>
      <c r="I105" s="621"/>
    </row>
    <row r="106" spans="1:9" ht="16.2" thickBot="1">
      <c r="A106" s="503" t="s">
        <v>38</v>
      </c>
      <c r="B106" s="504">
        <f>-PGL_Supplies!U7/1000</f>
        <v>0</v>
      </c>
      <c r="C106" s="505">
        <f>-NSG_Supplies!AF7/1000</f>
        <v>0</v>
      </c>
      <c r="D106" s="506"/>
      <c r="E106" s="507"/>
      <c r="F106" s="506"/>
      <c r="G106" s="507"/>
      <c r="H106" s="508"/>
      <c r="I106" s="509"/>
    </row>
    <row r="107" spans="1:9" ht="15">
      <c r="A107" s="492" t="s">
        <v>424</v>
      </c>
      <c r="B107" s="281" t="e">
        <f>B94+B105+B106</f>
        <v>#VALUE!</v>
      </c>
      <c r="C107" s="294" t="e">
        <f>C94+C105+C106</f>
        <v>#VALUE!</v>
      </c>
      <c r="D107" s="265"/>
      <c r="E107" s="267"/>
      <c r="F107" s="265"/>
      <c r="G107" s="267"/>
      <c r="H107" s="268"/>
      <c r="I107" s="259"/>
    </row>
    <row r="108" spans="1:9" ht="15">
      <c r="A108" s="492" t="s">
        <v>425</v>
      </c>
      <c r="B108" s="281">
        <v>0</v>
      </c>
      <c r="C108" s="267"/>
      <c r="D108" s="265"/>
      <c r="E108" s="267"/>
      <c r="F108" s="265"/>
      <c r="G108" s="267"/>
      <c r="H108" s="268"/>
      <c r="I108" s="295"/>
    </row>
    <row r="109" spans="1:9" ht="15">
      <c r="A109" s="492" t="s">
        <v>426</v>
      </c>
      <c r="B109" s="281">
        <f>+B129</f>
        <v>0</v>
      </c>
      <c r="C109" s="267"/>
      <c r="D109" s="265"/>
      <c r="E109" s="267"/>
      <c r="F109" s="296" t="s">
        <v>11</v>
      </c>
      <c r="G109" s="305"/>
      <c r="H109" s="297" t="s">
        <v>11</v>
      </c>
      <c r="I109" s="259"/>
    </row>
    <row r="110" spans="1:9" ht="15.6">
      <c r="A110" s="511" t="s">
        <v>427</v>
      </c>
      <c r="B110" s="299" t="e">
        <f>B107+B108+B109</f>
        <v>#VALUE!</v>
      </c>
      <c r="C110" s="300" t="e">
        <f>C107</f>
        <v>#VALUE!</v>
      </c>
      <c r="D110" s="265"/>
      <c r="E110" s="267"/>
      <c r="F110" s="301"/>
      <c r="G110" s="267"/>
      <c r="H110" s="302" t="s">
        <v>11</v>
      </c>
      <c r="I110" s="303" t="s">
        <v>11</v>
      </c>
    </row>
    <row r="111" spans="1:9" ht="16.2" thickBot="1">
      <c r="A111" s="512" t="s">
        <v>428</v>
      </c>
      <c r="B111" s="305">
        <f>-NSG_Requirements!$L$7/1000</f>
        <v>0</v>
      </c>
      <c r="C111" s="305">
        <f>NSG_Requirements!$L$7/1000</f>
        <v>0</v>
      </c>
      <c r="D111" s="306">
        <f>B111</f>
        <v>0</v>
      </c>
      <c r="E111" s="305">
        <f>C111</f>
        <v>0</v>
      </c>
      <c r="F111" s="306">
        <f>B111</f>
        <v>0</v>
      </c>
      <c r="G111" s="305">
        <f>C111</f>
        <v>0</v>
      </c>
      <c r="H111" s="451">
        <f>B111</f>
        <v>0</v>
      </c>
      <c r="I111" s="307">
        <f>C111</f>
        <v>0</v>
      </c>
    </row>
    <row r="112" spans="1:9" ht="15">
      <c r="A112" s="492" t="s">
        <v>429</v>
      </c>
      <c r="B112" s="305"/>
      <c r="C112" s="305"/>
      <c r="D112" s="306"/>
      <c r="E112" s="305"/>
      <c r="F112" s="306"/>
      <c r="G112" s="305"/>
      <c r="H112" s="513"/>
      <c r="I112" s="514"/>
    </row>
    <row r="113" spans="1:9" ht="15.6">
      <c r="A113" s="424" t="s">
        <v>430</v>
      </c>
      <c r="B113" s="309">
        <f>PGL_Requirements!V7/1000</f>
        <v>0</v>
      </c>
      <c r="C113" s="309">
        <f>NSG_Requirements!Q7/1000</f>
        <v>0</v>
      </c>
      <c r="D113" s="309">
        <f>B113</f>
        <v>0</v>
      </c>
      <c r="E113" s="309">
        <f>+C113</f>
        <v>0</v>
      </c>
      <c r="F113" s="309">
        <f>B113</f>
        <v>0</v>
      </c>
      <c r="G113" s="309">
        <f>+C113</f>
        <v>0</v>
      </c>
      <c r="H113" s="310">
        <f>B113</f>
        <v>0</v>
      </c>
      <c r="I113" s="311">
        <f>+C113</f>
        <v>0</v>
      </c>
    </row>
    <row r="114" spans="1:9" ht="15.6">
      <c r="A114" s="331" t="s">
        <v>431</v>
      </c>
      <c r="B114" s="309">
        <f>PGL_Requirements!AC7/1000</f>
        <v>0</v>
      </c>
      <c r="C114" s="309">
        <f>NSG_Requirements!AA7/1000</f>
        <v>0</v>
      </c>
      <c r="D114" s="309">
        <f>PGL_Requirements!AC7/1000</f>
        <v>0</v>
      </c>
      <c r="E114" s="309">
        <f>NSG_Requirements!AA7/1000</f>
        <v>0</v>
      </c>
      <c r="F114" s="309">
        <f>PGL_Requirements!AC7/1000</f>
        <v>0</v>
      </c>
      <c r="G114" s="309">
        <f>NSG_Requirements!AA7/1000</f>
        <v>0</v>
      </c>
      <c r="H114" s="310">
        <f>+B114</f>
        <v>0</v>
      </c>
      <c r="I114" s="311">
        <f>+C114</f>
        <v>0</v>
      </c>
    </row>
    <row r="115" spans="1:9" ht="15">
      <c r="A115" s="424" t="s">
        <v>432</v>
      </c>
      <c r="B115" s="314">
        <v>0</v>
      </c>
      <c r="C115" s="314">
        <v>0</v>
      </c>
      <c r="D115" s="314">
        <v>0</v>
      </c>
      <c r="E115" s="314">
        <v>0</v>
      </c>
      <c r="F115" s="314">
        <v>0</v>
      </c>
      <c r="G115" s="314">
        <f>C115</f>
        <v>0</v>
      </c>
      <c r="H115" s="319">
        <f>B115</f>
        <v>0</v>
      </c>
      <c r="I115" s="320">
        <f>C115</f>
        <v>0</v>
      </c>
    </row>
    <row r="116" spans="1:9" ht="15">
      <c r="A116" s="424" t="s">
        <v>433</v>
      </c>
      <c r="B116" s="418">
        <f>-PGL_Supplies!Z7/1000</f>
        <v>-40.200000000000003</v>
      </c>
      <c r="C116" s="418">
        <f>-NSG_Supplies!W7/1000</f>
        <v>0</v>
      </c>
      <c r="D116" s="314">
        <f>-PGL_Supplies!Z7/1000</f>
        <v>-40.200000000000003</v>
      </c>
      <c r="E116" s="314">
        <f>-NSG_Supplies!W7/1000</f>
        <v>0</v>
      </c>
      <c r="F116" s="314">
        <f>-PGL_Supplies!Z7/1000</f>
        <v>-40.200000000000003</v>
      </c>
      <c r="G116" s="314">
        <f>-NSG_Supplies!W7/1000</f>
        <v>0</v>
      </c>
      <c r="H116" s="319">
        <f>-PGL_Supplies!Z7/1000</f>
        <v>-40.200000000000003</v>
      </c>
      <c r="I116" s="320">
        <f>-NSG_Supplies!W7/1000</f>
        <v>0</v>
      </c>
    </row>
    <row r="117" spans="1:9" ht="15">
      <c r="A117" s="424" t="s">
        <v>434</v>
      </c>
      <c r="B117" s="314">
        <f>-PGL_Supplies!AA7/1000</f>
        <v>0</v>
      </c>
      <c r="C117" s="314">
        <f>-NSG_Supplies!X7/1000</f>
        <v>0</v>
      </c>
      <c r="D117" s="314">
        <f>-PGL_Supplies!AA7/1000</f>
        <v>0</v>
      </c>
      <c r="E117" s="314">
        <f>-NSG_Supplies!X7/1000</f>
        <v>0</v>
      </c>
      <c r="F117" s="314">
        <f>-PGL_Supplies!AA7/1000</f>
        <v>0</v>
      </c>
      <c r="G117" s="314">
        <f>-NSG_Supplies!X7/1000</f>
        <v>0</v>
      </c>
      <c r="H117" s="319">
        <f>-PGL_Supplies!AA7/1000</f>
        <v>0</v>
      </c>
      <c r="I117" s="320">
        <f>-NSG_Supplies!X7/1000</f>
        <v>0</v>
      </c>
    </row>
    <row r="118" spans="1:9" ht="15.6">
      <c r="A118" s="424" t="s">
        <v>436</v>
      </c>
      <c r="B118" s="419">
        <f>(PGL_Requirements!$Y$7+PGL_Requirements!$Z$7+PGL_Requirements!$AA$7)/1000+(NSG_Requirements!$V$7+NSG_Requirements!$W$7+NSG_Requirements!$X$7)/1000</f>
        <v>0</v>
      </c>
      <c r="C118" s="419">
        <f>-(PGL_Requirements!$Y$7+PGL_Requirements!$Z$7+PGL_Requirements!$AA$7)/1000+(NSG_Requirements!$V$7+NSG_Requirements!$W$7+NSG_Requirements!$X$7)/1000</f>
        <v>0</v>
      </c>
      <c r="D118" s="309">
        <f>+B118</f>
        <v>0</v>
      </c>
      <c r="E118" s="314">
        <f>+C118</f>
        <v>0</v>
      </c>
      <c r="F118" s="309">
        <f>+B118</f>
        <v>0</v>
      </c>
      <c r="G118" s="314">
        <f>+E118</f>
        <v>0</v>
      </c>
      <c r="H118" s="310">
        <f>+B118</f>
        <v>0</v>
      </c>
      <c r="I118" s="311">
        <f>+C118</f>
        <v>0</v>
      </c>
    </row>
    <row r="119" spans="1:9" ht="15">
      <c r="A119" s="424" t="s">
        <v>437</v>
      </c>
      <c r="B119" s="314">
        <f>-PGL_Supplies!AN7/1000</f>
        <v>0</v>
      </c>
      <c r="C119" s="314">
        <f>-NSG_Supplies!AD7/1000</f>
        <v>0</v>
      </c>
      <c r="D119" s="314">
        <f>B119</f>
        <v>0</v>
      </c>
      <c r="E119" s="314">
        <f>C119</f>
        <v>0</v>
      </c>
      <c r="F119" s="314">
        <f>B119</f>
        <v>0</v>
      </c>
      <c r="G119" s="314">
        <f>C119</f>
        <v>0</v>
      </c>
      <c r="H119" s="319">
        <f>B119</f>
        <v>0</v>
      </c>
      <c r="I119" s="320">
        <f>C119</f>
        <v>0</v>
      </c>
    </row>
    <row r="120" spans="1:9" ht="15">
      <c r="A120" s="424" t="s">
        <v>197</v>
      </c>
      <c r="B120" s="314">
        <f>-PGL_Supplies!AJ7/1000</f>
        <v>0</v>
      </c>
      <c r="C120" s="314">
        <f>-NSG_Supplies!AE7/1000</f>
        <v>0</v>
      </c>
      <c r="D120" s="314">
        <f>B120</f>
        <v>0</v>
      </c>
      <c r="E120" s="314">
        <f>C120</f>
        <v>0</v>
      </c>
      <c r="F120" s="314">
        <f>B120</f>
        <v>0</v>
      </c>
      <c r="G120" s="314">
        <f>C120</f>
        <v>0</v>
      </c>
      <c r="H120" s="319">
        <f>B120</f>
        <v>0</v>
      </c>
      <c r="I120" s="320">
        <f>C120</f>
        <v>0</v>
      </c>
    </row>
    <row r="121" spans="1:9" ht="15.6">
      <c r="A121" s="424" t="s">
        <v>435</v>
      </c>
      <c r="B121" s="309">
        <f>PGL_Requirements!AD7/1000</f>
        <v>0</v>
      </c>
      <c r="C121" s="309" t="s">
        <v>11</v>
      </c>
      <c r="D121" s="309">
        <f>+B121</f>
        <v>0</v>
      </c>
      <c r="E121" s="312"/>
      <c r="F121" s="309">
        <f>+D121</f>
        <v>0</v>
      </c>
      <c r="G121" s="312"/>
      <c r="H121" s="310">
        <f>+B121</f>
        <v>0</v>
      </c>
      <c r="I121" s="311" t="str">
        <f>+C121</f>
        <v xml:space="preserve"> </v>
      </c>
    </row>
    <row r="122" spans="1:9" ht="15.6">
      <c r="A122" s="424" t="s">
        <v>438</v>
      </c>
      <c r="B122" s="309">
        <f>PGL_Requirements!Y7/1000</f>
        <v>0</v>
      </c>
      <c r="C122" s="309">
        <f>NSG_Requirements!U7/1000</f>
        <v>0</v>
      </c>
      <c r="D122" s="312"/>
      <c r="E122" s="312"/>
      <c r="F122" s="312"/>
      <c r="G122" s="312"/>
      <c r="H122" s="316"/>
      <c r="I122" s="317"/>
    </row>
    <row r="123" spans="1:9" ht="15">
      <c r="A123" s="424" t="s">
        <v>439</v>
      </c>
      <c r="B123" s="314">
        <f>-PGL_Supplies!X7/1000</f>
        <v>0</v>
      </c>
      <c r="C123" s="314">
        <f>-NSG_Supplies!S7/1000</f>
        <v>-20.831</v>
      </c>
      <c r="D123" s="312"/>
      <c r="E123" s="312"/>
      <c r="F123" s="312"/>
      <c r="G123" s="312"/>
      <c r="H123" s="316"/>
      <c r="I123" s="317"/>
    </row>
    <row r="124" spans="1:9" ht="16.2" thickBot="1">
      <c r="A124" s="325" t="s">
        <v>11</v>
      </c>
      <c r="B124" s="486" t="s">
        <v>11</v>
      </c>
      <c r="C124" s="515" t="s">
        <v>68</v>
      </c>
      <c r="D124" s="485"/>
      <c r="E124" s="327"/>
      <c r="F124" s="328" t="s">
        <v>202</v>
      </c>
      <c r="G124" s="327"/>
      <c r="H124" s="329"/>
      <c r="I124" s="330"/>
    </row>
    <row r="125" spans="1:9" ht="15">
      <c r="A125" s="424" t="s">
        <v>440</v>
      </c>
      <c r="B125" s="314">
        <f>PGL_Requirements!U7/1000</f>
        <v>40.200000000000003</v>
      </c>
      <c r="F125" s="541" t="s">
        <v>11</v>
      </c>
      <c r="G125" s="542"/>
      <c r="H125" s="609"/>
      <c r="I125" s="335"/>
    </row>
    <row r="126" spans="1:9" ht="15">
      <c r="A126" s="424" t="s">
        <v>397</v>
      </c>
      <c r="B126" s="323">
        <f>PGL_Supplies!R7/1000</f>
        <v>0</v>
      </c>
      <c r="C126" s="314" t="s">
        <v>11</v>
      </c>
      <c r="D126" s="312"/>
      <c r="E126" s="332"/>
      <c r="F126" s="424" t="s">
        <v>460</v>
      </c>
      <c r="G126" s="543"/>
      <c r="H126" s="548"/>
      <c r="I126" s="335"/>
    </row>
    <row r="127" spans="1:9" ht="15">
      <c r="A127" s="424" t="s">
        <v>490</v>
      </c>
      <c r="B127" s="314">
        <f>PGL_Requirements!O7/1000</f>
        <v>0</v>
      </c>
      <c r="C127" s="314" t="s">
        <v>11</v>
      </c>
      <c r="D127" s="312"/>
      <c r="E127" s="332"/>
      <c r="F127" s="424" t="s">
        <v>461</v>
      </c>
      <c r="G127" s="543"/>
      <c r="H127" s="316"/>
      <c r="I127" s="335"/>
    </row>
    <row r="128" spans="1:9" ht="15">
      <c r="A128" s="424" t="s">
        <v>430</v>
      </c>
      <c r="B128" s="314">
        <f>PGL_Requirements!I7/1000</f>
        <v>0</v>
      </c>
      <c r="C128" s="314" t="s">
        <v>11</v>
      </c>
      <c r="D128" s="312"/>
      <c r="E128" s="332"/>
      <c r="F128" s="424" t="s">
        <v>462</v>
      </c>
      <c r="G128" s="543"/>
      <c r="H128" s="316"/>
      <c r="I128" s="335"/>
    </row>
    <row r="129" spans="1:9" ht="15">
      <c r="A129" s="424" t="s">
        <v>441</v>
      </c>
      <c r="B129" s="314">
        <f>PGL_Requirements!C7/1000</f>
        <v>0</v>
      </c>
      <c r="C129" s="312"/>
      <c r="D129" s="312"/>
      <c r="E129" s="332"/>
      <c r="F129" s="424" t="s">
        <v>463</v>
      </c>
      <c r="G129" s="543"/>
      <c r="H129" s="316"/>
      <c r="I129" s="335"/>
    </row>
    <row r="130" spans="1:9" ht="15">
      <c r="A130" s="424" t="s">
        <v>442</v>
      </c>
      <c r="B130" s="314">
        <f>PGL_Requirements!AA7/1000</f>
        <v>0</v>
      </c>
      <c r="C130" s="593"/>
      <c r="D130" s="312"/>
      <c r="E130" s="332"/>
      <c r="F130" s="424" t="s">
        <v>464</v>
      </c>
      <c r="G130" s="543"/>
      <c r="H130" s="316"/>
      <c r="I130" s="335"/>
    </row>
    <row r="131" spans="1:9" ht="15">
      <c r="A131" s="416" t="s">
        <v>109</v>
      </c>
      <c r="B131" s="323">
        <f>PGL_Supplies!Z7/1000</f>
        <v>40.200000000000003</v>
      </c>
      <c r="C131" s="312"/>
      <c r="D131" s="312"/>
      <c r="E131" s="332"/>
      <c r="F131" s="369" t="s">
        <v>465</v>
      </c>
      <c r="G131" s="543"/>
      <c r="H131" s="316"/>
      <c r="I131" s="335"/>
    </row>
    <row r="132" spans="1:9" ht="15.6" thickBot="1">
      <c r="A132" s="424" t="s">
        <v>393</v>
      </c>
      <c r="B132" s="323">
        <f>PGL_Supplies!U7/1000</f>
        <v>0</v>
      </c>
      <c r="C132" s="348"/>
      <c r="D132" s="348"/>
      <c r="E132" s="553"/>
      <c r="F132" s="424" t="s">
        <v>466</v>
      </c>
      <c r="G132" s="543"/>
      <c r="H132" s="316"/>
      <c r="I132" s="335"/>
    </row>
    <row r="133" spans="1:9" ht="16.2" thickBot="1">
      <c r="A133" s="558" t="s">
        <v>443</v>
      </c>
      <c r="B133" s="565">
        <f>B126+B127+B130+B131+B132-B125-B128-B129</f>
        <v>0</v>
      </c>
      <c r="C133" s="530"/>
      <c r="D133" s="530"/>
      <c r="E133" s="520"/>
      <c r="F133" s="424" t="s">
        <v>467</v>
      </c>
      <c r="G133" s="543"/>
      <c r="H133" s="316"/>
      <c r="I133" s="335"/>
    </row>
    <row r="134" spans="1:9" ht="16.2" thickBot="1">
      <c r="A134" s="554" t="s">
        <v>11</v>
      </c>
      <c r="B134" s="555" t="s">
        <v>11</v>
      </c>
      <c r="C134" s="556" t="s">
        <v>69</v>
      </c>
      <c r="D134" s="557"/>
      <c r="E134" s="557" t="s">
        <v>11</v>
      </c>
      <c r="F134" s="545" t="s">
        <v>468</v>
      </c>
      <c r="G134" s="544"/>
      <c r="H134" s="316"/>
      <c r="I134" s="335"/>
    </row>
    <row r="135" spans="1:9" ht="15">
      <c r="A135" s="424" t="s">
        <v>430</v>
      </c>
      <c r="B135" s="134">
        <f>PGL_Requirements!J7</f>
        <v>0</v>
      </c>
      <c r="C135" s="8"/>
      <c r="D135" s="8"/>
      <c r="E135" s="8"/>
      <c r="F135" s="546" t="s">
        <v>469</v>
      </c>
      <c r="G135" s="544"/>
      <c r="H135" s="349"/>
      <c r="I135" s="335"/>
    </row>
    <row r="136" spans="1:9" ht="15">
      <c r="A136" s="424" t="s">
        <v>444</v>
      </c>
      <c r="B136" s="323">
        <f>NSG_Supplies!O7/1011</f>
        <v>0</v>
      </c>
      <c r="C136" s="312"/>
      <c r="D136" s="312"/>
      <c r="E136" s="312"/>
      <c r="F136" s="424" t="s">
        <v>470</v>
      </c>
      <c r="G136" s="543"/>
      <c r="H136" s="351"/>
      <c r="I136" s="335"/>
    </row>
    <row r="137" spans="1:9" ht="15">
      <c r="A137" s="424" t="s">
        <v>445</v>
      </c>
      <c r="B137" s="323">
        <f>PGL_Supplies!AA7/1000</f>
        <v>0</v>
      </c>
      <c r="C137" s="593"/>
      <c r="D137" s="312"/>
      <c r="E137" s="312"/>
      <c r="F137" s="424" t="s">
        <v>471</v>
      </c>
      <c r="G137" s="543"/>
      <c r="H137" s="316"/>
      <c r="I137" s="335"/>
    </row>
    <row r="138" spans="1:9" ht="15">
      <c r="A138" s="424" t="s">
        <v>446</v>
      </c>
      <c r="B138" s="134">
        <f>PGL_Requirements!D7</f>
        <v>0</v>
      </c>
      <c r="C138" s="312"/>
      <c r="D138" s="312"/>
      <c r="E138" s="312"/>
      <c r="F138" s="424" t="s">
        <v>403</v>
      </c>
      <c r="G138" s="543"/>
      <c r="H138" s="351"/>
      <c r="I138" s="335"/>
    </row>
    <row r="139" spans="1:9" ht="15">
      <c r="A139" s="424" t="s">
        <v>447</v>
      </c>
      <c r="B139" s="323">
        <f>PGL_Supplies!D7/1000</f>
        <v>0</v>
      </c>
      <c r="C139" s="312"/>
      <c r="D139" s="312"/>
      <c r="E139" s="312"/>
      <c r="F139" s="369" t="s">
        <v>472</v>
      </c>
      <c r="G139" s="547"/>
      <c r="H139" s="538"/>
      <c r="I139" s="335"/>
    </row>
    <row r="140" spans="1:9" ht="15.6" thickBot="1">
      <c r="A140" s="424" t="s">
        <v>393</v>
      </c>
      <c r="B140" s="323">
        <f>PGL_Supplies!V7/1000</f>
        <v>176.70400000000001</v>
      </c>
      <c r="C140" s="348"/>
      <c r="D140" s="348"/>
      <c r="E140" s="348"/>
      <c r="F140" s="369" t="s">
        <v>473</v>
      </c>
      <c r="G140" s="547"/>
      <c r="H140" s="549"/>
      <c r="I140" s="335"/>
    </row>
    <row r="141" spans="1:9" ht="16.2" thickBot="1">
      <c r="A141" s="558" t="s">
        <v>443</v>
      </c>
      <c r="B141" s="560">
        <f>-B135+B136+B137-B138+B139+B140</f>
        <v>176.70400000000001</v>
      </c>
      <c r="C141" s="561"/>
      <c r="D141" s="530"/>
      <c r="E141" s="531"/>
      <c r="F141" s="550" t="s">
        <v>224</v>
      </c>
      <c r="G141" s="551"/>
      <c r="H141" s="552"/>
      <c r="I141" s="335"/>
    </row>
    <row r="142" spans="1:9" ht="16.2" thickBot="1">
      <c r="A142" s="554" t="s">
        <v>11</v>
      </c>
      <c r="B142" s="559" t="s">
        <v>11</v>
      </c>
      <c r="C142" s="556" t="s">
        <v>60</v>
      </c>
      <c r="D142" s="557"/>
      <c r="E142" s="557"/>
      <c r="F142" s="527" t="s">
        <v>11</v>
      </c>
      <c r="G142" s="528" t="s">
        <v>474</v>
      </c>
      <c r="H142" s="528" t="s">
        <v>11</v>
      </c>
      <c r="I142" s="359"/>
    </row>
    <row r="143" spans="1:9" ht="15">
      <c r="A143" s="424" t="s">
        <v>72</v>
      </c>
      <c r="B143" s="323">
        <f>PGL_Requirements!P7/1000</f>
        <v>103.33</v>
      </c>
      <c r="C143" s="312"/>
      <c r="D143" s="312"/>
      <c r="E143" s="312"/>
      <c r="F143" s="567" t="s">
        <v>426</v>
      </c>
      <c r="G143" s="540"/>
      <c r="H143" s="562" t="s">
        <v>11</v>
      </c>
      <c r="I143" s="365">
        <f>NSG_Supplies!AC7/1000</f>
        <v>0</v>
      </c>
    </row>
    <row r="144" spans="1:9" ht="15">
      <c r="A144" s="424" t="s">
        <v>448</v>
      </c>
      <c r="B144" s="323">
        <f>PGL_Supplies!M7/1000</f>
        <v>0</v>
      </c>
      <c r="C144" s="312"/>
      <c r="D144" s="312"/>
      <c r="E144" s="312"/>
      <c r="F144" s="360" t="s">
        <v>475</v>
      </c>
      <c r="G144" s="312"/>
      <c r="H144" s="387" t="s">
        <v>11</v>
      </c>
      <c r="I144" s="365">
        <f>NSG_Supplies!O7/1000</f>
        <v>0</v>
      </c>
    </row>
    <row r="145" spans="1:9" ht="15.6" thickBot="1">
      <c r="A145" s="424" t="s">
        <v>449</v>
      </c>
      <c r="B145" s="323">
        <f>PGL_Requirements!B7/1000</f>
        <v>0</v>
      </c>
      <c r="C145" s="312"/>
      <c r="D145" s="312"/>
      <c r="E145" s="312"/>
      <c r="F145" s="536" t="s">
        <v>476</v>
      </c>
      <c r="G145" s="354"/>
      <c r="H145" s="525" t="s">
        <v>11</v>
      </c>
      <c r="I145" s="406"/>
    </row>
    <row r="146" spans="1:9" ht="15.6" thickBot="1">
      <c r="A146" s="424" t="s">
        <v>450</v>
      </c>
      <c r="B146" s="323">
        <f>PGL_Supplies!H7/1000</f>
        <v>1.6719999999999999</v>
      </c>
      <c r="C146" s="312"/>
      <c r="D146" s="312"/>
      <c r="E146" s="312"/>
      <c r="F146" s="564" t="s">
        <v>452</v>
      </c>
      <c r="G146" s="530"/>
      <c r="H146" s="565" t="s">
        <v>11</v>
      </c>
      <c r="I146" s="566" t="e">
        <f>PGL_Requirements!#REF!/1000</f>
        <v>#REF!</v>
      </c>
    </row>
    <row r="147" spans="1:9" ht="16.2" thickBot="1">
      <c r="A147" s="369" t="s">
        <v>427</v>
      </c>
      <c r="B147" s="323" t="s">
        <v>11</v>
      </c>
      <c r="C147" s="312"/>
      <c r="D147" s="312"/>
      <c r="E147" s="312"/>
      <c r="F147" s="357" t="s">
        <v>477</v>
      </c>
      <c r="G147" s="358"/>
      <c r="H147" s="358"/>
      <c r="I147" s="359"/>
    </row>
    <row r="148" spans="1:9" ht="15.6" thickBot="1">
      <c r="A148" s="424" t="s">
        <v>451</v>
      </c>
      <c r="B148" s="323">
        <f>PGL_Requirements!Q7/1000</f>
        <v>1.5499499999999999</v>
      </c>
      <c r="C148" s="348"/>
      <c r="D148" s="348"/>
      <c r="E148" s="348"/>
      <c r="F148" s="541" t="s">
        <v>478</v>
      </c>
      <c r="G148" s="542"/>
      <c r="H148" s="568" t="s">
        <v>11</v>
      </c>
      <c r="I148" s="569">
        <f>+NSG_Supplies!Z7/1000</f>
        <v>0</v>
      </c>
    </row>
    <row r="149" spans="1:9" ht="16.2" thickBot="1">
      <c r="A149" s="517" t="s">
        <v>452</v>
      </c>
      <c r="B149" s="518">
        <f>B144+B146</f>
        <v>1.6719999999999999</v>
      </c>
      <c r="C149" s="519"/>
      <c r="D149" s="519"/>
      <c r="E149" s="520"/>
      <c r="F149" s="424" t="s">
        <v>11</v>
      </c>
      <c r="G149" s="543"/>
      <c r="H149" s="570" t="s">
        <v>11</v>
      </c>
      <c r="I149" s="571">
        <f>NSG_Supplies!AA7/1000</f>
        <v>0</v>
      </c>
    </row>
    <row r="150" spans="1:9" ht="15.6" thickBot="1">
      <c r="A150" s="424" t="s">
        <v>218</v>
      </c>
      <c r="B150" s="521">
        <f>PGL_Deliveries!AE5</f>
        <v>0</v>
      </c>
      <c r="C150" s="522"/>
      <c r="D150" s="522"/>
      <c r="E150" s="523"/>
      <c r="F150" s="564" t="s">
        <v>452</v>
      </c>
      <c r="G150" s="530"/>
      <c r="H150" s="565" t="s">
        <v>11</v>
      </c>
      <c r="I150" s="566" t="e">
        <f>PGL_Requirements!#REF!/1000</f>
        <v>#REF!</v>
      </c>
    </row>
    <row r="151" spans="1:9" ht="16.2" thickBot="1">
      <c r="A151" s="424" t="s">
        <v>216</v>
      </c>
      <c r="B151" s="521">
        <f>PGL_Deliveries!AG5</f>
        <v>0</v>
      </c>
      <c r="C151" s="376"/>
      <c r="D151" s="376"/>
      <c r="E151" s="376"/>
      <c r="F151" s="357" t="s">
        <v>421</v>
      </c>
      <c r="G151" s="358"/>
      <c r="H151" s="358"/>
      <c r="I151" s="359"/>
    </row>
    <row r="152" spans="1:9" ht="16.2" thickBot="1">
      <c r="A152" s="345" t="s">
        <v>11</v>
      </c>
      <c r="B152" s="326"/>
      <c r="C152" s="516" t="s">
        <v>37</v>
      </c>
      <c r="D152" s="346"/>
      <c r="E152" s="482" t="s">
        <v>11</v>
      </c>
      <c r="F152" s="541" t="s">
        <v>479</v>
      </c>
      <c r="G152" s="542"/>
      <c r="H152" s="573"/>
      <c r="I152" s="387">
        <f>PGL_Requirements!T7/1000</f>
        <v>0</v>
      </c>
    </row>
    <row r="153" spans="1:9" ht="15">
      <c r="A153" s="424" t="s">
        <v>453</v>
      </c>
      <c r="B153" s="387">
        <f>PGL_Requirements!N7/1000</f>
        <v>0</v>
      </c>
      <c r="C153" s="312"/>
      <c r="D153" s="312"/>
      <c r="E153" s="379"/>
      <c r="F153" s="537" t="s">
        <v>480</v>
      </c>
      <c r="G153" s="544"/>
      <c r="H153" s="539"/>
      <c r="I153" s="387">
        <f>PGL_Requirements!T7/1000</f>
        <v>0</v>
      </c>
    </row>
    <row r="154" spans="1:9" ht="15">
      <c r="A154" s="424" t="s">
        <v>454</v>
      </c>
      <c r="B154" s="323">
        <f>PGL_Supplies!AE7/1000</f>
        <v>0</v>
      </c>
      <c r="C154" s="380" t="s">
        <v>11</v>
      </c>
      <c r="D154" s="312"/>
      <c r="E154" s="381"/>
      <c r="F154" s="536" t="s">
        <v>481</v>
      </c>
      <c r="G154" s="543"/>
      <c r="H154" s="539"/>
      <c r="I154" s="323">
        <f>PGL_Supplies!AL7/1000</f>
        <v>0</v>
      </c>
    </row>
    <row r="155" spans="1:9" ht="15">
      <c r="A155" s="424" t="s">
        <v>455</v>
      </c>
      <c r="B155" s="387">
        <f>PGL_Requirements!F7/1000</f>
        <v>0</v>
      </c>
      <c r="C155" s="380" t="s">
        <v>11</v>
      </c>
      <c r="D155" s="312"/>
      <c r="E155" s="381"/>
      <c r="F155" s="424" t="s">
        <v>109</v>
      </c>
      <c r="G155" s="572"/>
      <c r="H155" s="539"/>
      <c r="I155" s="323">
        <f>PGL_Supplies!AL8/1000</f>
        <v>0</v>
      </c>
    </row>
    <row r="156" spans="1:9" ht="15.6" thickBot="1">
      <c r="A156" s="424" t="s">
        <v>456</v>
      </c>
      <c r="B156" s="323">
        <f>PGL_Supplies!G7/1000</f>
        <v>0</v>
      </c>
      <c r="C156" s="388" t="s">
        <v>11</v>
      </c>
      <c r="D156" s="312"/>
      <c r="E156" s="381"/>
      <c r="F156" s="369" t="s">
        <v>393</v>
      </c>
      <c r="G156" s="572"/>
      <c r="H156" s="549"/>
      <c r="I156" s="323">
        <f>PGL_Supplies!AL9/1000</f>
        <v>0</v>
      </c>
    </row>
    <row r="157" spans="1:9" ht="15.6">
      <c r="A157" s="424" t="s">
        <v>457</v>
      </c>
      <c r="B157" s="387">
        <f>PGL_Requirements!T7/1000</f>
        <v>0</v>
      </c>
      <c r="C157" s="380" t="s">
        <v>11</v>
      </c>
      <c r="D157" s="312"/>
      <c r="E157" s="381"/>
      <c r="F157" s="574" t="s">
        <v>482</v>
      </c>
      <c r="G157" s="575"/>
      <c r="H157" s="573"/>
      <c r="I157" s="576">
        <v>0</v>
      </c>
    </row>
    <row r="158" spans="1:9" ht="15.6" thickBot="1">
      <c r="A158" s="424" t="s">
        <v>458</v>
      </c>
      <c r="B158" s="323">
        <f>PGL_Supplies!P7/1000</f>
        <v>0</v>
      </c>
      <c r="C158" s="388" t="s">
        <v>11</v>
      </c>
      <c r="D158" s="312"/>
      <c r="E158" s="490"/>
      <c r="F158" s="577" t="s">
        <v>483</v>
      </c>
      <c r="G158" s="391"/>
      <c r="H158" s="578"/>
      <c r="I158" s="579">
        <v>0</v>
      </c>
    </row>
    <row r="159" spans="1:9" ht="16.2" thickBot="1">
      <c r="A159" s="424" t="s">
        <v>109</v>
      </c>
      <c r="B159" s="323">
        <f>PGL_Supplies!AD7/1000</f>
        <v>0</v>
      </c>
      <c r="C159" s="388" t="s">
        <v>11</v>
      </c>
      <c r="D159" s="312"/>
      <c r="E159" s="381"/>
      <c r="F159" s="527" t="s">
        <v>251</v>
      </c>
      <c r="G159" s="528"/>
      <c r="H159" s="529"/>
      <c r="I159" s="359"/>
    </row>
    <row r="160" spans="1:9" ht="15.6" thickBot="1">
      <c r="A160" s="424" t="s">
        <v>393</v>
      </c>
      <c r="B160" s="610">
        <f>PGL_Supplies!Y7/1000</f>
        <v>157.29400000000001</v>
      </c>
      <c r="C160" s="526" t="s">
        <v>11</v>
      </c>
      <c r="D160" s="348"/>
      <c r="E160" s="524"/>
      <c r="F160" s="580" t="s">
        <v>484</v>
      </c>
      <c r="G160" s="540" t="s">
        <v>11</v>
      </c>
      <c r="H160" s="522"/>
      <c r="I160" s="585"/>
    </row>
    <row r="161" spans="1:9" ht="16.2" thickBot="1">
      <c r="A161" s="594" t="s">
        <v>459</v>
      </c>
      <c r="B161" s="612"/>
      <c r="C161" s="532" t="s">
        <v>11</v>
      </c>
      <c r="D161" s="533"/>
      <c r="E161" s="534"/>
      <c r="F161" s="563" t="s">
        <v>485</v>
      </c>
      <c r="G161" s="348"/>
      <c r="H161" s="583"/>
      <c r="I161" s="584" t="s">
        <v>11</v>
      </c>
    </row>
    <row r="162" spans="1:9" ht="16.2" thickBot="1">
      <c r="A162" s="398" t="s">
        <v>452</v>
      </c>
      <c r="B162" s="611">
        <f>B154+B156+B158+B159+B160-B153-B155-B157-B161</f>
        <v>157.29400000000001</v>
      </c>
      <c r="C162" s="399"/>
      <c r="D162" s="400"/>
      <c r="E162" s="535"/>
      <c r="F162" s="581" t="s">
        <v>255</v>
      </c>
      <c r="G162" s="530"/>
      <c r="H162" s="519"/>
      <c r="I162" s="582"/>
    </row>
    <row r="163" spans="1:9" ht="12" thickBot="1">
      <c r="A163" s="595"/>
      <c r="B163" s="596" t="s">
        <v>486</v>
      </c>
      <c r="C163" s="596"/>
      <c r="D163" s="596" t="s">
        <v>487</v>
      </c>
      <c r="E163" s="596"/>
      <c r="F163" s="596"/>
      <c r="G163" s="596"/>
      <c r="H163" s="597" t="s">
        <v>258</v>
      </c>
      <c r="I163" s="598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5" t="s">
        <v>259</v>
      </c>
      <c r="B2" s="195" t="s">
        <v>259</v>
      </c>
      <c r="C2" s="195" t="s">
        <v>259</v>
      </c>
      <c r="D2" s="195" t="s">
        <v>259</v>
      </c>
      <c r="E2" s="195" t="s">
        <v>259</v>
      </c>
      <c r="F2" s="195" t="s">
        <v>259</v>
      </c>
      <c r="G2" s="195" t="s">
        <v>259</v>
      </c>
      <c r="H2" s="195" t="s">
        <v>259</v>
      </c>
      <c r="I2" s="195" t="s">
        <v>259</v>
      </c>
      <c r="J2" s="6"/>
    </row>
    <row r="14" spans="1:10" ht="30">
      <c r="A14" s="195" t="s">
        <v>266</v>
      </c>
      <c r="B14" s="195" t="s">
        <v>266</v>
      </c>
      <c r="C14" s="195" t="s">
        <v>266</v>
      </c>
      <c r="D14" s="195" t="s">
        <v>266</v>
      </c>
      <c r="E14" s="195" t="s">
        <v>266</v>
      </c>
      <c r="F14" s="195" t="s">
        <v>266</v>
      </c>
      <c r="G14" s="195" t="s">
        <v>266</v>
      </c>
      <c r="H14" s="195" t="s">
        <v>266</v>
      </c>
      <c r="I14" s="195" t="s">
        <v>266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5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6" t="s">
        <v>260</v>
      </c>
      <c r="D5" s="124" t="s">
        <v>382</v>
      </c>
      <c r="F5" s="196" t="s">
        <v>261</v>
      </c>
      <c r="G5" s="124" t="s">
        <v>383</v>
      </c>
    </row>
    <row r="6" spans="1:10">
      <c r="D6" s="163" t="s">
        <v>262</v>
      </c>
      <c r="G6" s="163" t="s">
        <v>263</v>
      </c>
    </row>
    <row r="7" spans="1:10">
      <c r="D7" s="163" t="s">
        <v>263</v>
      </c>
    </row>
    <row r="8" spans="1:10">
      <c r="G8" s="124" t="s">
        <v>384</v>
      </c>
    </row>
    <row r="9" spans="1:10">
      <c r="D9" s="124" t="s">
        <v>386</v>
      </c>
      <c r="G9" s="124" t="s">
        <v>385</v>
      </c>
    </row>
    <row r="10" spans="1:10">
      <c r="D10" s="124" t="s">
        <v>387</v>
      </c>
    </row>
    <row r="11" spans="1:10" ht="15.6">
      <c r="D11" s="196" t="s">
        <v>264</v>
      </c>
    </row>
    <row r="12" spans="1:10" ht="15.6">
      <c r="D12" s="196" t="s">
        <v>265</v>
      </c>
    </row>
    <row r="14" spans="1:10" ht="30">
      <c r="A14" s="195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4"/>
      <c r="D17" s="6"/>
      <c r="E17" s="6"/>
      <c r="F17" s="6"/>
      <c r="G17" s="6"/>
      <c r="H17" s="6"/>
      <c r="I17" s="6"/>
    </row>
    <row r="18" spans="2:9" ht="15.6">
      <c r="B18" s="194" t="s">
        <v>269</v>
      </c>
      <c r="C18" s="194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3" t="s">
        <v>391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270</v>
      </c>
      <c r="D22" s="165">
        <f ca="1">NOW()</f>
        <v>37026.458898611112</v>
      </c>
      <c r="F22" s="163" t="s">
        <v>271</v>
      </c>
      <c r="G22" s="190">
        <f ca="1">NOW()</f>
        <v>37026.458898611112</v>
      </c>
    </row>
    <row r="24" spans="2:9">
      <c r="B24" s="163" t="s">
        <v>272</v>
      </c>
      <c r="D24" s="228" t="s">
        <v>407</v>
      </c>
      <c r="E24" t="s">
        <v>11</v>
      </c>
      <c r="F24" s="163" t="s">
        <v>273</v>
      </c>
      <c r="G24" s="164" t="s">
        <v>274</v>
      </c>
    </row>
    <row r="25" spans="2:9" ht="15.6" thickBot="1"/>
    <row r="26" spans="2:9" ht="15.6" thickBot="1">
      <c r="B26" s="208" t="s">
        <v>11</v>
      </c>
      <c r="C26" s="163" t="s">
        <v>275</v>
      </c>
    </row>
    <row r="27" spans="2:9" ht="15.6" thickBot="1">
      <c r="B27" s="208" t="s">
        <v>11</v>
      </c>
      <c r="C27" s="163" t="s">
        <v>276</v>
      </c>
    </row>
    <row r="28" spans="2:9" ht="15.6" thickBot="1">
      <c r="B28" s="208" t="s">
        <v>408</v>
      </c>
      <c r="C28" s="124" t="s">
        <v>388</v>
      </c>
    </row>
    <row r="29" spans="2:9">
      <c r="B29" t="s">
        <v>11</v>
      </c>
      <c r="C29" s="163" t="s">
        <v>389</v>
      </c>
    </row>
    <row r="30" spans="2:9">
      <c r="C30" s="163" t="s">
        <v>11</v>
      </c>
    </row>
    <row r="32" spans="2:9">
      <c r="B32" s="163" t="s">
        <v>277</v>
      </c>
      <c r="E32" s="448">
        <v>35915</v>
      </c>
    </row>
    <row r="34" spans="2:8" ht="15.6">
      <c r="B34" s="163" t="s">
        <v>278</v>
      </c>
      <c r="E34" s="189">
        <v>0</v>
      </c>
      <c r="F34" t="s">
        <v>279</v>
      </c>
    </row>
    <row r="36" spans="2:8" ht="15.6">
      <c r="B36" s="163" t="s">
        <v>280</v>
      </c>
      <c r="E36" s="189">
        <v>0</v>
      </c>
      <c r="F36" t="s">
        <v>279</v>
      </c>
    </row>
    <row r="38" spans="2:8" ht="15.6">
      <c r="B38" t="s">
        <v>281</v>
      </c>
      <c r="E38" s="165">
        <f>+E32+1</f>
        <v>35916</v>
      </c>
      <c r="F38" s="189">
        <v>0</v>
      </c>
      <c r="G38" t="s">
        <v>279</v>
      </c>
    </row>
    <row r="39" spans="2:8" ht="15.6">
      <c r="E39" s="165">
        <f>+E38+1</f>
        <v>35917</v>
      </c>
      <c r="F39" s="189">
        <v>0</v>
      </c>
      <c r="G39" t="s">
        <v>279</v>
      </c>
    </row>
    <row r="40" spans="2:8" ht="15.6">
      <c r="E40" s="165">
        <f>+E39+1</f>
        <v>35918</v>
      </c>
      <c r="F40" s="189">
        <v>0</v>
      </c>
      <c r="G40" t="s">
        <v>279</v>
      </c>
    </row>
    <row r="41" spans="2:8" ht="15.6">
      <c r="E41" s="165">
        <f>+E40+1</f>
        <v>35919</v>
      </c>
      <c r="F41" s="189">
        <v>0</v>
      </c>
      <c r="G41" t="s">
        <v>279</v>
      </c>
    </row>
    <row r="42" spans="2:8" ht="15.6">
      <c r="E42" s="165">
        <f>+E41+1</f>
        <v>35920</v>
      </c>
      <c r="F42" s="189">
        <v>0</v>
      </c>
      <c r="G42" t="s">
        <v>279</v>
      </c>
    </row>
    <row r="44" spans="2:8">
      <c r="B44" s="163" t="s">
        <v>282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283</v>
      </c>
      <c r="C47" s="186" t="s">
        <v>11</v>
      </c>
      <c r="D47" s="188"/>
    </row>
    <row r="48" spans="2:8">
      <c r="B48" s="187"/>
      <c r="C48" s="186" t="s">
        <v>11</v>
      </c>
      <c r="D48" s="188"/>
    </row>
    <row r="49" spans="2:4">
      <c r="B49" s="187"/>
      <c r="C49" s="441" t="s">
        <v>390</v>
      </c>
      <c r="D49" s="188"/>
    </row>
    <row r="50" spans="2:4">
      <c r="B50" s="187"/>
      <c r="C50" s="186" t="s">
        <v>284</v>
      </c>
    </row>
    <row r="51" spans="2:4">
      <c r="B51" s="187"/>
      <c r="C51" s="186" t="s">
        <v>285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286</v>
      </c>
      <c r="E4" s="90"/>
      <c r="F4" s="90" t="s">
        <v>287</v>
      </c>
      <c r="G4" s="90"/>
      <c r="H4" s="93"/>
      <c r="I4" s="92" t="s">
        <v>288</v>
      </c>
    </row>
    <row r="5" spans="1:109" ht="15">
      <c r="A5" s="18" t="str">
        <f>CHOOSE(WEEKDAY(B5),"Sunday","Monday","Tuesday","Wednesday","Thursday","Friday","Saturday")</f>
        <v>Monday</v>
      </c>
      <c r="B5" s="21">
        <f>Weather_Input!A5</f>
        <v>37025</v>
      </c>
      <c r="C5" s="15"/>
      <c r="D5" s="22" t="s">
        <v>289</v>
      </c>
      <c r="E5" s="23">
        <f>Weather_Input!B5</f>
        <v>73</v>
      </c>
      <c r="F5" s="24" t="s">
        <v>290</v>
      </c>
      <c r="G5" s="25">
        <f>Weather_Input!H5</f>
        <v>11</v>
      </c>
      <c r="H5" s="26" t="s">
        <v>291</v>
      </c>
      <c r="I5" s="27">
        <f ca="1">G5-(VLOOKUP(B5,DD_Normal_Data,CELL("Col",B6),FALSE))</f>
        <v>4</v>
      </c>
    </row>
    <row r="6" spans="1:109" ht="15">
      <c r="A6" s="18"/>
      <c r="B6" s="21"/>
      <c r="C6" s="15"/>
      <c r="D6" s="22" t="s">
        <v>176</v>
      </c>
      <c r="E6" s="23">
        <f>Weather_Input!C5</f>
        <v>53</v>
      </c>
      <c r="F6" s="24" t="s">
        <v>292</v>
      </c>
      <c r="G6" s="25">
        <f>Weather_Input!F5</f>
        <v>76</v>
      </c>
      <c r="H6" s="26" t="s">
        <v>293</v>
      </c>
      <c r="I6" s="27">
        <f ca="1">G6-(VLOOKUP(B5,DD_Normal_Data,CELL("Col",C7),FALSE))</f>
        <v>-53</v>
      </c>
      <c r="J6" s="28"/>
      <c r="DE6" s="14" t="s">
        <v>16</v>
      </c>
    </row>
    <row r="7" spans="1:109" ht="15">
      <c r="A7" s="18"/>
      <c r="B7" s="21"/>
      <c r="C7" s="15"/>
      <c r="D7" s="22" t="s">
        <v>294</v>
      </c>
      <c r="E7" s="29">
        <f>IF(Weather_Input!E5="N/A",(Weather_Input!C5+Weather_Input!B5)/2,Weather_Input!E5)</f>
        <v>61.8</v>
      </c>
      <c r="F7" s="24" t="s">
        <v>295</v>
      </c>
      <c r="G7" s="25">
        <f>Weather_Input!G5</f>
        <v>6583</v>
      </c>
      <c r="H7" s="26" t="s">
        <v>295</v>
      </c>
      <c r="I7" s="122">
        <f ca="1">G7-(VLOOKUP(B5,DD_Normal_Data,CELL("Col",D4),FALSE))</f>
        <v>303</v>
      </c>
      <c r="J7" s="122"/>
    </row>
    <row r="8" spans="1:109" ht="15">
      <c r="A8" s="18"/>
      <c r="B8" s="20"/>
      <c r="C8" s="15"/>
      <c r="D8" s="32" t="str">
        <f>IF(Weather_Input!I5=""," ",Weather_Input!I5)</f>
        <v>INCREASING CLOUDS, WITH A CHANCE OF SHOWERS AND T-STORMS THIS AFTER-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NOON. CHANCE OF RAIN 60%.CLOUDY  WITH SHOWERS AT NIGHT.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Tuesday</v>
      </c>
      <c r="B10" s="21">
        <f>Weather_Input!A6</f>
        <v>37026</v>
      </c>
      <c r="C10" s="15"/>
      <c r="D10" s="152" t="s">
        <v>289</v>
      </c>
      <c r="E10" s="23">
        <f>Weather_Input!B6</f>
        <v>87</v>
      </c>
      <c r="F10" s="24" t="s">
        <v>290</v>
      </c>
      <c r="G10" s="25">
        <f>IF(E12&lt;65,65-(Weather_Input!B6+Weather_Input!C6)/2,0)</f>
        <v>0</v>
      </c>
      <c r="H10" s="26" t="s">
        <v>291</v>
      </c>
      <c r="I10" s="27">
        <f ca="1">G10-(VLOOKUP(B10,DD_Normal_Data,CELL("Col",B11),FALSE))</f>
        <v>-7</v>
      </c>
    </row>
    <row r="11" spans="1:109" ht="15">
      <c r="A11" s="18"/>
      <c r="B11" s="21"/>
      <c r="C11" s="15"/>
      <c r="D11" s="22" t="s">
        <v>176</v>
      </c>
      <c r="E11" s="23">
        <f>Weather_Input!C6</f>
        <v>67</v>
      </c>
      <c r="F11" s="24" t="s">
        <v>292</v>
      </c>
      <c r="G11" s="25">
        <f>IF(DAY(B10)=1,G10,G6+G10)</f>
        <v>76</v>
      </c>
      <c r="H11" s="30" t="s">
        <v>293</v>
      </c>
      <c r="I11" s="27">
        <f ca="1">G11-(VLOOKUP(B10,DD_Normal_Data,CELL("Col",C12),FALSE))</f>
        <v>-60</v>
      </c>
      <c r="DE11" s="14" t="s">
        <v>296</v>
      </c>
    </row>
    <row r="12" spans="1:109" ht="15">
      <c r="A12" s="18"/>
      <c r="B12" s="20"/>
      <c r="C12" s="15"/>
      <c r="D12" s="22" t="s">
        <v>294</v>
      </c>
      <c r="E12" s="23">
        <f>(Weather_Input!C6+Weather_Input!B6)/2</f>
        <v>77</v>
      </c>
      <c r="F12" s="24" t="s">
        <v>295</v>
      </c>
      <c r="G12" s="25">
        <f>IF(AND(DAY(B10)=1,MONTH(B10)=8),G10,G7+G10)</f>
        <v>6583</v>
      </c>
      <c r="H12" s="26" t="s">
        <v>295</v>
      </c>
      <c r="I12" s="27">
        <f ca="1">G12-(VLOOKUP(B10,DD_Normal_Data,CELL("Col",D9),FALSE))</f>
        <v>296</v>
      </c>
    </row>
    <row r="13" spans="1:109" ht="15">
      <c r="A13" s="18"/>
      <c r="B13" s="21"/>
      <c r="C13" s="15"/>
      <c r="D13" s="32" t="str">
        <f>IF(Weather_Input!I6=""," ",Weather_Input!I6)</f>
        <v>PARTLY SUNNY AND WARMER. 30% CHANCE OF RAIN IN THE AFTERNOON. TO-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NIGHT CLOUDY WITH A 40% CHANCE OF RAIN. LOW IN THE 60S HIGH IN THE LOW 80S.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Wednesday</v>
      </c>
      <c r="B15" s="21">
        <f>Weather_Input!A7</f>
        <v>37027</v>
      </c>
      <c r="C15" s="15"/>
      <c r="D15" s="22" t="s">
        <v>289</v>
      </c>
      <c r="E15" s="23">
        <f>Weather_Input!B7</f>
        <v>79</v>
      </c>
      <c r="F15" s="24" t="s">
        <v>290</v>
      </c>
      <c r="G15" s="25">
        <f>IF(E17&lt;65,65-(Weather_Input!B7+Weather_Input!C7)/2,0)</f>
        <v>0</v>
      </c>
      <c r="H15" s="26" t="s">
        <v>291</v>
      </c>
      <c r="I15" s="27">
        <f ca="1">G15-(VLOOKUP(B15,DD_Normal_Data,CELL("Col",B16),FALSE))</f>
        <v>-7</v>
      </c>
    </row>
    <row r="16" spans="1:109" ht="15">
      <c r="A16" s="18"/>
      <c r="B16" s="20"/>
      <c r="C16" s="15"/>
      <c r="D16" s="22" t="s">
        <v>176</v>
      </c>
      <c r="E16" s="23">
        <f>Weather_Input!C7</f>
        <v>65</v>
      </c>
      <c r="F16" s="24" t="s">
        <v>292</v>
      </c>
      <c r="G16" s="25">
        <f>IF(DAY(B15)=1,G15,G11+G15)</f>
        <v>76</v>
      </c>
      <c r="H16" s="30" t="s">
        <v>293</v>
      </c>
      <c r="I16" s="27">
        <f ca="1">G16-(VLOOKUP(B15,DD_Normal_Data,CELL("Col",C17),FALSE))</f>
        <v>-67</v>
      </c>
      <c r="DE16" s="14" t="s">
        <v>34</v>
      </c>
    </row>
    <row r="17" spans="1:109" ht="15">
      <c r="A17" s="18"/>
      <c r="B17" s="21"/>
      <c r="C17" s="15"/>
      <c r="D17" s="22" t="s">
        <v>294</v>
      </c>
      <c r="E17" s="23">
        <f>(Weather_Input!C7+Weather_Input!B7)/2</f>
        <v>72</v>
      </c>
      <c r="F17" s="24" t="s">
        <v>295</v>
      </c>
      <c r="G17" s="25">
        <f>IF(AND(DAY(B15)=1,MONTH(B15)=8),G15,G12+G15)</f>
        <v>6583</v>
      </c>
      <c r="H17" s="26" t="s">
        <v>295</v>
      </c>
      <c r="I17" s="27">
        <f ca="1">G17-(VLOOKUP(B15,DD_Normal_Data,CELL("Col",D14),FALSE))</f>
        <v>289</v>
      </c>
    </row>
    <row r="18" spans="1:109" ht="15">
      <c r="A18" s="18"/>
      <c r="B18" s="20"/>
      <c r="C18" s="15"/>
      <c r="D18" s="32" t="str">
        <f>IF(Weather_Input!I7=""," ",Weather_Input!I7)</f>
        <v xml:space="preserve">CLOUDY WITH A 30% CHANCE OF RAIN. HIGH IN THE LOWER 80S. BUT TURNING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>COOLER NEAR THE LAKE. FAIR AND IN THE UPPER 50S AT NIGHT.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Thursday</v>
      </c>
      <c r="B20" s="21">
        <f>Weather_Input!A8</f>
        <v>37028</v>
      </c>
      <c r="C20" s="15"/>
      <c r="D20" s="22" t="s">
        <v>289</v>
      </c>
      <c r="E20" s="23">
        <f>Weather_Input!B8</f>
        <v>78</v>
      </c>
      <c r="F20" s="24" t="s">
        <v>290</v>
      </c>
      <c r="G20" s="25">
        <f>IF(E22&lt;65,65-(Weather_Input!B8+Weather_Input!C8)/2,0)</f>
        <v>0</v>
      </c>
      <c r="H20" s="26" t="s">
        <v>291</v>
      </c>
      <c r="I20" s="27">
        <f ca="1">G20-(VLOOKUP(B20,DD_Normal_Data,CELL("Col",B21),FALSE))</f>
        <v>-7</v>
      </c>
    </row>
    <row r="21" spans="1:109" ht="15">
      <c r="A21" s="18"/>
      <c r="B21" s="21"/>
      <c r="C21" s="15"/>
      <c r="D21" s="22" t="s">
        <v>176</v>
      </c>
      <c r="E21" s="23">
        <f>Weather_Input!C8</f>
        <v>58</v>
      </c>
      <c r="F21" s="24" t="s">
        <v>292</v>
      </c>
      <c r="G21" s="25">
        <f>IF(DAY(B20)=1,G20,G16+G20)</f>
        <v>76</v>
      </c>
      <c r="H21" s="30" t="s">
        <v>293</v>
      </c>
      <c r="I21" s="27">
        <f ca="1">G21-(VLOOKUP(B20,DD_Normal_Data,CELL("Col",C22),FALSE))</f>
        <v>-74</v>
      </c>
      <c r="DE21" s="14" t="s">
        <v>297</v>
      </c>
    </row>
    <row r="22" spans="1:109" ht="15">
      <c r="A22" s="18"/>
      <c r="B22" s="21"/>
      <c r="C22" s="15"/>
      <c r="D22" s="22" t="s">
        <v>294</v>
      </c>
      <c r="E22" s="23">
        <f>(Weather_Input!C8+Weather_Input!B8)/2</f>
        <v>68</v>
      </c>
      <c r="F22" s="24" t="s">
        <v>295</v>
      </c>
      <c r="G22" s="25">
        <f>IF(AND(DAY(B20)=1,MONTH(B20)=8),G20,G17+G20)</f>
        <v>6583</v>
      </c>
      <c r="H22" s="26" t="s">
        <v>295</v>
      </c>
      <c r="I22" s="27">
        <f ca="1">G22-(VLOOKUP(B20,DD_Normal_Data,CELL("Col",D19),FALSE))</f>
        <v>282</v>
      </c>
    </row>
    <row r="23" spans="1:109" ht="15">
      <c r="A23" s="18"/>
      <c r="B23" s="21"/>
      <c r="C23" s="15"/>
      <c r="D23" s="32" t="str">
        <f>IF(Weather_Input!I8=""," ",Weather_Input!I8)</f>
        <v>PARTLY CLOUDY WITH A CHANCE OF T-STORMS. HIGH NEAR 80.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Friday</v>
      </c>
      <c r="B25" s="21">
        <f>Weather_Input!A9</f>
        <v>37029</v>
      </c>
      <c r="C25" s="15"/>
      <c r="D25" s="22" t="s">
        <v>289</v>
      </c>
      <c r="E25" s="23">
        <f>Weather_Input!B9</f>
        <v>74</v>
      </c>
      <c r="F25" s="24" t="s">
        <v>290</v>
      </c>
      <c r="G25" s="25">
        <f>IF(E27&lt;65,65-(Weather_Input!B9+Weather_Input!C9)/2,0)</f>
        <v>0</v>
      </c>
      <c r="H25" s="26" t="s">
        <v>291</v>
      </c>
      <c r="I25" s="27">
        <f ca="1">G25-(VLOOKUP(B25,DD_Normal_Data,CELL("Col",B26),FALSE))</f>
        <v>-7</v>
      </c>
    </row>
    <row r="26" spans="1:109" ht="15">
      <c r="A26" s="18"/>
      <c r="B26" s="21"/>
      <c r="C26" s="15"/>
      <c r="D26" s="22" t="s">
        <v>176</v>
      </c>
      <c r="E26" s="23">
        <f>Weather_Input!C9</f>
        <v>58</v>
      </c>
      <c r="F26" s="24" t="s">
        <v>292</v>
      </c>
      <c r="G26" s="25">
        <f>IF(DAY(B25)=1,G25,G21+G25)</f>
        <v>76</v>
      </c>
      <c r="H26" s="30" t="s">
        <v>293</v>
      </c>
      <c r="I26" s="27">
        <f ca="1">G26-(VLOOKUP(B25,DD_Normal_Data,CELL("Col",C27),FALSE))</f>
        <v>-81</v>
      </c>
      <c r="DE26" s="14" t="s">
        <v>298</v>
      </c>
    </row>
    <row r="27" spans="1:109" ht="15">
      <c r="A27" s="18"/>
      <c r="B27" s="20"/>
      <c r="C27" s="15"/>
      <c r="D27" s="22" t="s">
        <v>294</v>
      </c>
      <c r="E27" s="23">
        <f>(Weather_Input!C9+Weather_Input!B9)/2</f>
        <v>66</v>
      </c>
      <c r="F27" s="24" t="s">
        <v>295</v>
      </c>
      <c r="G27" s="25">
        <f>IF(AND(DAY(B25)=1,MONTH(B25)=8),G25,G22+G25)</f>
        <v>6583</v>
      </c>
      <c r="H27" s="26" t="s">
        <v>295</v>
      </c>
      <c r="I27" s="27">
        <f ca="1">G27-(VLOOKUP(B25,DD_Normal_Data,CELL("Col",D24),FALSE))</f>
        <v>275</v>
      </c>
    </row>
    <row r="28" spans="1:109" ht="15">
      <c r="A28" s="18"/>
      <c r="B28" s="20"/>
      <c r="C28" s="15"/>
      <c r="D28" s="32" t="str">
        <f>IF(Weather_Input!I9=""," ",Weather_Input!I9)</f>
        <v xml:space="preserve">CLOUDY WITH A CHANCE OF T-STORMS. HIGH AROUND 75, LOW IN THE  HIGH 50S TO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>LOW 60S AT NIGHT.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Saturday</v>
      </c>
      <c r="B30" s="21">
        <f>Weather_Input!A10</f>
        <v>37030</v>
      </c>
      <c r="C30" s="15"/>
      <c r="D30" s="22" t="s">
        <v>289</v>
      </c>
      <c r="E30" s="23">
        <f>Weather_Input!B10</f>
        <v>72</v>
      </c>
      <c r="F30" s="24" t="s">
        <v>290</v>
      </c>
      <c r="G30" s="25">
        <f>IF(E32&lt;65,65-(Weather_Input!B10+Weather_Input!C10)/2,0)</f>
        <v>2.5</v>
      </c>
      <c r="H30" s="26" t="s">
        <v>291</v>
      </c>
      <c r="I30" s="27">
        <f ca="1">G30-(VLOOKUP(B30,DD_Normal_Data,CELL("Col",B31),FALSE))</f>
        <v>-4.5</v>
      </c>
    </row>
    <row r="31" spans="1:109" ht="15">
      <c r="A31" s="15"/>
      <c r="B31" s="15"/>
      <c r="C31" s="15"/>
      <c r="D31" s="22" t="s">
        <v>176</v>
      </c>
      <c r="E31" s="23">
        <f>Weather_Input!C10</f>
        <v>53</v>
      </c>
      <c r="F31" s="24" t="s">
        <v>292</v>
      </c>
      <c r="G31" s="25">
        <f>IF(DAY(B30)=1,G30,G26+G30)</f>
        <v>78.5</v>
      </c>
      <c r="H31" s="30" t="s">
        <v>293</v>
      </c>
      <c r="I31" s="27">
        <f ca="1">G31-(VLOOKUP(B30,DD_Normal_Data,CELL("Col",C32),FALSE))</f>
        <v>-85.5</v>
      </c>
      <c r="DE31" s="14" t="s">
        <v>33</v>
      </c>
    </row>
    <row r="32" spans="1:109" ht="15">
      <c r="A32" s="15"/>
      <c r="B32" s="15"/>
      <c r="C32" s="15"/>
      <c r="D32" s="22" t="s">
        <v>294</v>
      </c>
      <c r="E32" s="23">
        <f>(Weather_Input!C10+Weather_Input!B10)/2</f>
        <v>62.5</v>
      </c>
      <c r="F32" s="24" t="s">
        <v>295</v>
      </c>
      <c r="G32" s="25">
        <f>IF(AND(DAY(B30)=1,MONTH(B30)=8),G30,G27+G30)</f>
        <v>6585.5</v>
      </c>
      <c r="H32" s="26" t="s">
        <v>295</v>
      </c>
      <c r="I32" s="27">
        <f ca="1">G32-(VLOOKUP(B30,DD_Normal_Data,CELL("Col",D29),FALSE))</f>
        <v>270.5</v>
      </c>
    </row>
    <row r="33" spans="1:9" ht="15">
      <c r="A33" s="15"/>
      <c r="B33" s="34"/>
      <c r="C33" s="15"/>
      <c r="D33" s="32" t="str">
        <f>IF(Weather_Input!I10=""," ",Weather_Input!I10)</f>
        <v>FAIR… LOW AROUND MIDDLE 50S HIGHS NEAR 75.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299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37025</v>
      </c>
      <c r="C36" s="91">
        <f>B10</f>
        <v>37026</v>
      </c>
      <c r="D36" s="91">
        <f>B15</f>
        <v>37027</v>
      </c>
      <c r="E36" s="91">
        <f xml:space="preserve">       B20</f>
        <v>37028</v>
      </c>
      <c r="F36" s="91">
        <f>B25</f>
        <v>37029</v>
      </c>
      <c r="G36" s="91">
        <f>B30</f>
        <v>37030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270</v>
      </c>
      <c r="C37" s="41">
        <f ca="1">(VLOOKUP(C36,PGL_Sendouts,(CELL("COL",PGL_Deliveries!C7))))/1000</f>
        <v>240</v>
      </c>
      <c r="D37" s="41">
        <f ca="1">(VLOOKUP(D36,PGL_Sendouts,(CELL("COL",PGL_Deliveries!C8))))/1000</f>
        <v>235</v>
      </c>
      <c r="E37" s="41">
        <f ca="1">(VLOOKUP(E36,PGL_Sendouts,(CELL("COL",PGL_Deliveries!C9))))/1000</f>
        <v>235</v>
      </c>
      <c r="F37" s="41">
        <f ca="1">(VLOOKUP(F36,PGL_Sendouts,(CELL("COL",PGL_Deliveries!C10))))/1000</f>
        <v>220</v>
      </c>
      <c r="G37" s="41">
        <f ca="1">(VLOOKUP(G36,PGL_Sendouts,(CELL("COL",PGL_Deliveries!C10))))/1000</f>
        <v>215</v>
      </c>
      <c r="H37" s="14"/>
      <c r="I37" s="15"/>
    </row>
    <row r="38" spans="1:9" ht="15">
      <c r="A38" s="15" t="s">
        <v>300</v>
      </c>
      <c r="B38" s="41">
        <f>PGL_6_Day_Report!D30</f>
        <v>450.01495</v>
      </c>
      <c r="C38" s="41">
        <f>PGL_6_Day_Report!E30</f>
        <v>449.18200000000002</v>
      </c>
      <c r="D38" s="41">
        <f>PGL_6_Day_Report!F30</f>
        <v>451.07599999999996</v>
      </c>
      <c r="E38" s="41">
        <f>PGL_6_Day_Report!G30</f>
        <v>428.08</v>
      </c>
      <c r="F38" s="41">
        <f>PGL_6_Day_Report!H30</f>
        <v>413.08</v>
      </c>
      <c r="G38" s="41">
        <f>PGL_6_Day_Report!I30</f>
        <v>408.08</v>
      </c>
      <c r="H38" s="14"/>
      <c r="I38" s="15"/>
    </row>
    <row r="39" spans="1:9" ht="15">
      <c r="A39" s="42" t="s">
        <v>109</v>
      </c>
      <c r="B39" s="41">
        <f>SUM(PGL_Supplies!Z7:AE7)/1000</f>
        <v>264.39999999999998</v>
      </c>
      <c r="C39" s="41">
        <f>SUM(PGL_Supplies!Z8:AE8)/1000</f>
        <v>312.10399999999998</v>
      </c>
      <c r="D39" s="41">
        <f>SUM(PGL_Supplies!Z9:AE9)/1000</f>
        <v>312.10399999999998</v>
      </c>
      <c r="E39" s="41">
        <f>SUM(PGL_Supplies!Z10:AE10)/1000</f>
        <v>312.10399999999998</v>
      </c>
      <c r="F39" s="41">
        <f>SUM(PGL_Supplies!Z11:AE11)/1000</f>
        <v>312.10399999999998</v>
      </c>
      <c r="G39" s="41">
        <f>SUM(PGL_Supplies!Z12:AE12)/1000</f>
        <v>312.10399999999998</v>
      </c>
      <c r="H39" s="14"/>
      <c r="I39" s="15"/>
    </row>
    <row r="40" spans="1:9" ht="15">
      <c r="A40" s="42" t="s">
        <v>301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302</v>
      </c>
      <c r="B41" s="41">
        <f>SUM(PGL_Requirements!R7:U7)/1000</f>
        <v>40.85</v>
      </c>
      <c r="C41" s="41">
        <f>SUM(PGL_Requirements!R7:U7)/1000</f>
        <v>40.85</v>
      </c>
      <c r="D41" s="41">
        <f>SUM(PGL_Requirements!R7:U7)/1000</f>
        <v>40.85</v>
      </c>
      <c r="E41" s="41">
        <f>SUM(PGL_Requirements!R7:U7)/1000</f>
        <v>40.85</v>
      </c>
      <c r="F41" s="41">
        <f>SUM(PGL_Requirements!R7:U7)/1000</f>
        <v>40.85</v>
      </c>
      <c r="G41" s="41">
        <f>SUM(PGL_Requirements!R7:U7)/1000</f>
        <v>40.85</v>
      </c>
      <c r="H41" s="14"/>
      <c r="I41" s="15"/>
    </row>
    <row r="42" spans="1:9" ht="15">
      <c r="A42" s="15" t="s">
        <v>132</v>
      </c>
      <c r="B42" s="41">
        <f>PGL_Supplies!V7/1000</f>
        <v>176.70400000000001</v>
      </c>
      <c r="C42" s="41">
        <f>PGL_Supplies!V8/1000</f>
        <v>170.00700000000001</v>
      </c>
      <c r="D42" s="41">
        <f>PGL_Supplies!V9/1000</f>
        <v>176.70400000000001</v>
      </c>
      <c r="E42" s="41">
        <f>PGL_Supplies!V10/1000</f>
        <v>176.70400000000001</v>
      </c>
      <c r="F42" s="41">
        <f>PGL_Supplies!V11/1000</f>
        <v>176.70400000000001</v>
      </c>
      <c r="G42" s="41">
        <f>PGL_Supplies!V12/1000</f>
        <v>176.70400000000001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37025</v>
      </c>
      <c r="C44" s="91">
        <f t="shared" si="0"/>
        <v>37026</v>
      </c>
      <c r="D44" s="91">
        <f t="shared" si="0"/>
        <v>37027</v>
      </c>
      <c r="E44" s="91">
        <f t="shared" si="0"/>
        <v>37028</v>
      </c>
      <c r="F44" s="91">
        <f t="shared" si="0"/>
        <v>37029</v>
      </c>
      <c r="G44" s="91">
        <f t="shared" si="0"/>
        <v>37030</v>
      </c>
      <c r="H44" s="14"/>
      <c r="I44" s="15"/>
    </row>
    <row r="45" spans="1:9" ht="15">
      <c r="A45" s="15" t="s">
        <v>56</v>
      </c>
      <c r="B45" s="41">
        <f ca="1">NSG_6_Day_Report!D6</f>
        <v>57</v>
      </c>
      <c r="C45" s="41">
        <f ca="1">NSG_6_Day_Report!E6</f>
        <v>43</v>
      </c>
      <c r="D45" s="41">
        <f ca="1">NSG_6_Day_Report!F6</f>
        <v>38</v>
      </c>
      <c r="E45" s="41">
        <f ca="1">NSG_6_Day_Report!G6</f>
        <v>38</v>
      </c>
      <c r="F45" s="41">
        <f ca="1">NSG_6_Day_Report!H6</f>
        <v>37</v>
      </c>
      <c r="G45" s="41">
        <f ca="1">NSG_6_Day_Report!I6</f>
        <v>37</v>
      </c>
      <c r="H45" s="14"/>
      <c r="I45" s="15"/>
    </row>
    <row r="46" spans="1:9" ht="15">
      <c r="A46" s="42" t="s">
        <v>300</v>
      </c>
      <c r="B46" s="41">
        <f ca="1">NSG_6_Day_Report!D19</f>
        <v>61.393999999999998</v>
      </c>
      <c r="C46" s="41">
        <f ca="1">NSG_6_Day_Report!E19</f>
        <v>52.22</v>
      </c>
      <c r="D46" s="41">
        <f ca="1">NSG_6_Day_Report!F19</f>
        <v>59</v>
      </c>
      <c r="E46" s="41">
        <f ca="1">NSG_6_Day_Report!G19</f>
        <v>59</v>
      </c>
      <c r="F46" s="41">
        <f ca="1">NSG_6_Day_Report!H19</f>
        <v>58</v>
      </c>
      <c r="G46" s="41">
        <f ca="1">NSG_6_Day_Report!I19</f>
        <v>58</v>
      </c>
      <c r="H46" s="14"/>
      <c r="I46" s="15"/>
    </row>
    <row r="47" spans="1:9" ht="15">
      <c r="A47" s="42" t="s">
        <v>109</v>
      </c>
      <c r="B47" s="41">
        <f>SUM(NSG_Supplies!P7:R7)/1000</f>
        <v>51.776000000000003</v>
      </c>
      <c r="C47" s="41">
        <f>SUM(NSG_Supplies!P8:R8)/1000</f>
        <v>52.216000000000001</v>
      </c>
      <c r="D47" s="41">
        <f>SUM(NSG_Supplies!P9:R9)/1000</f>
        <v>52.216000000000001</v>
      </c>
      <c r="E47" s="41">
        <f>SUM(NSG_Supplies!P10:R10)/1000</f>
        <v>52.216000000000001</v>
      </c>
      <c r="F47" s="41">
        <f>SUM(NSG_Supplies!P11:R11)/1000</f>
        <v>52.216000000000001</v>
      </c>
      <c r="G47" s="41">
        <f>SUM(NSG_Supplies!P12:R12)/1000</f>
        <v>52.216000000000001</v>
      </c>
      <c r="H47" s="14"/>
      <c r="I47" s="15"/>
    </row>
    <row r="48" spans="1:9" ht="15">
      <c r="A48" s="42" t="s">
        <v>301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302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20.831</v>
      </c>
      <c r="C50" s="41">
        <f>NSG_Supplies!S8/1000</f>
        <v>21.271000000000001</v>
      </c>
      <c r="D50" s="41">
        <f>NSG_Supplies!S9/1000</f>
        <v>21.271000000000001</v>
      </c>
      <c r="E50" s="41">
        <f>NSG_Supplies!S10/1000</f>
        <v>21.271000000000001</v>
      </c>
      <c r="F50" s="41">
        <f>NSG_Supplies!S11/1000</f>
        <v>21.271000000000001</v>
      </c>
      <c r="G50" s="41">
        <f>NSG_Supplies!S12/1000</f>
        <v>21.271000000000001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303</v>
      </c>
      <c r="B52" s="91">
        <f t="shared" ref="B52:G52" si="1">B36</f>
        <v>37025</v>
      </c>
      <c r="C52" s="91">
        <f t="shared" si="1"/>
        <v>37026</v>
      </c>
      <c r="D52" s="91">
        <f t="shared" si="1"/>
        <v>37027</v>
      </c>
      <c r="E52" s="91">
        <f t="shared" si="1"/>
        <v>37028</v>
      </c>
      <c r="F52" s="91">
        <f t="shared" si="1"/>
        <v>37029</v>
      </c>
      <c r="G52" s="91">
        <f t="shared" si="1"/>
        <v>37030</v>
      </c>
      <c r="H52" s="14"/>
      <c r="I52" s="15"/>
    </row>
    <row r="53" spans="1:9" ht="15">
      <c r="A53" s="94" t="s">
        <v>304</v>
      </c>
      <c r="B53" s="41">
        <f>PGL_Requirements!P7/1000</f>
        <v>103.33</v>
      </c>
      <c r="C53" s="41">
        <f>PGL_Requirements!P8/1000</f>
        <v>123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305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4" t="s">
        <v>733</v>
      </c>
    </row>
    <row r="57" spans="1:9">
      <c r="A57" s="157" t="s">
        <v>306</v>
      </c>
    </row>
    <row r="58" spans="1:9">
      <c r="A58" s="157" t="s">
        <v>307</v>
      </c>
      <c r="G58" s="158"/>
    </row>
    <row r="59" spans="1:9">
      <c r="A59" s="157" t="s">
        <v>308</v>
      </c>
    </row>
    <row r="60" spans="1:9">
      <c r="A60" s="157" t="s">
        <v>309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9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34"/>
    </row>
    <row r="3" spans="1:8" ht="16.2" thickBot="1">
      <c r="A3" s="98" t="s">
        <v>310</v>
      </c>
    </row>
    <row r="4" spans="1:8">
      <c r="A4" s="99"/>
      <c r="B4" s="1135" t="str">
        <f>Six_Day_Summary!A10</f>
        <v>Tuesday</v>
      </c>
      <c r="C4" s="1136" t="str">
        <f>Six_Day_Summary!A15</f>
        <v>Wednesday</v>
      </c>
      <c r="D4" s="1136" t="str">
        <f>Six_Day_Summary!A20</f>
        <v>Thursday</v>
      </c>
      <c r="E4" s="1136" t="str">
        <f>Six_Day_Summary!A25</f>
        <v>Friday</v>
      </c>
      <c r="F4" s="1137" t="str">
        <f>Six_Day_Summary!A30</f>
        <v>Saturday</v>
      </c>
      <c r="G4" s="100"/>
    </row>
    <row r="5" spans="1:8">
      <c r="A5" s="103" t="s">
        <v>311</v>
      </c>
      <c r="B5" s="1138">
        <f>Weather_Input!A6</f>
        <v>37026</v>
      </c>
      <c r="C5" s="1139">
        <f>Weather_Input!A7</f>
        <v>37027</v>
      </c>
      <c r="D5" s="1139">
        <f>Weather_Input!A8</f>
        <v>37028</v>
      </c>
      <c r="E5" s="1139">
        <f>Weather_Input!A9</f>
        <v>37029</v>
      </c>
      <c r="F5" s="1140">
        <f>Weather_Input!A10</f>
        <v>37030</v>
      </c>
      <c r="G5" s="100"/>
    </row>
    <row r="6" spans="1:8">
      <c r="A6" s="100" t="s">
        <v>312</v>
      </c>
      <c r="B6" s="1141">
        <f>PGL_Supplies!AC8/1000+PGL_Supplies!L8/1000-PGL_Requirements!O8/1000-PGL_Requirements!T8/1000+B8</f>
        <v>88.539000000000001</v>
      </c>
      <c r="C6" s="1141">
        <f>PGL_Supplies!AC9/1000+PGL_Supplies!L9/1000-PGL_Requirements!O9/1000+C15-PGL_Requirements!T9/1000</f>
        <v>100.229</v>
      </c>
      <c r="D6" s="1141">
        <f>PGL_Supplies!AC10/1000+PGL_Supplies!L10/1000-PGL_Requirements!O10/1000+D15-PGL_Requirements!T10/1000</f>
        <v>100.229</v>
      </c>
      <c r="E6" s="1141">
        <f>PGL_Supplies!AC11/1000+PGL_Supplies!L11/1000-PGL_Requirements!O11/1000+E15-PGL_Requirements!T11/1000</f>
        <v>100.229</v>
      </c>
      <c r="F6" s="1142">
        <f>PGL_Supplies!AC12/1000+PGL_Supplies!L12/1000-PGL_Requirements!O12/1000+F15-PGL_Requirements!T12/1000</f>
        <v>100.229</v>
      </c>
      <c r="G6" s="100"/>
      <c r="H6" t="s">
        <v>11</v>
      </c>
    </row>
    <row r="7" spans="1:8">
      <c r="A7" s="100" t="s">
        <v>313</v>
      </c>
      <c r="B7" s="1141">
        <f>PGL_Supplies!N8/1000</f>
        <v>0</v>
      </c>
      <c r="C7" s="1141">
        <f>PGL_Supplies!N9/1000</f>
        <v>0</v>
      </c>
      <c r="D7" s="1141">
        <f>PGL_Supplies!N10/1000</f>
        <v>0</v>
      </c>
      <c r="E7" s="1141">
        <f>PGL_Supplies!N11/1000</f>
        <v>0</v>
      </c>
      <c r="F7" s="1143">
        <f>PGL_Supplies!N12/1000</f>
        <v>0</v>
      </c>
      <c r="G7" s="100"/>
    </row>
    <row r="8" spans="1:8">
      <c r="A8" s="100" t="s">
        <v>314</v>
      </c>
      <c r="B8" s="1141">
        <f>PGL_Supplies!O8/1000</f>
        <v>0</v>
      </c>
      <c r="C8" s="1141">
        <f>PGL_Supplies!O9/1000</f>
        <v>0</v>
      </c>
      <c r="D8" s="1141">
        <f>PGL_Supplies!O10/1000</f>
        <v>0</v>
      </c>
      <c r="E8" s="1141">
        <f>PGL_Supplies!O11/1000</f>
        <v>0</v>
      </c>
      <c r="F8" s="1143">
        <f>PGL_Supplies!O12/1000</f>
        <v>0</v>
      </c>
      <c r="G8" s="100"/>
    </row>
    <row r="9" spans="1:8">
      <c r="A9" s="100" t="s">
        <v>315</v>
      </c>
      <c r="B9" s="1141">
        <v>0</v>
      </c>
      <c r="C9" s="1141">
        <v>0</v>
      </c>
      <c r="D9" s="1141">
        <v>0</v>
      </c>
      <c r="E9" s="1141">
        <v>0</v>
      </c>
      <c r="F9" s="1143">
        <v>0</v>
      </c>
      <c r="G9" s="100"/>
    </row>
    <row r="10" spans="1:8">
      <c r="A10" s="101"/>
      <c r="B10" s="1144"/>
      <c r="C10" s="1144"/>
      <c r="D10" s="1144"/>
      <c r="E10" s="1144"/>
      <c r="F10" s="1145"/>
      <c r="G10" s="100"/>
    </row>
    <row r="11" spans="1:8">
      <c r="A11" s="100" t="s">
        <v>316</v>
      </c>
      <c r="B11" s="1141">
        <v>0</v>
      </c>
      <c r="C11" s="1141">
        <v>0</v>
      </c>
      <c r="D11" s="1141">
        <v>0</v>
      </c>
      <c r="E11" s="1141">
        <v>0</v>
      </c>
      <c r="F11" s="1143">
        <v>0</v>
      </c>
      <c r="G11" s="100"/>
      <c r="H11" s="121" t="s">
        <v>11</v>
      </c>
    </row>
    <row r="12" spans="1:8">
      <c r="A12" s="100" t="s">
        <v>317</v>
      </c>
      <c r="B12" s="1141">
        <f>PGL_Requirements!S8/1000</f>
        <v>0</v>
      </c>
      <c r="C12" s="1141">
        <f>PGL_Requirements!S9/1000</f>
        <v>0</v>
      </c>
      <c r="D12" s="1141">
        <f>PGL_Requirements!S10/1000</f>
        <v>0</v>
      </c>
      <c r="E12" s="1141">
        <f>PGL_Requirements!S11/1000</f>
        <v>0</v>
      </c>
      <c r="F12" s="1143">
        <f>PGL_Requirements!S12/1000</f>
        <v>0</v>
      </c>
      <c r="G12" s="100"/>
    </row>
    <row r="13" spans="1:8">
      <c r="A13" s="100" t="s">
        <v>318</v>
      </c>
      <c r="B13" s="1141">
        <v>0</v>
      </c>
      <c r="C13" s="1141">
        <v>0</v>
      </c>
      <c r="D13" s="1141">
        <v>0</v>
      </c>
      <c r="E13" s="1141">
        <v>0</v>
      </c>
      <c r="F13" s="1143">
        <v>0</v>
      </c>
      <c r="G13" s="100"/>
    </row>
    <row r="14" spans="1:8">
      <c r="A14" s="100" t="s">
        <v>189</v>
      </c>
      <c r="B14" s="1141">
        <v>0</v>
      </c>
      <c r="C14" s="1147"/>
      <c r="D14" s="1147"/>
      <c r="E14" s="1147"/>
      <c r="F14" s="1143"/>
      <c r="G14" s="100"/>
    </row>
    <row r="15" spans="1:8">
      <c r="A15" s="100" t="s">
        <v>716</v>
      </c>
      <c r="B15" s="1146">
        <v>0</v>
      </c>
      <c r="C15" s="1146">
        <v>0</v>
      </c>
      <c r="D15" s="1146">
        <v>0</v>
      </c>
      <c r="E15" s="1146">
        <v>0</v>
      </c>
      <c r="F15" s="1183">
        <v>0</v>
      </c>
      <c r="G15" s="121"/>
    </row>
    <row r="16" spans="1:8">
      <c r="A16" s="100" t="s">
        <v>319</v>
      </c>
      <c r="B16" s="1146">
        <v>0</v>
      </c>
      <c r="C16" s="1147"/>
      <c r="D16" s="1147"/>
      <c r="E16" s="1147"/>
      <c r="F16" s="1143"/>
      <c r="G16" s="100"/>
    </row>
    <row r="17" spans="1:7" ht="15.6" thickBot="1">
      <c r="A17" s="102" t="s">
        <v>781</v>
      </c>
      <c r="B17" s="1148">
        <v>0</v>
      </c>
      <c r="C17" s="1149"/>
      <c r="D17" s="1149"/>
      <c r="E17" s="1149"/>
      <c r="F17" s="1150"/>
      <c r="G17" s="100"/>
    </row>
    <row r="20" spans="1:7" ht="16.2" thickBot="1">
      <c r="A20" s="106" t="s">
        <v>320</v>
      </c>
      <c r="B20" s="105"/>
      <c r="C20" s="105"/>
      <c r="D20" s="105"/>
      <c r="E20" s="105"/>
      <c r="F20" s="105"/>
    </row>
    <row r="21" spans="1:7">
      <c r="A21" s="99"/>
      <c r="B21" s="1151" t="str">
        <f t="shared" ref="B21:F22" si="0">B4</f>
        <v>Tuesday</v>
      </c>
      <c r="C21" s="1151" t="str">
        <f t="shared" si="0"/>
        <v>Wednesday</v>
      </c>
      <c r="D21" s="1151" t="str">
        <f t="shared" si="0"/>
        <v>Thursday</v>
      </c>
      <c r="E21" s="1151" t="str">
        <f t="shared" si="0"/>
        <v>Friday</v>
      </c>
      <c r="F21" s="1152" t="str">
        <f t="shared" si="0"/>
        <v>Saturday</v>
      </c>
      <c r="G21" s="100"/>
    </row>
    <row r="22" spans="1:7">
      <c r="A22" s="107" t="s">
        <v>311</v>
      </c>
      <c r="B22" s="1153">
        <f t="shared" si="0"/>
        <v>37026</v>
      </c>
      <c r="C22" s="1153">
        <f t="shared" si="0"/>
        <v>37027</v>
      </c>
      <c r="D22" s="1153">
        <f t="shared" si="0"/>
        <v>37028</v>
      </c>
      <c r="E22" s="1153">
        <f t="shared" si="0"/>
        <v>37029</v>
      </c>
      <c r="F22" s="1154">
        <f t="shared" si="0"/>
        <v>37030</v>
      </c>
      <c r="G22" s="100"/>
    </row>
    <row r="23" spans="1:7">
      <c r="A23" s="100" t="s">
        <v>312</v>
      </c>
      <c r="B23" s="1147">
        <f>NSG_Supplies!R8/1000+NSG_Supplies!F8/1000-NSG_Requirements!H8/1000</f>
        <v>32.216000000000001</v>
      </c>
      <c r="C23" s="1147">
        <f>NSG_Supplies!R9/1000+NSG_Supplies!F9/1000-NSG_Requirements!H9/1000</f>
        <v>31.216000000000001</v>
      </c>
      <c r="D23" s="1147">
        <f>NSG_Supplies!R10/1000+NSG_Supplies!F10/1000-NSG_Requirements!H10/1000</f>
        <v>31.216000000000001</v>
      </c>
      <c r="E23" s="1147">
        <f>NSG_Supplies!R12/1000+NSG_Supplies!F11/1000-NSG_Requirements!H11/1000</f>
        <v>31.216000000000001</v>
      </c>
      <c r="F23" s="1142">
        <f>NSG_Supplies!R12/1000+NSG_Supplies!F12/1000-NSG_Requirements!H12/1000</f>
        <v>31.216000000000001</v>
      </c>
      <c r="G23" s="100"/>
    </row>
    <row r="24" spans="1:7">
      <c r="A24" s="100" t="s">
        <v>321</v>
      </c>
      <c r="B24" s="1147">
        <f>NSG_Supplies!H8/1000</f>
        <v>0</v>
      </c>
      <c r="C24" s="1147">
        <f>NSG_Supplies!H9/1000</f>
        <v>0</v>
      </c>
      <c r="D24" s="1147">
        <f>NSG_Supplies!H10/1000</f>
        <v>0</v>
      </c>
      <c r="E24" s="1147">
        <f>NSG_Supplies!H11/1000</f>
        <v>0</v>
      </c>
      <c r="F24" s="1143">
        <f>NSG_Supplies!H12/1000</f>
        <v>0</v>
      </c>
      <c r="G24" s="100"/>
    </row>
    <row r="25" spans="1:7">
      <c r="A25" s="100" t="s">
        <v>313</v>
      </c>
      <c r="B25" s="1147">
        <f>NSG_Supplies!I8/1000</f>
        <v>0</v>
      </c>
      <c r="C25" s="1147">
        <f>NSG_Supplies!I9/1000</f>
        <v>0</v>
      </c>
      <c r="D25" s="1147">
        <f>NSG_Supplies!I10/1000</f>
        <v>0</v>
      </c>
      <c r="E25" s="1147">
        <f>NSG_Supplies!I11/1000</f>
        <v>0</v>
      </c>
      <c r="F25" s="1143">
        <f>NSG_Supplies!I12/1000</f>
        <v>0</v>
      </c>
      <c r="G25" s="100"/>
    </row>
    <row r="26" spans="1:7">
      <c r="A26" s="104" t="s">
        <v>314</v>
      </c>
      <c r="B26" s="1147">
        <f>NSG_Supplies!J8/1000</f>
        <v>0</v>
      </c>
      <c r="C26" s="1147">
        <f>NSG_Supplies!J9/1000</f>
        <v>0</v>
      </c>
      <c r="D26" s="1147">
        <f>NSG_Supplies!J10/1000</f>
        <v>0</v>
      </c>
      <c r="E26" s="1147">
        <f>NSG_Supplies!J11/1000</f>
        <v>0</v>
      </c>
      <c r="F26" s="1143">
        <f>NSG_Supplies!J12/1000</f>
        <v>0</v>
      </c>
      <c r="G26" s="100"/>
    </row>
    <row r="27" spans="1:7">
      <c r="A27" s="100" t="s">
        <v>315</v>
      </c>
      <c r="B27" s="1147">
        <f>NSG_Supplies!K8/1000</f>
        <v>0</v>
      </c>
      <c r="C27" s="1147">
        <f>NSG_Supplies!K9/1000</f>
        <v>0</v>
      </c>
      <c r="D27" s="1147">
        <f>NSG_Supplies!K10/1000</f>
        <v>0</v>
      </c>
      <c r="E27" s="1147">
        <f>NSG_Supplies!K11/1000</f>
        <v>0</v>
      </c>
      <c r="F27" s="1143">
        <f>NSG_Supplies!K12/1000</f>
        <v>0</v>
      </c>
      <c r="G27" s="100"/>
    </row>
    <row r="28" spans="1:7">
      <c r="A28" s="100" t="s">
        <v>322</v>
      </c>
      <c r="B28" s="1147" t="s">
        <v>11</v>
      </c>
      <c r="C28" s="1147"/>
      <c r="D28" s="1147"/>
      <c r="E28" s="1147"/>
      <c r="F28" s="1143"/>
      <c r="G28" s="100"/>
    </row>
    <row r="29" spans="1:7">
      <c r="A29" s="101"/>
      <c r="B29" s="1144"/>
      <c r="C29" s="1144"/>
      <c r="D29" s="1144"/>
      <c r="E29" s="1144"/>
      <c r="F29" s="1145"/>
      <c r="G29" s="100"/>
    </row>
    <row r="30" spans="1:7">
      <c r="A30" s="100" t="s">
        <v>316</v>
      </c>
      <c r="B30" s="1147">
        <f>NSG_Requirements!P8/1000</f>
        <v>0</v>
      </c>
      <c r="C30" s="1147">
        <f>NSG_Requirements!P9/1000</f>
        <v>0</v>
      </c>
      <c r="D30" s="1147">
        <f>NSG_Requirements!P10/1000</f>
        <v>0</v>
      </c>
      <c r="E30" s="1147">
        <f>NSG_Requirements!P11/1000</f>
        <v>0</v>
      </c>
      <c r="F30" s="1143">
        <f>NSG_Supplies!K12/1000</f>
        <v>0</v>
      </c>
      <c r="G30" s="100"/>
    </row>
    <row r="31" spans="1:7">
      <c r="A31" s="100" t="s">
        <v>317</v>
      </c>
      <c r="B31" s="1147">
        <f>NSG_Requirements!R8/1000</f>
        <v>0</v>
      </c>
      <c r="C31" s="1147">
        <f>NSG_Requirements!R9/1000</f>
        <v>0</v>
      </c>
      <c r="D31" s="1147">
        <f>NSG_Requirements!R10/1000</f>
        <v>0</v>
      </c>
      <c r="E31" s="1147">
        <f>NSG_Requirements!R11/1000</f>
        <v>0</v>
      </c>
      <c r="F31" s="1143">
        <f>NSG_Supplies!M12/1000</f>
        <v>0</v>
      </c>
      <c r="G31" s="100"/>
    </row>
    <row r="32" spans="1:7">
      <c r="A32" s="100" t="s">
        <v>318</v>
      </c>
      <c r="B32" s="1147">
        <f>NSG_Requirements!Q8/1000</f>
        <v>0</v>
      </c>
      <c r="C32" s="1147">
        <f>NSG_Requirements!Q9/1000</f>
        <v>0</v>
      </c>
      <c r="D32" s="1147">
        <f>NSG_Requirements!Q10/1000</f>
        <v>0</v>
      </c>
      <c r="E32" s="1147">
        <f>NSG_Requirements!Q11/1000</f>
        <v>0</v>
      </c>
      <c r="F32" s="1143">
        <f>NSG_Requirements!Q12/1000</f>
        <v>0</v>
      </c>
      <c r="G32" s="100"/>
    </row>
    <row r="33" spans="1:7" ht="15.6" thickBot="1">
      <c r="A33" s="102" t="s">
        <v>323</v>
      </c>
      <c r="B33" s="1149">
        <f>NSG_Requirements!L8/1000</f>
        <v>0</v>
      </c>
      <c r="C33" s="1149">
        <f>NSG_Requirements!L9/1000</f>
        <v>0</v>
      </c>
      <c r="D33" s="1149">
        <f>NSG_Requirements!L10/1000</f>
        <v>0</v>
      </c>
      <c r="E33" s="1149">
        <f>NSG_Requirements!L11/1000</f>
        <v>0</v>
      </c>
      <c r="F33" s="1150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4"/>
      <c r="B1" s="808" t="s">
        <v>381</v>
      </c>
      <c r="C1" s="907">
        <f>Weather_Input!A6</f>
        <v>37026</v>
      </c>
      <c r="D1" s="908" t="s">
        <v>372</v>
      </c>
      <c r="E1" s="809"/>
      <c r="F1" s="1075"/>
      <c r="G1" s="429"/>
      <c r="H1" s="429"/>
      <c r="I1" s="1076"/>
    </row>
    <row r="2" spans="1:11" ht="15.75" customHeight="1" thickBot="1">
      <c r="A2" s="432"/>
      <c r="B2" s="1073" t="s">
        <v>645</v>
      </c>
      <c r="E2" s="160"/>
      <c r="I2" s="160"/>
    </row>
    <row r="3" spans="1:11" ht="15.75" customHeight="1" thickTop="1">
      <c r="B3" s="171" t="s">
        <v>109</v>
      </c>
      <c r="C3" s="902">
        <f>NSG_Supplies!Q8/1000</f>
        <v>20</v>
      </c>
      <c r="E3" s="160"/>
      <c r="F3" s="789" t="s">
        <v>166</v>
      </c>
      <c r="G3" s="788"/>
      <c r="H3" s="803" t="s">
        <v>572</v>
      </c>
      <c r="I3" s="802" t="s">
        <v>571</v>
      </c>
    </row>
    <row r="4" spans="1:11" ht="15.75" customHeight="1" thickBot="1">
      <c r="A4" t="s">
        <v>11</v>
      </c>
      <c r="B4" s="100" t="s">
        <v>646</v>
      </c>
      <c r="C4" s="1131">
        <f>NSG_Supplies!E8/1000</f>
        <v>0</v>
      </c>
      <c r="D4" s="134">
        <f>NSG_Requirements!J8/1000</f>
        <v>9.2200000000000006</v>
      </c>
      <c r="E4" s="801"/>
      <c r="F4" s="171" t="s">
        <v>546</v>
      </c>
      <c r="G4" s="60"/>
      <c r="H4" s="153">
        <f>PGL_Requirements!P8/1000</f>
        <v>123</v>
      </c>
      <c r="I4" s="175">
        <f>AVERAGE(H4/1.025)</f>
        <v>120.00000000000001</v>
      </c>
      <c r="J4" t="s">
        <v>11</v>
      </c>
    </row>
    <row r="5" spans="1:11" ht="15.75" customHeight="1" thickTop="1" thickBot="1">
      <c r="B5" s="436" t="s">
        <v>647</v>
      </c>
      <c r="C5" s="447">
        <f>C3+C4-D4</f>
        <v>10.78</v>
      </c>
      <c r="D5" s="437"/>
      <c r="E5" s="439">
        <f>AVERAGE(C5/24)</f>
        <v>0.44916666666666666</v>
      </c>
      <c r="F5" s="169" t="s">
        <v>448</v>
      </c>
      <c r="G5" s="209">
        <f>PGL_Supplies!M8/1000</f>
        <v>0</v>
      </c>
      <c r="H5" s="167"/>
      <c r="I5" s="1017">
        <f>AVERAGE(G5/1.025)</f>
        <v>0</v>
      </c>
      <c r="K5" t="s">
        <v>11</v>
      </c>
    </row>
    <row r="6" spans="1:11" ht="15.75" customHeight="1" thickTop="1" thickBot="1">
      <c r="B6" s="905" t="s">
        <v>392</v>
      </c>
      <c r="C6" s="906"/>
      <c r="D6" s="121"/>
      <c r="E6" s="800"/>
      <c r="F6" t="s">
        <v>774</v>
      </c>
      <c r="G6" s="906">
        <f>AVERAGE(H4/24)</f>
        <v>5.125</v>
      </c>
      <c r="H6" s="429"/>
      <c r="I6" s="1076"/>
    </row>
    <row r="7" spans="1:11" ht="15.75" customHeight="1">
      <c r="B7" s="171" t="s">
        <v>373</v>
      </c>
      <c r="C7" s="153">
        <f>NSG_Supplies!L8/1000</f>
        <v>0</v>
      </c>
      <c r="D7" s="60"/>
      <c r="E7" s="449"/>
      <c r="F7" s="1073" t="s">
        <v>625</v>
      </c>
      <c r="G7" s="1074"/>
      <c r="H7" s="60"/>
      <c r="I7" s="160"/>
    </row>
    <row r="8" spans="1:11" ht="15.75" customHeight="1">
      <c r="B8" s="171" t="s">
        <v>527</v>
      </c>
      <c r="C8" s="153">
        <f>PGL_Requirements!V8/1000</f>
        <v>0</v>
      </c>
      <c r="D8" s="60"/>
      <c r="E8" s="449"/>
      <c r="F8" s="171" t="s">
        <v>624</v>
      </c>
      <c r="G8" s="153">
        <f>PGL_Supplies!T8/1000*0.5</f>
        <v>3.5</v>
      </c>
      <c r="H8" s="60"/>
      <c r="I8" s="160"/>
    </row>
    <row r="9" spans="1:11" ht="15.75" customHeight="1" thickBot="1">
      <c r="B9" s="171" t="s">
        <v>765</v>
      </c>
      <c r="C9" s="153">
        <f>NSG_Requirements!B8/1000</f>
        <v>0</v>
      </c>
      <c r="D9" s="60"/>
      <c r="E9" s="449"/>
      <c r="F9" s="1" t="s">
        <v>713</v>
      </c>
      <c r="G9" s="153">
        <f>PGL_Supplies!U8/1000</f>
        <v>0</v>
      </c>
      <c r="I9" s="160"/>
    </row>
    <row r="10" spans="1:11" ht="15.75" customHeight="1" thickTop="1" thickBot="1">
      <c r="B10" s="436" t="s">
        <v>551</v>
      </c>
      <c r="C10" s="447">
        <f>C7+C8-C9</f>
        <v>0</v>
      </c>
      <c r="D10" s="437"/>
      <c r="E10" s="439">
        <f>AVERAGE(C10/24)</f>
        <v>0</v>
      </c>
      <c r="F10" s="171" t="s">
        <v>445</v>
      </c>
      <c r="G10" s="153">
        <f>PGL_Supplies!AB8/1000</f>
        <v>171.67500000000001</v>
      </c>
      <c r="H10" s="153" t="s">
        <v>11</v>
      </c>
      <c r="I10" s="160"/>
    </row>
    <row r="11" spans="1:11" ht="15.75" customHeight="1" thickTop="1">
      <c r="A11" t="s">
        <v>11</v>
      </c>
      <c r="B11" s="1123" t="s">
        <v>748</v>
      </c>
      <c r="C11" s="153">
        <f>PGL_Supplies!Y8/1000</f>
        <v>114.07899999999999</v>
      </c>
      <c r="D11" s="788"/>
      <c r="E11" s="1124"/>
      <c r="F11" s="434" t="s">
        <v>378</v>
      </c>
      <c r="G11" s="446">
        <f>G8+G10</f>
        <v>175.17500000000001</v>
      </c>
      <c r="H11" s="433"/>
      <c r="I11" s="435"/>
    </row>
    <row r="12" spans="1:11" ht="15.75" customHeight="1">
      <c r="B12" s="248" t="s">
        <v>780</v>
      </c>
      <c r="C12" s="153">
        <v>0</v>
      </c>
      <c r="D12" s="121"/>
      <c r="E12" s="160"/>
      <c r="F12" s="172" t="s">
        <v>530</v>
      </c>
      <c r="G12" s="153">
        <f>PGL_Supplies!E8/1000</f>
        <v>0</v>
      </c>
      <c r="H12" s="60"/>
      <c r="I12" s="449"/>
    </row>
    <row r="13" spans="1:11" ht="15.75" customHeight="1" thickBot="1">
      <c r="B13" s="248" t="s">
        <v>749</v>
      </c>
      <c r="C13" s="121"/>
      <c r="D13" s="153">
        <f>PGL_Requirements!J8/1000</f>
        <v>0</v>
      </c>
      <c r="E13" s="160"/>
      <c r="F13" s="172" t="s">
        <v>531</v>
      </c>
      <c r="G13" s="60"/>
      <c r="H13" s="153">
        <f>PGL_Requirements!E8/1000</f>
        <v>0</v>
      </c>
      <c r="I13" s="160"/>
    </row>
    <row r="14" spans="1:11" ht="15.75" customHeight="1" thickTop="1" thickBot="1">
      <c r="B14" s="1125" t="s">
        <v>756</v>
      </c>
      <c r="C14" s="447">
        <f>C11-C12</f>
        <v>114.07899999999999</v>
      </c>
      <c r="D14" s="437"/>
      <c r="E14" s="439">
        <f>AVERAGE(C14/24)</f>
        <v>4.7532916666666667</v>
      </c>
      <c r="F14" s="781" t="s">
        <v>549</v>
      </c>
      <c r="G14" s="447">
        <v>0</v>
      </c>
      <c r="H14" s="437"/>
      <c r="I14" s="439">
        <f>AVERAGE(G14/24)</f>
        <v>0</v>
      </c>
    </row>
    <row r="15" spans="1:11" ht="15.75" customHeight="1" thickTop="1" thickBot="1">
      <c r="B15" s="171" t="s">
        <v>754</v>
      </c>
      <c r="C15" s="153">
        <f>PGL_Supplies!Z8/1000</f>
        <v>40.200000000000003</v>
      </c>
      <c r="D15" s="60"/>
      <c r="E15" s="160"/>
      <c r="F15" s="781" t="s">
        <v>558</v>
      </c>
      <c r="G15" s="446">
        <f>SUM(G11)-G16-G17</f>
        <v>162.358</v>
      </c>
      <c r="H15" s="437" t="s">
        <v>11</v>
      </c>
      <c r="I15" s="439">
        <f>AVERAGE(G15/24)</f>
        <v>6.7649166666666671</v>
      </c>
    </row>
    <row r="16" spans="1:11" ht="15.75" customHeight="1" thickTop="1" thickBot="1">
      <c r="B16" s="171" t="s">
        <v>709</v>
      </c>
      <c r="C16" s="153">
        <f>PGL_Supplies!R8/1000</f>
        <v>0</v>
      </c>
      <c r="D16" s="153">
        <f>PGL_Requirements!U8/1000</f>
        <v>40.200000000000003</v>
      </c>
      <c r="E16" s="160"/>
      <c r="F16" s="781" t="s">
        <v>568</v>
      </c>
      <c r="G16" s="447">
        <f>PGL_Requirements!H8/1000</f>
        <v>12.817</v>
      </c>
      <c r="H16" s="447" t="s">
        <v>11</v>
      </c>
      <c r="I16" s="439">
        <f>AVERAGE(G16/24)</f>
        <v>0.53404166666666664</v>
      </c>
    </row>
    <row r="17" spans="1:9" ht="15.75" customHeight="1" thickTop="1" thickBot="1">
      <c r="B17" s="434" t="s">
        <v>378</v>
      </c>
      <c r="C17" s="446">
        <f>SUM(C15:C16)-SUM(D15:D16)</f>
        <v>0</v>
      </c>
      <c r="D17" s="433"/>
      <c r="E17" s="435"/>
      <c r="F17" s="1086" t="s">
        <v>714</v>
      </c>
      <c r="G17" s="1174">
        <v>0</v>
      </c>
      <c r="H17" s="1085"/>
      <c r="I17" s="1175">
        <f>AVERAGE(G17/24)</f>
        <v>0</v>
      </c>
    </row>
    <row r="18" spans="1:9" ht="15.75" customHeight="1">
      <c r="B18" s="171" t="s">
        <v>374</v>
      </c>
      <c r="C18" s="153">
        <f>PGL_Supplies!C8/1000</f>
        <v>0</v>
      </c>
      <c r="D18" s="60"/>
      <c r="E18" s="160"/>
      <c r="F18" s="1084" t="s">
        <v>547</v>
      </c>
      <c r="G18" s="60" t="s">
        <v>11</v>
      </c>
      <c r="H18" s="60"/>
      <c r="I18" s="160"/>
    </row>
    <row r="19" spans="1:9" ht="15.75" customHeight="1" thickBot="1">
      <c r="B19" s="171" t="s">
        <v>375</v>
      </c>
      <c r="C19" s="60"/>
      <c r="D19" s="153">
        <f>PGL_Requirements!C8/1000</f>
        <v>0</v>
      </c>
      <c r="E19" s="160"/>
      <c r="F19" s="169" t="s">
        <v>548</v>
      </c>
      <c r="G19" s="167"/>
      <c r="H19" s="209">
        <v>0</v>
      </c>
      <c r="I19" s="442"/>
    </row>
    <row r="20" spans="1:9" ht="15.75" customHeight="1" thickTop="1" thickBot="1">
      <c r="B20" s="436" t="s">
        <v>553</v>
      </c>
      <c r="C20" s="447">
        <f>C17+C18-D19</f>
        <v>0</v>
      </c>
      <c r="D20" s="440" t="s">
        <v>11</v>
      </c>
      <c r="E20" s="439">
        <f>AVERAGE(C20/24)</f>
        <v>0</v>
      </c>
      <c r="F20" s="438" t="s">
        <v>183</v>
      </c>
      <c r="G20" s="60">
        <v>0</v>
      </c>
      <c r="H20" s="153" t="s">
        <v>11</v>
      </c>
      <c r="I20" s="160"/>
    </row>
    <row r="21" spans="1:9" ht="15.75" customHeight="1" thickTop="1">
      <c r="B21" s="171" t="s">
        <v>755</v>
      </c>
      <c r="C21" s="153">
        <f>PGL_Supplies!AA8/1000</f>
        <v>0</v>
      </c>
      <c r="D21" s="153" t="s">
        <v>11</v>
      </c>
      <c r="E21" s="160"/>
      <c r="F21" s="171" t="s">
        <v>109</v>
      </c>
      <c r="G21" s="153">
        <f>PGL_Supplies!AD8/1000</f>
        <v>0</v>
      </c>
      <c r="H21" s="153" t="s">
        <v>11</v>
      </c>
      <c r="I21" s="160"/>
    </row>
    <row r="22" spans="1:9" ht="15.75" customHeight="1">
      <c r="B22" s="434" t="s">
        <v>378</v>
      </c>
      <c r="C22" s="446">
        <f>SUM(C21:C21)-SUM(D21)</f>
        <v>0</v>
      </c>
      <c r="D22" s="433"/>
      <c r="E22" s="435"/>
      <c r="F22" s="434" t="s">
        <v>378</v>
      </c>
      <c r="G22" s="446">
        <f>G21</f>
        <v>0</v>
      </c>
      <c r="H22" s="433"/>
      <c r="I22" s="435"/>
    </row>
    <row r="23" spans="1:9" ht="15.75" customHeight="1">
      <c r="B23" s="171" t="s">
        <v>376</v>
      </c>
      <c r="C23" s="153">
        <f>PGL_Supplies!D8/1000</f>
        <v>0</v>
      </c>
      <c r="D23" s="60"/>
      <c r="E23" s="160"/>
      <c r="F23" s="171" t="s">
        <v>379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377</v>
      </c>
      <c r="C24" s="60">
        <v>0</v>
      </c>
      <c r="D24" s="153">
        <f>PGL_Requirements!D8/1000</f>
        <v>0</v>
      </c>
      <c r="E24" s="160"/>
      <c r="F24" s="171" t="s">
        <v>380</v>
      </c>
      <c r="G24" s="60"/>
      <c r="H24" s="153">
        <f>PGL_Requirements!F8/1000</f>
        <v>0</v>
      </c>
      <c r="I24" s="160"/>
    </row>
    <row r="25" spans="1:9" ht="15.75" customHeight="1" thickTop="1" thickBot="1">
      <c r="B25" s="436" t="s">
        <v>552</v>
      </c>
      <c r="C25" s="447">
        <f>C22+C23-D24</f>
        <v>0</v>
      </c>
      <c r="D25" s="437"/>
      <c r="E25" s="439">
        <f>AVERAGE(C25/24)</f>
        <v>0</v>
      </c>
      <c r="F25" s="550" t="s">
        <v>550</v>
      </c>
      <c r="G25" s="903">
        <f>G22+G23-H24+G20</f>
        <v>0</v>
      </c>
      <c r="H25" s="429"/>
      <c r="I25" s="904">
        <f>AVERAGE(G25/24)</f>
        <v>0</v>
      </c>
    </row>
    <row r="26" spans="1:9" ht="15.75" customHeight="1" thickTop="1">
      <c r="B26" t="s">
        <v>711</v>
      </c>
    </row>
    <row r="27" spans="1:9" ht="15.75" customHeight="1">
      <c r="B27" t="s">
        <v>710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648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1041" customWidth="1"/>
    <col min="2" max="2" width="8.08984375" style="1041" customWidth="1"/>
    <col min="3" max="3" width="7.90625" style="1041" customWidth="1"/>
    <col min="4" max="4" width="5.90625" style="1041" customWidth="1"/>
    <col min="5" max="5" width="4.453125" style="1041" customWidth="1"/>
    <col min="6" max="6" width="5.1796875" style="1041" customWidth="1"/>
    <col min="7" max="7" width="9" style="1041" customWidth="1"/>
    <col min="8" max="11" width="8.90625" style="1041"/>
    <col min="12" max="12" width="14.90625" style="1041" customWidth="1"/>
    <col min="13" max="13" width="5.6328125" style="1041" customWidth="1"/>
    <col min="14" max="16384" width="8.90625" style="1041"/>
  </cols>
  <sheetData>
    <row r="1" spans="1:22" ht="20.399999999999999">
      <c r="A1" s="937"/>
      <c r="B1" s="933"/>
      <c r="C1" s="944" t="s">
        <v>652</v>
      </c>
      <c r="D1" s="941"/>
      <c r="E1" s="941" t="s">
        <v>653</v>
      </c>
      <c r="F1" s="941"/>
      <c r="G1" s="1039" t="s">
        <v>324</v>
      </c>
      <c r="H1" s="1040">
        <f>Weather_Input!A6</f>
        <v>37026</v>
      </c>
      <c r="I1" s="930"/>
      <c r="J1" s="932"/>
      <c r="K1" s="932"/>
    </row>
    <row r="2" spans="1:22" ht="16.5" customHeight="1">
      <c r="A2" s="950" t="s">
        <v>680</v>
      </c>
      <c r="C2" s="1042">
        <v>358</v>
      </c>
      <c r="F2" s="1043">
        <v>367</v>
      </c>
      <c r="H2" s="932"/>
      <c r="I2" s="930" t="s">
        <v>682</v>
      </c>
      <c r="J2" s="952">
        <f>NSG_Supplies!Q8/1000</f>
        <v>20</v>
      </c>
    </row>
    <row r="3" spans="1:22" ht="16.5" customHeight="1">
      <c r="A3" s="1044">
        <f>PGL_Supplies!J8/1000</f>
        <v>0</v>
      </c>
      <c r="C3" s="1041" t="s">
        <v>11</v>
      </c>
      <c r="G3" s="930"/>
      <c r="H3" s="932"/>
    </row>
    <row r="4" spans="1:22" ht="16.5" customHeight="1">
      <c r="A4" s="940" t="s">
        <v>654</v>
      </c>
      <c r="G4" s="958"/>
      <c r="H4" s="932"/>
      <c r="I4" s="930"/>
      <c r="J4" s="930" t="s">
        <v>678</v>
      </c>
      <c r="K4" s="952">
        <f>Billy_Sheet!C5</f>
        <v>10.78</v>
      </c>
      <c r="N4" s="952"/>
    </row>
    <row r="5" spans="1:22" ht="16.5" customHeight="1">
      <c r="A5" s="1045">
        <f>PGL_Supplies!K7/1000</f>
        <v>0</v>
      </c>
      <c r="B5" s="1046"/>
      <c r="G5" s="933"/>
      <c r="H5" s="952"/>
      <c r="U5" s="932"/>
      <c r="V5" s="932"/>
    </row>
    <row r="6" spans="1:22" ht="16.5" customHeight="1">
      <c r="A6" s="939" t="s">
        <v>650</v>
      </c>
      <c r="G6" s="933"/>
      <c r="H6" s="952"/>
      <c r="U6" s="932"/>
      <c r="V6" s="952"/>
    </row>
    <row r="7" spans="1:22" ht="18.75" customHeight="1">
      <c r="A7" s="952">
        <f>Billy_Sheet!G14</f>
        <v>0</v>
      </c>
      <c r="G7" s="933"/>
      <c r="H7" s="931"/>
      <c r="U7" s="932"/>
      <c r="V7" s="931"/>
    </row>
    <row r="8" spans="1:22" ht="14.4" customHeight="1">
      <c r="A8" s="930" t="s">
        <v>74</v>
      </c>
      <c r="G8" s="933"/>
      <c r="H8" s="930" t="s">
        <v>178</v>
      </c>
      <c r="I8" s="930"/>
      <c r="K8" s="930"/>
      <c r="L8" s="930"/>
      <c r="N8" s="930"/>
      <c r="O8" s="930"/>
      <c r="U8" s="932"/>
      <c r="V8" s="952"/>
    </row>
    <row r="9" spans="1:22" ht="14.4" customHeight="1">
      <c r="A9" s="952">
        <f>PGL_Supplies!I8/1000</f>
        <v>15</v>
      </c>
      <c r="H9" s="952">
        <v>0</v>
      </c>
      <c r="I9" s="1047"/>
      <c r="K9" s="930" t="s">
        <v>684</v>
      </c>
      <c r="L9" s="952">
        <f>NSG_Deliveries!C6/1000</f>
        <v>43</v>
      </c>
      <c r="N9" s="930"/>
      <c r="O9" s="952"/>
      <c r="U9" s="932"/>
      <c r="V9" s="952"/>
    </row>
    <row r="10" spans="1:22" ht="18" customHeight="1">
      <c r="A10" s="930" t="s">
        <v>68</v>
      </c>
      <c r="H10" s="959" t="s">
        <v>683</v>
      </c>
      <c r="U10" s="932"/>
      <c r="V10" s="952"/>
    </row>
    <row r="11" spans="1:22" ht="14.4" customHeight="1">
      <c r="A11" s="952">
        <f>Billy_Sheet!C20</f>
        <v>0</v>
      </c>
      <c r="B11" s="1047"/>
      <c r="H11" s="952">
        <f>NSG_Supplies!U8/1000</f>
        <v>0</v>
      </c>
      <c r="K11" s="933" t="s">
        <v>685</v>
      </c>
      <c r="L11" s="958">
        <f>SUM(K4+K17+K19+H11+H9-L9)</f>
        <v>-3.9999999999977831E-3</v>
      </c>
      <c r="N11" s="933"/>
      <c r="O11" s="958"/>
      <c r="U11" s="932"/>
      <c r="V11" s="946"/>
    </row>
    <row r="12" spans="1:22" ht="14.4" customHeight="1">
      <c r="A12" s="930" t="s">
        <v>743</v>
      </c>
      <c r="H12" s="952"/>
      <c r="U12" s="932"/>
      <c r="V12" s="952"/>
    </row>
    <row r="13" spans="1:22" ht="14.4" customHeight="1">
      <c r="A13" s="1045">
        <f>PGL_Supplies!Y8/1000</f>
        <v>114.07899999999999</v>
      </c>
      <c r="H13" s="952"/>
      <c r="U13" s="932"/>
      <c r="V13" s="952"/>
    </row>
    <row r="14" spans="1:22" ht="14.4" customHeight="1">
      <c r="H14" s="952"/>
      <c r="U14" s="932"/>
      <c r="V14" s="952"/>
    </row>
    <row r="15" spans="1:22" ht="15.6" customHeight="1">
      <c r="B15" s="1041" t="s">
        <v>11</v>
      </c>
      <c r="C15" s="1048">
        <v>370</v>
      </c>
      <c r="F15" s="1048">
        <v>370</v>
      </c>
      <c r="H15" s="958"/>
      <c r="U15" s="942"/>
      <c r="V15" s="958"/>
    </row>
    <row r="16" spans="1:22" ht="42.75" customHeight="1">
      <c r="A16" s="943"/>
      <c r="B16" s="958"/>
      <c r="C16" s="1049"/>
      <c r="D16" s="1050"/>
      <c r="E16" s="1050"/>
      <c r="F16" s="1049"/>
    </row>
    <row r="17" spans="1:17" ht="38.25" customHeight="1">
      <c r="B17" s="1050"/>
      <c r="C17" s="1050"/>
      <c r="D17" s="1051"/>
      <c r="E17" s="1050"/>
      <c r="F17" s="1050"/>
      <c r="G17" s="1050"/>
      <c r="J17" s="930" t="s">
        <v>326</v>
      </c>
      <c r="K17" s="952">
        <f>NSG_Supplies!L8/1000</f>
        <v>0</v>
      </c>
      <c r="N17" s="952"/>
    </row>
    <row r="18" spans="1:17" ht="15" customHeight="1">
      <c r="A18" s="938"/>
      <c r="C18" s="1048">
        <v>437</v>
      </c>
      <c r="D18" s="1050"/>
      <c r="E18" s="1050"/>
      <c r="F18" s="1043">
        <v>785</v>
      </c>
    </row>
    <row r="19" spans="1:17">
      <c r="A19" s="939" t="s">
        <v>651</v>
      </c>
      <c r="C19" s="1041" t="s">
        <v>11</v>
      </c>
      <c r="J19" s="930" t="s">
        <v>679</v>
      </c>
      <c r="K19" s="952">
        <f>NSG_Supplies!R8/1000+NSG_Supplies!F8/1000-NSG_Requirements!H8/1000</f>
        <v>32.216000000000001</v>
      </c>
      <c r="N19" s="1053"/>
    </row>
    <row r="20" spans="1:17" ht="17.25" customHeight="1">
      <c r="A20" s="952">
        <f>Billy_Sheet!G15</f>
        <v>162.358</v>
      </c>
      <c r="G20" s="432"/>
      <c r="J20" s="930"/>
    </row>
    <row r="21" spans="1:17" ht="11.25" customHeight="1">
      <c r="G21" s="931"/>
      <c r="H21" s="931"/>
      <c r="I21" s="933"/>
      <c r="J21" s="958"/>
    </row>
    <row r="22" spans="1:17">
      <c r="A22" s="932" t="s">
        <v>181</v>
      </c>
      <c r="G22" s="930"/>
      <c r="I22" s="933"/>
      <c r="J22" s="930"/>
      <c r="M22" s="933"/>
      <c r="N22" s="958"/>
    </row>
    <row r="23" spans="1:17">
      <c r="A23" s="952">
        <f>Billy_Sheet!C25</f>
        <v>0</v>
      </c>
      <c r="G23" s="930" t="s">
        <v>757</v>
      </c>
      <c r="H23" s="932"/>
      <c r="I23" s="933"/>
      <c r="J23" s="958"/>
      <c r="M23" s="930"/>
      <c r="N23" s="958"/>
      <c r="Q23" s="1054"/>
    </row>
    <row r="24" spans="1:17" ht="9" customHeight="1">
      <c r="G24" s="952">
        <f>PGL_Requirements!K7/1000</f>
        <v>7.8170000000000002</v>
      </c>
      <c r="H24" s="933"/>
      <c r="I24" s="933"/>
      <c r="J24" s="933"/>
    </row>
    <row r="25" spans="1:17" ht="10.5" customHeight="1">
      <c r="A25" s="932" t="s">
        <v>183</v>
      </c>
      <c r="B25" s="932"/>
      <c r="C25" s="932"/>
      <c r="D25" s="932"/>
      <c r="F25" s="932"/>
      <c r="G25" s="930" t="s">
        <v>687</v>
      </c>
      <c r="H25" s="933"/>
      <c r="I25" s="933"/>
      <c r="J25" s="933"/>
    </row>
    <row r="26" spans="1:17" ht="14.25" customHeight="1">
      <c r="A26" s="952">
        <f>Billy_Sheet!G25</f>
        <v>0</v>
      </c>
      <c r="B26" s="932"/>
      <c r="C26" s="933"/>
      <c r="D26" s="933"/>
      <c r="F26" s="933"/>
      <c r="G26" s="1052">
        <v>0</v>
      </c>
      <c r="H26" s="933"/>
      <c r="I26" s="933"/>
      <c r="J26" s="933" t="s">
        <v>573</v>
      </c>
      <c r="K26" s="1055">
        <f>PGL_Deliveries!C6/1000</f>
        <v>240</v>
      </c>
      <c r="L26" s="930" t="s">
        <v>684</v>
      </c>
      <c r="M26" s="952">
        <f>NSG_Deliveries!C6/1000</f>
        <v>43</v>
      </c>
      <c r="N26" s="952"/>
    </row>
    <row r="27" spans="1:17" ht="8.25" customHeight="1">
      <c r="A27" s="933"/>
      <c r="B27" s="954"/>
      <c r="C27" s="933"/>
      <c r="D27" s="933"/>
      <c r="F27" s="933"/>
      <c r="G27" s="933"/>
      <c r="H27" s="934"/>
      <c r="I27" s="933"/>
      <c r="J27" s="934"/>
    </row>
    <row r="28" spans="1:17" ht="12.75" customHeight="1">
      <c r="A28" s="941" t="s">
        <v>655</v>
      </c>
      <c r="B28" s="952"/>
      <c r="C28" s="932"/>
      <c r="D28" s="933"/>
      <c r="F28" s="930"/>
      <c r="G28" s="942" t="s">
        <v>660</v>
      </c>
      <c r="H28" s="432"/>
      <c r="J28" s="933" t="s">
        <v>686</v>
      </c>
      <c r="K28" s="958">
        <f>SUM(A42)</f>
        <v>156.62</v>
      </c>
      <c r="L28" s="933" t="s">
        <v>735</v>
      </c>
      <c r="M28" s="958">
        <f>SUM(J2+K17+K19+H11+H9-M26)</f>
        <v>9.2160000000000011</v>
      </c>
      <c r="N28" s="958"/>
    </row>
    <row r="29" spans="1:17">
      <c r="A29" s="952">
        <f>PGL_Supplies!M8/1000</f>
        <v>0</v>
      </c>
      <c r="B29" s="952"/>
      <c r="C29" s="933"/>
      <c r="D29" s="1056"/>
      <c r="F29" s="1107">
        <f>PGL_Requirements!A7</f>
        <v>37025</v>
      </c>
      <c r="G29" s="952">
        <f>PGL_Requirements!H7/1000</f>
        <v>1.8620000000000001</v>
      </c>
      <c r="H29" s="931"/>
      <c r="J29" s="933" t="s">
        <v>688</v>
      </c>
      <c r="K29" s="952">
        <f>PGL_Supplies!AC8/1000+PGL_Supplies!L8/1000-PGL_Requirements!O8/1000</f>
        <v>88.539000000000001</v>
      </c>
    </row>
    <row r="30" spans="1:17" ht="10.5" customHeight="1">
      <c r="A30" s="935"/>
      <c r="B30" s="952"/>
      <c r="C30" s="933"/>
      <c r="D30" s="952"/>
      <c r="F30" s="1107">
        <f>PGL_Requirements!A8</f>
        <v>37026</v>
      </c>
      <c r="G30" s="952">
        <f>PGL_Requirements!H8/1000</f>
        <v>12.817</v>
      </c>
    </row>
    <row r="31" spans="1:17" ht="17.25" customHeight="1">
      <c r="A31" s="941" t="s">
        <v>657</v>
      </c>
      <c r="B31" s="1057"/>
      <c r="C31" s="936"/>
      <c r="D31" s="958"/>
      <c r="G31" s="942" t="s">
        <v>658</v>
      </c>
      <c r="H31" s="958"/>
      <c r="J31" s="933" t="s">
        <v>685</v>
      </c>
      <c r="K31" s="958">
        <f>SUM(K28+K29-K26)</f>
        <v>5.1589999999999918</v>
      </c>
    </row>
    <row r="32" spans="1:17">
      <c r="A32" s="952">
        <f>PGL_Supplies!H8/1000</f>
        <v>1</v>
      </c>
      <c r="G32" s="952">
        <f>PGL_Requirements!P8/1000</f>
        <v>123</v>
      </c>
    </row>
    <row r="33" spans="1:11" ht="6.75" customHeight="1"/>
    <row r="34" spans="1:11">
      <c r="A34" s="930" t="s">
        <v>656</v>
      </c>
      <c r="G34" s="933" t="s">
        <v>659</v>
      </c>
    </row>
    <row r="35" spans="1:11">
      <c r="A35" s="1052">
        <v>0</v>
      </c>
      <c r="G35" s="952">
        <f>PGL_Requirements!B8/1000</f>
        <v>0</v>
      </c>
    </row>
    <row r="36" spans="1:11">
      <c r="G36" s="952"/>
    </row>
    <row r="37" spans="1:11">
      <c r="C37" s="930" t="s">
        <v>662</v>
      </c>
      <c r="F37" s="930" t="s">
        <v>663</v>
      </c>
      <c r="G37" s="952"/>
    </row>
    <row r="38" spans="1:11">
      <c r="C38" s="1048">
        <v>449</v>
      </c>
      <c r="F38" s="1048">
        <v>752</v>
      </c>
    </row>
    <row r="39" spans="1:11">
      <c r="A39" s="950" t="s">
        <v>734</v>
      </c>
      <c r="E39" s="932" t="s">
        <v>661</v>
      </c>
      <c r="F39" s="932"/>
    </row>
    <row r="40" spans="1:11">
      <c r="A40" s="958">
        <f>SUM(A3:A35)</f>
        <v>292.43700000000001</v>
      </c>
      <c r="B40" s="946"/>
      <c r="C40" s="945"/>
      <c r="D40" s="946"/>
      <c r="E40" s="946"/>
      <c r="F40" s="1058"/>
      <c r="G40" s="1058">
        <f>SUM(G30:G35)</f>
        <v>135.81700000000001</v>
      </c>
      <c r="H40" s="948"/>
      <c r="I40" s="947"/>
    </row>
    <row r="41" spans="1:11">
      <c r="A41" s="949" t="s">
        <v>677</v>
      </c>
      <c r="B41" s="952"/>
      <c r="C41" s="946"/>
      <c r="D41" s="946"/>
      <c r="E41" s="946"/>
      <c r="F41" s="946"/>
      <c r="G41" s="946"/>
      <c r="H41" s="946"/>
      <c r="I41" s="945"/>
    </row>
    <row r="42" spans="1:11">
      <c r="A42" s="952">
        <f>SUM(A40-G40)</f>
        <v>156.62</v>
      </c>
      <c r="B42" s="952"/>
      <c r="C42" s="946"/>
      <c r="D42" s="946"/>
      <c r="E42" s="946"/>
      <c r="F42" s="955"/>
      <c r="G42" s="957" t="s">
        <v>681</v>
      </c>
      <c r="H42" s="1059"/>
      <c r="I42" s="1060"/>
      <c r="J42" s="1059"/>
      <c r="K42" s="1050"/>
    </row>
    <row r="43" spans="1:11" ht="14.25" customHeight="1">
      <c r="A43" s="952"/>
      <c r="B43" s="952"/>
      <c r="C43" s="952"/>
      <c r="D43" s="952"/>
      <c r="E43" s="955"/>
      <c r="F43" s="954" t="s">
        <v>676</v>
      </c>
      <c r="G43" s="955" t="s">
        <v>675</v>
      </c>
      <c r="I43" s="952"/>
    </row>
    <row r="44" spans="1:11" ht="12.75" customHeight="1">
      <c r="A44" s="949" t="s">
        <v>664</v>
      </c>
      <c r="B44" s="952" t="s">
        <v>669</v>
      </c>
      <c r="C44" s="952" t="s">
        <v>670</v>
      </c>
      <c r="D44" s="952" t="s">
        <v>671</v>
      </c>
      <c r="E44" s="953"/>
      <c r="F44" s="953" t="s">
        <v>672</v>
      </c>
      <c r="G44" s="946" t="s">
        <v>674</v>
      </c>
      <c r="H44" s="932" t="s">
        <v>673</v>
      </c>
      <c r="I44" s="952"/>
      <c r="K44" s="932"/>
    </row>
    <row r="45" spans="1:11">
      <c r="A45" s="949" t="s">
        <v>668</v>
      </c>
      <c r="B45" s="1061">
        <v>250</v>
      </c>
      <c r="C45" s="1061">
        <v>410</v>
      </c>
      <c r="D45" s="1062">
        <f>SUM(F2+F15)/2</f>
        <v>368.5</v>
      </c>
      <c r="E45" s="1063"/>
      <c r="F45" s="1064">
        <v>6.7000000000000004E-2</v>
      </c>
      <c r="G45" s="1065">
        <f>(C45-D45)*F45</f>
        <v>2.7805</v>
      </c>
      <c r="H45" s="1065">
        <f>(D45-B45)*F45</f>
        <v>7.9395000000000007</v>
      </c>
      <c r="I45" s="952"/>
      <c r="J45" s="1066"/>
    </row>
    <row r="46" spans="1:11">
      <c r="A46" s="932" t="s">
        <v>665</v>
      </c>
      <c r="B46" s="1067">
        <v>797</v>
      </c>
      <c r="C46" s="1061">
        <v>797</v>
      </c>
      <c r="D46" s="1062">
        <v>797</v>
      </c>
      <c r="E46" s="1063"/>
      <c r="F46" s="1064">
        <v>0.13900000000000001</v>
      </c>
      <c r="G46" s="1065">
        <f>(C46-D46)*F46</f>
        <v>0</v>
      </c>
      <c r="H46" s="1065">
        <f>(D46-B46)*F46</f>
        <v>0</v>
      </c>
      <c r="I46" s="952"/>
    </row>
    <row r="47" spans="1:11">
      <c r="A47" s="932" t="s">
        <v>666</v>
      </c>
      <c r="B47" s="1067">
        <v>250</v>
      </c>
      <c r="C47" s="1061">
        <v>410</v>
      </c>
      <c r="D47" s="1062">
        <f>SUM(C2+C15)/2</f>
        <v>364</v>
      </c>
      <c r="E47" s="1063"/>
      <c r="F47" s="1064">
        <v>0.14099999999999999</v>
      </c>
      <c r="G47" s="1065">
        <f>(C47-D47)*F47</f>
        <v>6.4859999999999998</v>
      </c>
      <c r="H47" s="1065">
        <f>(D47-B47)*F47</f>
        <v>16.073999999999998</v>
      </c>
      <c r="I47" s="952"/>
    </row>
    <row r="48" spans="1:11">
      <c r="A48" s="932" t="s">
        <v>667</v>
      </c>
      <c r="B48" s="1067">
        <v>285</v>
      </c>
      <c r="C48" s="1061">
        <v>750</v>
      </c>
      <c r="D48" s="1062">
        <f>SUM(C18+C38)/2</f>
        <v>443</v>
      </c>
      <c r="E48" s="1063"/>
      <c r="F48" s="1064">
        <v>0.161</v>
      </c>
      <c r="G48" s="1065">
        <f>(C48-D48)*F48</f>
        <v>49.427</v>
      </c>
      <c r="H48" s="1065">
        <f>(D48-B48)*F48</f>
        <v>25.438000000000002</v>
      </c>
    </row>
    <row r="49" spans="1:8">
      <c r="B49" s="1047"/>
      <c r="C49" s="1047"/>
      <c r="D49" s="1047"/>
      <c r="E49" s="1047"/>
      <c r="F49" s="956" t="s">
        <v>359</v>
      </c>
      <c r="G49" s="1065">
        <f>SUM(G45:G48)</f>
        <v>58.6935</v>
      </c>
      <c r="H49" s="1065">
        <f>SUM(H45:H48)</f>
        <v>49.451500000000003</v>
      </c>
    </row>
    <row r="55" spans="1:8">
      <c r="A55" s="1068"/>
      <c r="G55" s="106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D6" sqref="D6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49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37025</v>
      </c>
      <c r="B5" s="11">
        <v>73</v>
      </c>
      <c r="C5" s="49">
        <v>53</v>
      </c>
      <c r="D5" s="49">
        <v>10.3</v>
      </c>
      <c r="E5" s="11">
        <v>61.8</v>
      </c>
      <c r="F5" s="11">
        <v>76</v>
      </c>
      <c r="G5" s="11">
        <v>6583</v>
      </c>
      <c r="H5" s="11">
        <v>11</v>
      </c>
      <c r="I5" s="909" t="s">
        <v>797</v>
      </c>
      <c r="J5" s="909" t="s">
        <v>798</v>
      </c>
      <c r="K5" s="11">
        <v>6</v>
      </c>
      <c r="L5" s="11">
        <v>1</v>
      </c>
      <c r="N5" s="15" t="str">
        <f>I5&amp;" "&amp;I5</f>
        <v>INCREASING CLOUDS, WITH A CHANCE OF SHOWERS AND T-STORMS THIS AFTER- INCREASING CLOUDS, WITH A CHANCE OF SHOWERS AND T-STORMS THIS AFTER-</v>
      </c>
      <c r="AE5" s="15">
        <v>1</v>
      </c>
      <c r="AH5" s="15" t="s">
        <v>34</v>
      </c>
    </row>
    <row r="6" spans="1:34" ht="16.5" customHeight="1">
      <c r="A6" s="88">
        <f>A5+1</f>
        <v>37026</v>
      </c>
      <c r="B6" s="11">
        <v>87</v>
      </c>
      <c r="C6" s="49">
        <v>67</v>
      </c>
      <c r="D6" s="49">
        <v>11</v>
      </c>
      <c r="E6" s="11" t="s">
        <v>11</v>
      </c>
      <c r="F6" s="11" t="s">
        <v>11</v>
      </c>
      <c r="G6" s="11"/>
      <c r="H6" s="11" t="s">
        <v>11</v>
      </c>
      <c r="I6" s="909" t="s">
        <v>799</v>
      </c>
      <c r="J6" s="909" t="s">
        <v>800</v>
      </c>
      <c r="K6" s="11">
        <v>5</v>
      </c>
      <c r="L6" s="11" t="s">
        <v>626</v>
      </c>
      <c r="N6" s="15" t="str">
        <f>I6&amp;" "&amp;J6</f>
        <v>PARTLY SUNNY AND WARMER. 30% CHANCE OF RAIN IN THE AFTERNOON. TO- NIGHT CLOUDY WITH A 40% CHANCE OF RAIN. LOW IN THE 60S HIGH IN THE LOW 80S.</v>
      </c>
      <c r="AE6" s="15">
        <v>1</v>
      </c>
      <c r="AH6" s="15" t="s">
        <v>35</v>
      </c>
    </row>
    <row r="7" spans="1:34" ht="16.5" customHeight="1">
      <c r="A7" s="88">
        <f>A6+1</f>
        <v>37027</v>
      </c>
      <c r="B7" s="11">
        <v>79</v>
      </c>
      <c r="C7" s="49">
        <v>65</v>
      </c>
      <c r="D7" s="49">
        <v>8</v>
      </c>
      <c r="E7" s="11" t="s">
        <v>11</v>
      </c>
      <c r="F7" s="11" t="s">
        <v>11</v>
      </c>
      <c r="G7" s="11"/>
      <c r="H7" s="11" t="s">
        <v>11</v>
      </c>
      <c r="I7" s="909" t="s">
        <v>801</v>
      </c>
      <c r="J7" s="909" t="s">
        <v>802</v>
      </c>
      <c r="K7" s="11">
        <v>5</v>
      </c>
      <c r="L7" s="11" t="s">
        <v>22</v>
      </c>
      <c r="N7" s="15" t="str">
        <f>I7&amp;" "&amp;J7</f>
        <v>CLOUDY WITH A 30% CHANCE OF RAIN. HIGH IN THE LOWER 80S. BUT TURNING  COOLER NEAR THE LAKE. FAIR AND IN THE UPPER 50S AT NIGHT.</v>
      </c>
    </row>
    <row r="8" spans="1:34" ht="16.5" customHeight="1">
      <c r="A8" s="88">
        <f>A7+1</f>
        <v>37028</v>
      </c>
      <c r="B8" s="11">
        <v>78</v>
      </c>
      <c r="C8" s="49">
        <v>58</v>
      </c>
      <c r="D8" s="49">
        <v>8</v>
      </c>
      <c r="E8" s="11" t="s">
        <v>11</v>
      </c>
      <c r="F8" s="11" t="s">
        <v>11</v>
      </c>
      <c r="G8" s="11"/>
      <c r="H8" s="11" t="s">
        <v>11</v>
      </c>
      <c r="I8" s="909" t="s">
        <v>803</v>
      </c>
      <c r="J8" s="909" t="s">
        <v>11</v>
      </c>
      <c r="K8" s="11">
        <v>6</v>
      </c>
      <c r="L8" s="11"/>
      <c r="N8" s="15" t="str">
        <f>I8&amp;" "&amp;J8</f>
        <v xml:space="preserve">PARTLY CLOUDY WITH A CHANCE OF T-STORMS. HIGH NEAR 80.  </v>
      </c>
    </row>
    <row r="9" spans="1:34" ht="16.5" customHeight="1">
      <c r="A9" s="88">
        <f>A8+1</f>
        <v>37029</v>
      </c>
      <c r="B9" s="11">
        <v>74</v>
      </c>
      <c r="C9" s="49">
        <v>58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909" t="s">
        <v>804</v>
      </c>
      <c r="J9" s="909" t="s">
        <v>805</v>
      </c>
      <c r="K9" s="11">
        <v>6</v>
      </c>
      <c r="L9" s="11">
        <v>0</v>
      </c>
      <c r="M9" s="89"/>
      <c r="N9" s="15" t="str">
        <f>I10&amp;" "&amp;J9</f>
        <v>FAIR… LOW AROUND MIDDLE 50S HIGHS NEAR 75. LOW 60S AT NIGHT.</v>
      </c>
    </row>
    <row r="10" spans="1:34" ht="16.5" customHeight="1">
      <c r="A10" s="88">
        <f>A9+1</f>
        <v>37030</v>
      </c>
      <c r="B10" s="11">
        <v>72</v>
      </c>
      <c r="C10" s="49">
        <v>53</v>
      </c>
      <c r="D10" s="49">
        <v>12</v>
      </c>
      <c r="E10" s="11" t="s">
        <v>11</v>
      </c>
      <c r="F10" s="11" t="s">
        <v>11</v>
      </c>
      <c r="G10" s="11"/>
      <c r="H10" s="11" t="s">
        <v>11</v>
      </c>
      <c r="I10" s="909" t="s">
        <v>806</v>
      </c>
      <c r="J10" s="909" t="s">
        <v>11</v>
      </c>
      <c r="K10" s="11">
        <v>3</v>
      </c>
      <c r="L10" s="11" t="s">
        <v>414</v>
      </c>
    </row>
    <row r="11" spans="1:34" ht="16.5" customHeight="1">
      <c r="G11"/>
    </row>
    <row r="12" spans="1:34" ht="15.6">
      <c r="E12" s="85"/>
      <c r="F12" s="85"/>
      <c r="G12" s="463"/>
      <c r="H12" s="85"/>
      <c r="I12" s="85"/>
      <c r="J12" s="85"/>
    </row>
    <row r="13" spans="1:34" ht="15">
      <c r="E13" s="85"/>
      <c r="F13" s="85"/>
      <c r="G13" s="481" t="s">
        <v>11</v>
      </c>
      <c r="H13" s="85"/>
      <c r="I13" s="85"/>
      <c r="J13" s="85"/>
    </row>
    <row r="14" spans="1:34" ht="15">
      <c r="E14" s="85"/>
      <c r="F14" s="85"/>
      <c r="G14" s="464"/>
      <c r="H14" s="85"/>
      <c r="I14" s="85"/>
      <c r="J14" s="85"/>
    </row>
    <row r="15" spans="1:34">
      <c r="E15" s="85"/>
      <c r="F15" s="85"/>
      <c r="G15" s="480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3" t="s">
        <v>573</v>
      </c>
      <c r="B2" s="185">
        <f>PGL_Deliveries!U5/1000</f>
        <v>275.48399999999998</v>
      </c>
      <c r="C2" s="60"/>
      <c r="D2" s="120" t="s">
        <v>324</v>
      </c>
      <c r="E2" s="425">
        <f>Weather_Input!A5</f>
        <v>37025</v>
      </c>
      <c r="F2" s="60"/>
      <c r="H2"/>
      <c r="I2"/>
      <c r="J2"/>
      <c r="K2"/>
      <c r="L2"/>
      <c r="M2"/>
    </row>
    <row r="3" spans="1:13" ht="15">
      <c r="A3" s="99" t="s">
        <v>574</v>
      </c>
      <c r="B3" s="631">
        <f>PGL_Supplies!J7/1000</f>
        <v>0</v>
      </c>
      <c r="C3" s="184"/>
      <c r="D3" s="1122" t="s">
        <v>766</v>
      </c>
      <c r="E3" s="806">
        <f>PGL_Deliveries!T5/1000</f>
        <v>0</v>
      </c>
      <c r="F3" s="183"/>
      <c r="H3"/>
      <c r="I3"/>
      <c r="J3"/>
      <c r="K3"/>
      <c r="L3"/>
      <c r="M3"/>
    </row>
    <row r="4" spans="1:13" ht="15.6" thickBot="1">
      <c r="A4" s="102"/>
      <c r="B4" s="162"/>
      <c r="C4" s="159"/>
      <c r="D4" s="787"/>
      <c r="E4" s="167"/>
      <c r="F4" s="166"/>
      <c r="H4"/>
      <c r="I4"/>
      <c r="J4"/>
      <c r="K4"/>
      <c r="L4"/>
      <c r="M4"/>
    </row>
    <row r="5" spans="1:13" ht="15">
      <c r="A5" s="182" t="s">
        <v>577</v>
      </c>
      <c r="B5" s="153">
        <f>PGL_Deliveries!D5/1000</f>
        <v>0</v>
      </c>
      <c r="C5" s="64"/>
      <c r="D5" s="59" t="s">
        <v>575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6" thickBot="1">
      <c r="A6" s="181" t="s">
        <v>254</v>
      </c>
      <c r="B6" s="153">
        <f>PGL_Deliveries!I5/1000</f>
        <v>213.99199999999999</v>
      </c>
      <c r="C6" s="168"/>
      <c r="D6" s="59" t="s">
        <v>576</v>
      </c>
      <c r="E6" s="153">
        <f>PGL_Deliveries!P5/1000</f>
        <v>0.82399999999999995</v>
      </c>
      <c r="F6" s="170"/>
      <c r="H6"/>
      <c r="I6"/>
      <c r="J6"/>
      <c r="K6"/>
      <c r="L6"/>
      <c r="M6"/>
    </row>
    <row r="7" spans="1:13" ht="16.2" thickBot="1">
      <c r="A7" s="180" t="s">
        <v>579</v>
      </c>
      <c r="B7" s="227">
        <f>SUM(B5:B6)</f>
        <v>213.99199999999999</v>
      </c>
      <c r="C7" s="168"/>
      <c r="D7" s="117" t="s">
        <v>208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3" t="s">
        <v>743</v>
      </c>
      <c r="B8" s="153">
        <f>PGL_Deliveries!V5/1000</f>
        <v>151.267</v>
      </c>
      <c r="C8" s="630"/>
      <c r="D8" s="117" t="s">
        <v>578</v>
      </c>
      <c r="E8" s="153">
        <f>PGL_Deliveries!N5/1000</f>
        <v>1.2290000000000001</v>
      </c>
      <c r="F8" s="170"/>
      <c r="H8"/>
      <c r="I8"/>
      <c r="J8"/>
      <c r="K8"/>
      <c r="L8"/>
      <c r="M8"/>
    </row>
    <row r="9" spans="1:13" ht="15">
      <c r="A9" s="171" t="s">
        <v>68</v>
      </c>
      <c r="B9" s="153">
        <f>PGL_Deliveries!W5/1000</f>
        <v>0</v>
      </c>
      <c r="C9" s="64"/>
      <c r="D9" s="117" t="s">
        <v>211</v>
      </c>
      <c r="E9" s="153">
        <f>PGL_Deliveries!Q5/1000</f>
        <v>0.19600000000000001</v>
      </c>
      <c r="F9" s="170"/>
      <c r="H9"/>
      <c r="I9"/>
      <c r="J9"/>
      <c r="K9"/>
      <c r="L9"/>
      <c r="M9"/>
    </row>
    <row r="10" spans="1:13" ht="15">
      <c r="A10" s="171" t="s">
        <v>181</v>
      </c>
      <c r="B10" s="153">
        <f>PGL_Deliveries!X5/1000</f>
        <v>0</v>
      </c>
      <c r="C10" s="64"/>
      <c r="D10" s="117" t="s">
        <v>213</v>
      </c>
      <c r="E10" s="153">
        <f>PGL_Deliveries!S5/1000</f>
        <v>5.0830000000000002</v>
      </c>
      <c r="F10" s="170"/>
      <c r="H10"/>
      <c r="I10"/>
      <c r="J10"/>
      <c r="K10"/>
      <c r="L10"/>
      <c r="M10"/>
    </row>
    <row r="11" spans="1:13" ht="15">
      <c r="A11" s="172" t="s">
        <v>74</v>
      </c>
      <c r="B11" s="153">
        <f>(PGL_Deliveries!AJ5+PGL_Deliveries!AK5)/1000</f>
        <v>18.942</v>
      </c>
      <c r="C11" s="64"/>
      <c r="D11" s="117" t="s">
        <v>580</v>
      </c>
      <c r="E11" s="153">
        <f>PGL_Deliveries!R5/1000</f>
        <v>2.25</v>
      </c>
      <c r="F11" s="170"/>
      <c r="H11"/>
      <c r="I11"/>
      <c r="J11"/>
      <c r="K11"/>
      <c r="L11"/>
      <c r="M11"/>
    </row>
    <row r="12" spans="1:13" ht="15">
      <c r="A12" s="171" t="s">
        <v>581</v>
      </c>
      <c r="B12" s="153">
        <f>PGL_Supplies!K7/1000</f>
        <v>0</v>
      </c>
      <c r="C12" s="64"/>
      <c r="D12" s="117" t="s">
        <v>217</v>
      </c>
      <c r="E12" s="153">
        <f>PGL_Deliveries!G5/1000</f>
        <v>5.0999999999999997E-2</v>
      </c>
      <c r="F12" s="170"/>
      <c r="H12"/>
      <c r="I12"/>
      <c r="J12"/>
      <c r="K12"/>
      <c r="L12"/>
      <c r="M12"/>
    </row>
    <row r="13" spans="1:13" ht="15">
      <c r="A13" s="171" t="s">
        <v>582</v>
      </c>
      <c r="B13" s="153">
        <f>PGL_Deliveries!Y5/1000+PGL_Deliveries!Z5/1000+PGL_Deliveries!AA5/1000-PGL_Deliveries!BE5/1000</f>
        <v>170.697</v>
      </c>
      <c r="C13" s="64"/>
      <c r="D13" s="117" t="s">
        <v>219</v>
      </c>
      <c r="E13" s="153">
        <f>PGL_Deliveries!F5/1000</f>
        <v>8.84</v>
      </c>
      <c r="F13" s="170"/>
      <c r="H13"/>
      <c r="I13"/>
      <c r="J13"/>
      <c r="K13"/>
      <c r="L13"/>
      <c r="M13"/>
    </row>
    <row r="14" spans="1:13" ht="15">
      <c r="A14" s="171" t="s">
        <v>183</v>
      </c>
      <c r="B14" s="153">
        <f>PGL_Deliveries!AD5/1000</f>
        <v>0</v>
      </c>
      <c r="C14" s="64"/>
      <c r="D14" s="117" t="s">
        <v>220</v>
      </c>
      <c r="E14" s="153">
        <f>PGL_Deliveries!H5/1000</f>
        <v>40.332999999999998</v>
      </c>
      <c r="F14" s="170"/>
      <c r="G14" s="153"/>
      <c r="H14"/>
      <c r="I14"/>
      <c r="J14"/>
      <c r="K14"/>
      <c r="L14"/>
      <c r="M14"/>
    </row>
    <row r="15" spans="1:13" ht="15">
      <c r="A15" s="171" t="s">
        <v>184</v>
      </c>
      <c r="B15" s="153">
        <f>PGL_Deliveries!AH5/1000+PGL_Deliveries!AX5/1000+PGL_Deliveries!AT5/1000-PGL_Deliveries!AS5/1000-PGL_Deliveries!AU5/1000+PGL_Deliveries!AE5/1000+PGL_Deliveries!AF5/1000-PGL_Deliveries!AV5/1000</f>
        <v>-102.30800000000001</v>
      </c>
      <c r="C15" s="64"/>
      <c r="D15" s="59" t="s">
        <v>402</v>
      </c>
      <c r="E15" s="153">
        <f>PGL_Deliveries!K5/1000</f>
        <v>1.4999999999999999E-2</v>
      </c>
      <c r="F15" s="170"/>
      <c r="H15"/>
      <c r="I15"/>
      <c r="J15"/>
      <c r="K15"/>
      <c r="L15"/>
      <c r="M15"/>
    </row>
    <row r="16" spans="1:13" ht="15">
      <c r="A16" s="171" t="s">
        <v>583</v>
      </c>
      <c r="B16" s="60"/>
      <c r="C16" s="225">
        <f>PGL_Deliveries!AO5/1000</f>
        <v>24.606000000000002</v>
      </c>
      <c r="D16" s="117" t="s">
        <v>223</v>
      </c>
      <c r="E16" s="153">
        <f>PGL_Deliveries!L5/1000</f>
        <v>1.0569999999999999</v>
      </c>
      <c r="F16" s="170"/>
      <c r="H16"/>
      <c r="I16"/>
      <c r="J16"/>
      <c r="K16"/>
      <c r="L16"/>
      <c r="M16"/>
    </row>
    <row r="17" spans="1:13" ht="15.6" thickBot="1">
      <c r="A17" s="169" t="s">
        <v>186</v>
      </c>
      <c r="B17" s="153">
        <f>PGL_Deliveries!AP5/1000</f>
        <v>0</v>
      </c>
      <c r="C17" s="168" t="s">
        <v>11</v>
      </c>
      <c r="D17" s="1156" t="s">
        <v>222</v>
      </c>
      <c r="E17" s="209">
        <f>PGL_Deliveries!M5/1000</f>
        <v>1.6140000000000001</v>
      </c>
      <c r="F17" s="166"/>
      <c r="H17"/>
      <c r="I17"/>
      <c r="J17"/>
      <c r="K17"/>
      <c r="L17"/>
      <c r="M17"/>
    </row>
    <row r="18" spans="1:13" ht="16.2" thickBot="1">
      <c r="A18" s="179" t="s">
        <v>584</v>
      </c>
      <c r="B18" s="903">
        <f>SUM(B8:B17)-C16</f>
        <v>213.99200000000002</v>
      </c>
      <c r="C18" s="168"/>
      <c r="D18" s="178" t="s">
        <v>585</v>
      </c>
      <c r="E18" s="177">
        <f>SUM(E5:E17)</f>
        <v>61.491999999999997</v>
      </c>
      <c r="F18" s="166"/>
      <c r="H18"/>
      <c r="I18"/>
      <c r="J18"/>
      <c r="K18"/>
      <c r="L18"/>
      <c r="M18"/>
    </row>
    <row r="19" spans="1:13" ht="15">
      <c r="A19" s="443" t="s">
        <v>748</v>
      </c>
      <c r="B19" s="153">
        <f>PGL_Supplies!Y7/1000</f>
        <v>157.29400000000001</v>
      </c>
      <c r="C19" s="630"/>
      <c r="D19" s="117" t="s">
        <v>319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745</v>
      </c>
      <c r="B20" s="153">
        <f>PGL_Supplies!X7/1000</f>
        <v>0</v>
      </c>
      <c r="C20" s="64"/>
      <c r="D20" s="117" t="s">
        <v>189</v>
      </c>
      <c r="E20" s="153">
        <f>PGL_Deliveries!AW5/1000+B41</f>
        <v>1.5499499999999999</v>
      </c>
      <c r="F20" s="170"/>
      <c r="H20"/>
      <c r="I20"/>
      <c r="J20"/>
      <c r="K20"/>
      <c r="L20"/>
      <c r="M20"/>
    </row>
    <row r="21" spans="1:13" ht="16.2" thickBot="1">
      <c r="A21" s="171" t="s">
        <v>749</v>
      </c>
      <c r="C21" s="175">
        <f>PGL_Requirements!J7/1000</f>
        <v>0</v>
      </c>
      <c r="D21" s="629" t="s">
        <v>586</v>
      </c>
      <c r="E21" s="210">
        <f>SUM(E18:E20)</f>
        <v>63.04195</v>
      </c>
      <c r="F21" s="176"/>
      <c r="H21"/>
      <c r="I21"/>
      <c r="J21"/>
      <c r="K21"/>
      <c r="L21"/>
      <c r="M21"/>
    </row>
    <row r="22" spans="1:13" ht="15">
      <c r="A22" s="174" t="s">
        <v>359</v>
      </c>
      <c r="B22" s="1128">
        <f>+B19+B20-C21</f>
        <v>157.29400000000001</v>
      </c>
      <c r="C22" s="1121"/>
      <c r="D22" s="250" t="s">
        <v>587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227</v>
      </c>
      <c r="B23" s="153">
        <f>PGL_Supplies!Z7/1000</f>
        <v>40.200000000000003</v>
      </c>
      <c r="C23" s="64"/>
      <c r="D23" s="250" t="s">
        <v>588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759</v>
      </c>
      <c r="B24" s="632"/>
      <c r="C24" s="225">
        <f>PGL_Requirements!U7/1000</f>
        <v>40.200000000000003</v>
      </c>
      <c r="D24" s="60" t="s">
        <v>589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758</v>
      </c>
      <c r="B25" s="153">
        <f>PGL_Supplies!R7/1000</f>
        <v>0</v>
      </c>
      <c r="C25" s="64"/>
      <c r="D25" s="250" t="s">
        <v>591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233</v>
      </c>
      <c r="B26" s="68" t="s">
        <v>11</v>
      </c>
      <c r="C26" s="483" t="s">
        <v>11</v>
      </c>
      <c r="D26" s="60" t="s">
        <v>593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590</v>
      </c>
      <c r="B27" s="153">
        <f>PGL_Supplies!AA7/1000</f>
        <v>0</v>
      </c>
      <c r="C27" s="64"/>
      <c r="D27" s="60" t="s">
        <v>192</v>
      </c>
      <c r="E27" s="60" t="s">
        <v>11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592</v>
      </c>
      <c r="B28" s="153">
        <v>0</v>
      </c>
      <c r="C28" s="64"/>
      <c r="D28" s="250" t="s">
        <v>595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594</v>
      </c>
      <c r="B29" s="68"/>
      <c r="C29" s="483">
        <f>PGL_Requirements!J12/1000</f>
        <v>0</v>
      </c>
      <c r="D29" s="633" t="s">
        <v>196</v>
      </c>
      <c r="E29" s="234" t="s">
        <v>11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596</v>
      </c>
      <c r="B30" s="1077">
        <f>PGL_Supplies!AD7/1000</f>
        <v>0</v>
      </c>
      <c r="C30" s="64"/>
      <c r="D30" s="633" t="s">
        <v>598</v>
      </c>
      <c r="E30" s="60" t="s">
        <v>11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597</v>
      </c>
      <c r="B31" s="153">
        <f>PGL_Supplies!AE7/1000</f>
        <v>0</v>
      </c>
      <c r="C31" s="64"/>
      <c r="D31" s="250" t="s">
        <v>599</v>
      </c>
      <c r="E31" s="60" t="s">
        <v>11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9</v>
      </c>
      <c r="B32" s="60"/>
      <c r="C32" s="225">
        <v>0</v>
      </c>
      <c r="D32" s="173" t="s">
        <v>600</v>
      </c>
      <c r="E32" s="153">
        <f>PGL_Deliveries!AR5/1000</f>
        <v>8.4719999999999995</v>
      </c>
      <c r="F32" s="170"/>
      <c r="H32"/>
      <c r="I32"/>
      <c r="J32"/>
      <c r="K32"/>
      <c r="L32"/>
      <c r="M32"/>
    </row>
    <row r="33" spans="1:13" ht="15">
      <c r="A33" s="172" t="s">
        <v>8</v>
      </c>
      <c r="B33" s="153">
        <f>PGL_Supplies!Q7/1000</f>
        <v>0</v>
      </c>
      <c r="C33" s="64"/>
      <c r="D33" s="250" t="s">
        <v>731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601</v>
      </c>
      <c r="B34" s="634">
        <f>(PGL_Deliveries!AB5+PGL_Deliveries!AC5+PGL_Deliveries!AD5)/1000</f>
        <v>0</v>
      </c>
      <c r="C34" s="64"/>
      <c r="D34" s="60" t="s">
        <v>197</v>
      </c>
      <c r="E34" s="153">
        <f>PGL_Supplies!AC7/1000</f>
        <v>54.57</v>
      </c>
      <c r="F34" s="170"/>
      <c r="H34"/>
      <c r="I34"/>
      <c r="J34"/>
      <c r="K34"/>
      <c r="L34"/>
      <c r="M34"/>
    </row>
    <row r="35" spans="1:13" ht="15">
      <c r="A35" s="171" t="s">
        <v>602</v>
      </c>
      <c r="B35" s="60"/>
      <c r="C35" s="64">
        <f>PGL_Deliveries!AC5/1000</f>
        <v>0</v>
      </c>
      <c r="D35" s="60" t="s">
        <v>603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604</v>
      </c>
      <c r="B36" s="68"/>
      <c r="C36" s="483">
        <f>PGL_Deliveries!AB5/1000</f>
        <v>0</v>
      </c>
      <c r="D36" s="173" t="s">
        <v>605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606</v>
      </c>
      <c r="B37" s="153" t="s">
        <v>11</v>
      </c>
      <c r="C37" s="225">
        <f>PGL_Requirements!P7/1000</f>
        <v>103.33</v>
      </c>
      <c r="D37" s="250" t="s">
        <v>607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608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2" thickBot="1">
      <c r="A39" s="171" t="s">
        <v>609</v>
      </c>
      <c r="B39" s="60"/>
      <c r="C39" s="225">
        <f>PGL_Deliveries!AS5/1000</f>
        <v>0</v>
      </c>
      <c r="D39" s="211" t="s">
        <v>224</v>
      </c>
      <c r="E39" s="210">
        <f>SUM(E22:E37)-SUM(F23:F38)-E33</f>
        <v>63.042000000000002</v>
      </c>
      <c r="F39" s="166"/>
      <c r="G39" s="1" t="s">
        <v>11</v>
      </c>
      <c r="H39"/>
      <c r="I39"/>
      <c r="J39"/>
      <c r="K39"/>
      <c r="L39"/>
      <c r="M39"/>
    </row>
    <row r="40" spans="1:13" ht="15">
      <c r="A40" s="171" t="s">
        <v>209</v>
      </c>
      <c r="B40" s="153">
        <f>PGL_Deliveries!AT5/1000</f>
        <v>1.6719999999999999</v>
      </c>
      <c r="C40" s="64"/>
      <c r="D40" s="779" t="s">
        <v>610</v>
      </c>
      <c r="E40" s="806"/>
      <c r="F40" s="175">
        <f>PGL_Requirements!K7/1000</f>
        <v>7.8170000000000002</v>
      </c>
      <c r="H40"/>
      <c r="I40"/>
      <c r="J40"/>
      <c r="K40"/>
      <c r="L40"/>
      <c r="M40"/>
    </row>
    <row r="41" spans="1:13" ht="15">
      <c r="A41" s="171" t="s">
        <v>216</v>
      </c>
      <c r="B41" s="153">
        <f>PGL_Deliveries!AG5/1000</f>
        <v>0</v>
      </c>
      <c r="C41" s="64"/>
      <c r="D41" s="250" t="s">
        <v>524</v>
      </c>
      <c r="E41" s="807">
        <f>PGL_Supplies!AB7/1000</f>
        <v>169.63</v>
      </c>
      <c r="F41" s="170"/>
      <c r="H41"/>
      <c r="I41"/>
      <c r="J41"/>
      <c r="K41"/>
      <c r="L41"/>
      <c r="M41"/>
    </row>
    <row r="42" spans="1:13" ht="15">
      <c r="A42" s="172" t="s">
        <v>611</v>
      </c>
      <c r="B42" s="153">
        <f>PGL_Deliveries!AF5/1000</f>
        <v>0</v>
      </c>
      <c r="C42" s="64"/>
      <c r="D42" s="60" t="s">
        <v>393</v>
      </c>
      <c r="E42" s="807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612</v>
      </c>
      <c r="B43" s="153">
        <f>PGL_Deliveries!AW5/1000</f>
        <v>1.5499499999999999</v>
      </c>
      <c r="C43" s="64"/>
      <c r="D43" s="60" t="s">
        <v>527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6" thickBot="1">
      <c r="A44" s="169" t="s">
        <v>740</v>
      </c>
      <c r="B44" s="209" t="s">
        <v>11</v>
      </c>
      <c r="C44" s="225">
        <f>PGL_Requirements!R7/1000</f>
        <v>0.65</v>
      </c>
      <c r="D44" s="60" t="s">
        <v>528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3" t="s">
        <v>613</v>
      </c>
      <c r="B45" s="60">
        <f>Weather_Input!B5</f>
        <v>73</v>
      </c>
      <c r="C45" s="184"/>
      <c r="D45" s="60" t="s">
        <v>623</v>
      </c>
      <c r="E45" s="807">
        <f>PGL_Supplies!T7/1000</f>
        <v>20</v>
      </c>
      <c r="F45" s="170"/>
    </row>
    <row r="46" spans="1:13" ht="15">
      <c r="A46" s="171" t="s">
        <v>614</v>
      </c>
      <c r="B46" s="238">
        <f>Weather_Input!C5</f>
        <v>53</v>
      </c>
      <c r="C46" s="161"/>
      <c r="D46" s="74" t="s">
        <v>622</v>
      </c>
      <c r="E46" s="60"/>
      <c r="F46" s="175">
        <f>PGL_Deliveries!BE5/1000</f>
        <v>0</v>
      </c>
    </row>
    <row r="47" spans="1:13" ht="15">
      <c r="A47" s="172" t="s">
        <v>615</v>
      </c>
      <c r="B47" s="60">
        <f>Weather_Input!E5</f>
        <v>61.8</v>
      </c>
      <c r="C47" s="161"/>
      <c r="D47" s="778" t="s">
        <v>789</v>
      </c>
      <c r="E47" s="68"/>
      <c r="F47" s="175">
        <f>PGL_Deliveries!BF5/1000</f>
        <v>8.7140000000000004</v>
      </c>
    </row>
    <row r="48" spans="1:13" ht="15">
      <c r="A48" s="171" t="s">
        <v>616</v>
      </c>
      <c r="B48" s="226">
        <f>Weather_Input!D5</f>
        <v>10.3</v>
      </c>
      <c r="C48" s="161"/>
      <c r="D48" s="250" t="s">
        <v>245</v>
      </c>
      <c r="E48" s="153">
        <f>PGL_Deliveries!AI5/1000</f>
        <v>0</v>
      </c>
      <c r="F48" s="160"/>
    </row>
    <row r="49" spans="1:6" ht="15">
      <c r="A49" s="171" t="s">
        <v>617</v>
      </c>
      <c r="B49" s="153">
        <f>PGL_Deliveries!AM5/1000</f>
        <v>1.0169999999999999</v>
      </c>
      <c r="C49" s="161"/>
      <c r="D49" s="60" t="s">
        <v>778</v>
      </c>
      <c r="E49" s="153">
        <f>PGL_Deliveries!AJ5/1000</f>
        <v>17.111000000000001</v>
      </c>
      <c r="F49" s="160"/>
    </row>
    <row r="50" spans="1:6" ht="15.6" outlineLevel="2" thickBot="1">
      <c r="A50" s="102" t="s">
        <v>618</v>
      </c>
      <c r="B50" s="162"/>
      <c r="C50" s="159"/>
      <c r="D50" s="167" t="s">
        <v>619</v>
      </c>
      <c r="E50" s="209">
        <f>PGL_Deliveries!AK5/1000</f>
        <v>1.831</v>
      </c>
      <c r="F50" s="442"/>
    </row>
    <row r="51" spans="1:6" ht="15" outlineLevel="2">
      <c r="A51" s="420" t="s">
        <v>620</v>
      </c>
      <c r="B51"/>
      <c r="C51"/>
      <c r="D51"/>
      <c r="E51"/>
      <c r="F51" s="121"/>
    </row>
    <row r="52" spans="1:6" ht="15" outlineLevel="2">
      <c r="A52" t="s">
        <v>11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11</v>
      </c>
      <c r="B61" s="226" t="s">
        <v>11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21" t="s">
        <v>11</v>
      </c>
    </row>
    <row r="2" spans="1:11" ht="15">
      <c r="A2" s="121" t="s">
        <v>11</v>
      </c>
      <c r="B2" s="134"/>
      <c r="C2"/>
      <c r="D2"/>
      <c r="E2"/>
      <c r="F2"/>
      <c r="G2"/>
      <c r="J2"/>
      <c r="K2"/>
    </row>
    <row r="3" spans="1:11" ht="15.6" thickBot="1">
      <c r="A3" s="1129" t="s">
        <v>5</v>
      </c>
      <c r="B3" s="243">
        <f>NSG_Deliveries!H5/1000</f>
        <v>54.890999999999998</v>
      </c>
      <c r="C3" s="119"/>
      <c r="D3" s="229" t="s">
        <v>324</v>
      </c>
      <c r="E3" s="428">
        <f>Weather_Input!A5</f>
        <v>37025</v>
      </c>
      <c r="F3" s="119"/>
      <c r="G3"/>
      <c r="J3"/>
      <c r="K3"/>
    </row>
    <row r="4" spans="1:11" ht="15.6" thickTop="1">
      <c r="A4" s="248"/>
      <c r="B4" s="241"/>
      <c r="C4" s="131"/>
      <c r="D4" s="161"/>
      <c r="E4" s="161"/>
      <c r="F4" s="125"/>
      <c r="G4"/>
      <c r="J4"/>
      <c r="K4"/>
    </row>
    <row r="5" spans="1:11" ht="15">
      <c r="A5" s="249" t="s">
        <v>178</v>
      </c>
      <c r="B5" s="242">
        <f>NSG_Deliveries!E5/1000</f>
        <v>39.284999999999997</v>
      </c>
      <c r="C5" s="145"/>
      <c r="D5" s="221" t="s">
        <v>326</v>
      </c>
      <c r="E5" s="216">
        <f>NSG_Deliveries!D5/1000</f>
        <v>0</v>
      </c>
      <c r="F5" s="212"/>
      <c r="G5"/>
      <c r="J5"/>
      <c r="K5"/>
    </row>
    <row r="6" spans="1:11" ht="15" customHeight="1">
      <c r="A6" s="248"/>
      <c r="B6" s="241"/>
      <c r="C6" s="131"/>
      <c r="D6" s="161"/>
      <c r="E6" s="161"/>
      <c r="F6" s="126"/>
      <c r="G6"/>
    </row>
    <row r="7" spans="1:11" ht="15" customHeight="1">
      <c r="A7" s="249" t="s">
        <v>327</v>
      </c>
      <c r="B7" s="216">
        <f>NSG_Deliveries!G5/1000</f>
        <v>0</v>
      </c>
      <c r="C7" s="817"/>
      <c r="D7" s="221" t="s">
        <v>328</v>
      </c>
      <c r="E7" s="216">
        <f>NSG_Supplies!U7/1000</f>
        <v>0</v>
      </c>
      <c r="F7" s="115"/>
      <c r="G7"/>
    </row>
    <row r="8" spans="1:11" ht="15" customHeight="1">
      <c r="A8" s="236" t="s">
        <v>224</v>
      </c>
      <c r="B8" s="216">
        <f>B5+B7</f>
        <v>39.284999999999997</v>
      </c>
      <c r="C8" s="160"/>
      <c r="D8" s="818" t="s">
        <v>641</v>
      </c>
      <c r="E8" s="812">
        <f>NSG_Deliveries!F5/1000</f>
        <v>15.606</v>
      </c>
      <c r="F8" s="811"/>
      <c r="G8"/>
    </row>
    <row r="9" spans="1:11" ht="15" customHeight="1">
      <c r="A9" s="244" t="s">
        <v>323</v>
      </c>
      <c r="B9" s="217" t="s">
        <v>11</v>
      </c>
      <c r="C9" s="133">
        <f>NSG_Requirements!L7/1000</f>
        <v>0</v>
      </c>
      <c r="D9" s="1" t="s">
        <v>631</v>
      </c>
      <c r="E9" s="813" t="s">
        <v>11</v>
      </c>
      <c r="F9" s="1036">
        <f>NSG_Deliveries!M5/1000</f>
        <v>4.3940000000000001</v>
      </c>
      <c r="G9" s="121"/>
    </row>
    <row r="10" spans="1:11" ht="15" customHeight="1">
      <c r="A10" s="127" t="s">
        <v>330</v>
      </c>
      <c r="B10" s="218">
        <f>NSG_Supplies!H7/1000</f>
        <v>0</v>
      </c>
      <c r="C10" s="132"/>
      <c r="D10" s="1038" t="s">
        <v>632</v>
      </c>
      <c r="E10" s="445">
        <f>NSG_Deliveries!N5/1000</f>
        <v>0</v>
      </c>
      <c r="F10" s="814"/>
      <c r="G10"/>
    </row>
    <row r="11" spans="1:11" ht="15" customHeight="1" thickBot="1">
      <c r="A11" s="130" t="s">
        <v>331</v>
      </c>
      <c r="B11" s="426" t="s">
        <v>11</v>
      </c>
      <c r="C11" s="427"/>
      <c r="D11" s="169" t="s">
        <v>642</v>
      </c>
      <c r="E11" s="815">
        <f>NSG_Supplies!Q7/1000</f>
        <v>20</v>
      </c>
      <c r="F11" s="816"/>
      <c r="G11"/>
    </row>
    <row r="12" spans="1:11" ht="15" customHeight="1">
      <c r="A12" s="127" t="s">
        <v>394</v>
      </c>
      <c r="B12" s="218">
        <v>0</v>
      </c>
      <c r="C12" s="131"/>
      <c r="D12" t="s">
        <v>329</v>
      </c>
      <c r="E12" s="241"/>
      <c r="F12" s="797">
        <f>NSG_Requirements!K7/1000+NSG_Requirements!L7/1000+NSG_Requirements!M7/1000+NSG_Requirements!N7/1000</f>
        <v>0</v>
      </c>
      <c r="G12"/>
    </row>
    <row r="13" spans="1:11" ht="15" customHeight="1">
      <c r="A13" s="127" t="s">
        <v>334</v>
      </c>
      <c r="B13" s="218">
        <f>NSG_Supplies!R7/1000</f>
        <v>31.776</v>
      </c>
      <c r="C13" s="131"/>
      <c r="D13" s="246" t="s">
        <v>332</v>
      </c>
      <c r="E13" s="239"/>
      <c r="F13" s="247"/>
      <c r="G13"/>
    </row>
    <row r="14" spans="1:11" ht="15" customHeight="1">
      <c r="A14" s="127" t="s">
        <v>194</v>
      </c>
      <c r="B14" s="218">
        <f>NSG_Supplies!C7/1000</f>
        <v>0</v>
      </c>
      <c r="C14" s="131"/>
      <c r="D14" s="213" t="s">
        <v>333</v>
      </c>
      <c r="E14" s="245" t="s">
        <v>11</v>
      </c>
      <c r="F14" s="128">
        <f>NSG_Requirements!M7/1000</f>
        <v>0</v>
      </c>
    </row>
    <row r="15" spans="1:11" ht="15" customHeight="1">
      <c r="A15" s="129" t="s">
        <v>336</v>
      </c>
      <c r="B15" s="213"/>
      <c r="C15" s="133">
        <f>NSG_Deliveries!K5/1000</f>
        <v>0</v>
      </c>
      <c r="D15" s="237" t="s">
        <v>335</v>
      </c>
      <c r="E15" s="771">
        <f>+NSG_Supplies!O7/1000</f>
        <v>0</v>
      </c>
      <c r="F15" s="214"/>
    </row>
    <row r="16" spans="1:11" ht="15" customHeight="1" thickBot="1">
      <c r="A16" s="129" t="s">
        <v>337</v>
      </c>
      <c r="B16" s="445">
        <f>NSG_Deliveries!L5/1000</f>
        <v>7.5090000000000003</v>
      </c>
      <c r="C16" s="1037"/>
      <c r="D16" s="826" t="s">
        <v>243</v>
      </c>
      <c r="E16" s="235" t="s">
        <v>11</v>
      </c>
      <c r="F16" s="128">
        <f>NSG_Requirements!X7/1000</f>
        <v>0</v>
      </c>
    </row>
    <row r="17" spans="1:8" ht="15" customHeight="1" thickBot="1">
      <c r="A17" s="127" t="s">
        <v>338</v>
      </c>
      <c r="B17" s="213"/>
      <c r="C17" s="133">
        <f>NSG_Requirements!P7/1000</f>
        <v>0</v>
      </c>
      <c r="D17" s="430" t="s">
        <v>339</v>
      </c>
      <c r="E17" s="429"/>
      <c r="F17" s="431"/>
    </row>
    <row r="18" spans="1:8" ht="15" customHeight="1">
      <c r="A18" s="127" t="s">
        <v>340</v>
      </c>
      <c r="B18" s="218">
        <f>NSG_Supplies!I7/1000</f>
        <v>0</v>
      </c>
      <c r="C18" s="131"/>
      <c r="D18" s="64" t="s">
        <v>341</v>
      </c>
      <c r="E18" s="161"/>
      <c r="F18" s="128">
        <f>NSG_Requirements!N7/1000</f>
        <v>0</v>
      </c>
    </row>
    <row r="19" spans="1:8" ht="15" customHeight="1">
      <c r="A19" s="129" t="s">
        <v>491</v>
      </c>
      <c r="B19" s="445">
        <f>PGL_Requirements!Y7/1000+PGL_Requirements!AB7/1000</f>
        <v>0</v>
      </c>
      <c r="C19" s="444"/>
      <c r="D19" s="231" t="s">
        <v>342</v>
      </c>
      <c r="E19" s="161"/>
      <c r="F19" s="128">
        <f>NSG_Requirements!S7/1000</f>
        <v>0</v>
      </c>
    </row>
    <row r="20" spans="1:8" ht="15" customHeight="1">
      <c r="A20" s="129" t="s">
        <v>343</v>
      </c>
      <c r="B20" s="445">
        <f>PGL_Requirements!Z7/1000</f>
        <v>0</v>
      </c>
      <c r="C20" s="444" t="s">
        <v>11</v>
      </c>
      <c r="D20" s="213" t="s">
        <v>344</v>
      </c>
      <c r="E20" s="161"/>
      <c r="F20" s="128">
        <f>NSG_Requirements!O7/1000</f>
        <v>0</v>
      </c>
    </row>
    <row r="21" spans="1:8" ht="15" customHeight="1">
      <c r="A21" s="129" t="s">
        <v>520</v>
      </c>
      <c r="B21" s="445">
        <f>PGL_Requirements!AA7/1000</f>
        <v>0</v>
      </c>
      <c r="C21" s="444"/>
      <c r="D21" s="222" t="s">
        <v>345</v>
      </c>
      <c r="E21" s="218">
        <f>NSG_Supplies!L7/1000</f>
        <v>0</v>
      </c>
      <c r="F21" s="143"/>
    </row>
    <row r="22" spans="1:8" ht="15" customHeight="1">
      <c r="A22" s="127" t="s">
        <v>325</v>
      </c>
      <c r="B22" s="213"/>
      <c r="C22" s="133">
        <f>NSG_Requirements!C7/1000</f>
        <v>0</v>
      </c>
      <c r="D22" s="222" t="s">
        <v>369</v>
      </c>
      <c r="E22" s="218">
        <f>NSG_Supplies!M7/1000</f>
        <v>0</v>
      </c>
      <c r="F22" s="143"/>
    </row>
    <row r="23" spans="1:8" ht="15" customHeight="1">
      <c r="A23" s="127" t="s">
        <v>346</v>
      </c>
      <c r="B23" s="213"/>
      <c r="C23" s="133">
        <f>NSG_Requirements!R7/1000</f>
        <v>0</v>
      </c>
      <c r="D23" s="222" t="s">
        <v>347</v>
      </c>
      <c r="E23" s="218">
        <f>PGL_Supplies!S7/1000</f>
        <v>0</v>
      </c>
      <c r="F23" s="128" t="s">
        <v>11</v>
      </c>
    </row>
    <row r="24" spans="1:8" ht="15" customHeight="1">
      <c r="A24" s="127" t="s">
        <v>348</v>
      </c>
      <c r="B24" s="218">
        <f>NSG_Supplies!K7/1000</f>
        <v>0</v>
      </c>
      <c r="C24" s="131"/>
      <c r="D24" s="230" t="s">
        <v>349</v>
      </c>
      <c r="E24" s="223">
        <f>NSG_Supplies!P7/1000</f>
        <v>0</v>
      </c>
      <c r="F24" s="126"/>
    </row>
    <row r="25" spans="1:8" ht="15" customHeight="1">
      <c r="A25" s="129" t="s">
        <v>350</v>
      </c>
      <c r="B25" s="213"/>
      <c r="C25" s="133">
        <f>NSG_Requirements!Q7/1000</f>
        <v>0</v>
      </c>
      <c r="D25" s="230" t="s">
        <v>351</v>
      </c>
      <c r="E25" s="218">
        <f>PGL_Requirements!V71/1000</f>
        <v>0</v>
      </c>
      <c r="F25" s="118"/>
    </row>
    <row r="26" spans="1:8" ht="15" customHeight="1">
      <c r="A26" s="144" t="s">
        <v>352</v>
      </c>
      <c r="B26" s="219">
        <f>NSG_Supplies!J7/1000</f>
        <v>0</v>
      </c>
      <c r="C26" s="145"/>
      <c r="D26" s="772" t="s">
        <v>353</v>
      </c>
      <c r="E26" s="776"/>
      <c r="F26" s="128">
        <f>NSG_Requirements!D7/1000</f>
        <v>0</v>
      </c>
    </row>
    <row r="27" spans="1:8" ht="15" customHeight="1" thickBot="1">
      <c r="A27" s="146" t="s">
        <v>224</v>
      </c>
      <c r="B27" s="220">
        <f>SUM(B9:B26)-SUM(C9:C26)</f>
        <v>39.284999999999997</v>
      </c>
      <c r="C27" s="147"/>
      <c r="D27" s="240" t="s">
        <v>354</v>
      </c>
      <c r="E27" s="220">
        <f>SUM(E18:E26)-SUM(F18:F26)</f>
        <v>0</v>
      </c>
      <c r="F27" s="148"/>
      <c r="H27" s="1" t="s">
        <v>11</v>
      </c>
    </row>
    <row r="28" spans="1:8" ht="15" customHeight="1" thickTop="1">
      <c r="A28" s="163" t="s">
        <v>395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3" t="s">
        <v>11</v>
      </c>
    </row>
    <row r="2" spans="1:3" ht="15.6">
      <c r="C2" s="96" t="s">
        <v>355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99" customWidth="1"/>
    <col min="3" max="3" width="20.6328125" customWidth="1"/>
  </cols>
  <sheetData>
    <row r="1" spans="2:7">
      <c r="E1" s="799" t="s">
        <v>11</v>
      </c>
    </row>
    <row r="2" spans="2:7">
      <c r="B2" s="927" t="s">
        <v>11</v>
      </c>
      <c r="C2" s="927" t="s">
        <v>11</v>
      </c>
      <c r="D2" s="927" t="s">
        <v>172</v>
      </c>
      <c r="E2" s="927" t="s">
        <v>11</v>
      </c>
      <c r="F2" s="927" t="s">
        <v>172</v>
      </c>
      <c r="G2" s="927" t="s">
        <v>11</v>
      </c>
    </row>
    <row r="4" spans="2:7">
      <c r="B4" s="928" t="s">
        <v>172</v>
      </c>
    </row>
    <row r="6" spans="2:7">
      <c r="B6" s="927" t="s">
        <v>11</v>
      </c>
      <c r="C6" t="str">
        <f>IF(D6&lt;0,"payback pgl to allinace","payback alliance to pgl")</f>
        <v>payback alliance to pgl</v>
      </c>
    </row>
    <row r="7" spans="2:7">
      <c r="B7" s="927"/>
    </row>
    <row r="8" spans="2:7">
      <c r="B8" s="927" t="s">
        <v>11</v>
      </c>
    </row>
    <row r="9" spans="2:7">
      <c r="B9" s="927"/>
    </row>
    <row r="10" spans="2:7">
      <c r="B10" s="927" t="s">
        <v>11</v>
      </c>
      <c r="C10" t="b">
        <f>TRUE()</f>
        <v>1</v>
      </c>
    </row>
    <row r="11" spans="2:7">
      <c r="B11" s="927" t="s">
        <v>11</v>
      </c>
    </row>
    <row r="12" spans="2:7">
      <c r="B12" s="927" t="s">
        <v>11</v>
      </c>
    </row>
    <row r="13" spans="2:7">
      <c r="B13" s="927"/>
    </row>
    <row r="14" spans="2:7">
      <c r="B14" s="927" t="s">
        <v>11</v>
      </c>
    </row>
    <row r="15" spans="2:7">
      <c r="B15" s="927"/>
    </row>
    <row r="16" spans="2:7">
      <c r="B16" s="927" t="s">
        <v>11</v>
      </c>
    </row>
    <row r="17" spans="2:5">
      <c r="B17" s="927"/>
    </row>
    <row r="18" spans="2:5">
      <c r="B18" s="927" t="s">
        <v>11</v>
      </c>
    </row>
    <row r="19" spans="2:5">
      <c r="B19" s="927"/>
    </row>
    <row r="20" spans="2:5">
      <c r="B20" s="927" t="s">
        <v>11</v>
      </c>
    </row>
    <row r="21" spans="2:5">
      <c r="B21" s="927"/>
    </row>
    <row r="22" spans="2:5">
      <c r="B22" s="927" t="s">
        <v>11</v>
      </c>
    </row>
    <row r="24" spans="2:5">
      <c r="B24" s="927" t="s">
        <v>11</v>
      </c>
    </row>
    <row r="25" spans="2:5">
      <c r="E25" s="927" t="s">
        <v>11</v>
      </c>
    </row>
    <row r="27" spans="2:5">
      <c r="B27" s="927" t="s">
        <v>11</v>
      </c>
    </row>
    <row r="29" spans="2:5">
      <c r="B29" s="927" t="s">
        <v>11</v>
      </c>
    </row>
    <row r="30" spans="2:5">
      <c r="B30" s="927"/>
    </row>
    <row r="31" spans="2:5">
      <c r="B31" s="927" t="s">
        <v>11</v>
      </c>
    </row>
    <row r="32" spans="2:5">
      <c r="B32" s="927"/>
    </row>
    <row r="33" spans="2:2">
      <c r="B33" s="927" t="s">
        <v>11</v>
      </c>
    </row>
    <row r="34" spans="2:2">
      <c r="B34" s="927"/>
    </row>
    <row r="35" spans="2:2">
      <c r="B35" s="927" t="s">
        <v>11</v>
      </c>
    </row>
    <row r="36" spans="2:2">
      <c r="B36" s="927"/>
    </row>
    <row r="37" spans="2:2">
      <c r="B37" s="927" t="s">
        <v>11</v>
      </c>
    </row>
    <row r="38" spans="2:2">
      <c r="B38" s="927"/>
    </row>
    <row r="39" spans="2:2">
      <c r="B39" s="927" t="s">
        <v>11</v>
      </c>
    </row>
    <row r="40" spans="2:2">
      <c r="B40" s="927"/>
    </row>
    <row r="41" spans="2:2">
      <c r="B41" s="927" t="s">
        <v>11</v>
      </c>
    </row>
    <row r="42" spans="2:2">
      <c r="B42" s="927"/>
    </row>
    <row r="43" spans="2:2">
      <c r="B43" s="927" t="s">
        <v>11</v>
      </c>
    </row>
    <row r="44" spans="2:2">
      <c r="B44" s="927"/>
    </row>
    <row r="45" spans="2:2">
      <c r="B45" s="927" t="s">
        <v>11</v>
      </c>
    </row>
    <row r="47" spans="2:2">
      <c r="B47" s="927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0"/>
    <col min="2" max="16384" width="8.90625" style="137"/>
  </cols>
  <sheetData>
    <row r="1" spans="1:131" ht="15.6">
      <c r="A1" s="135"/>
      <c r="B1" s="136"/>
      <c r="D1" s="138"/>
    </row>
    <row r="2" spans="1:131" ht="15.6">
      <c r="A2" s="139"/>
      <c r="G2" s="136"/>
    </row>
    <row r="3" spans="1:131" ht="15">
      <c r="DZ3"/>
      <c r="EA3" s="151"/>
    </row>
    <row r="5" spans="1:131" ht="15.6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11</v>
      </c>
      <c r="C9" s="926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11</v>
      </c>
      <c r="D14" s="137" t="s">
        <v>11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356</v>
      </c>
      <c r="B1" s="51">
        <f>Weather_Input!A5</f>
        <v>37025</v>
      </c>
      <c r="C1" s="4"/>
    </row>
    <row r="2" spans="1:19">
      <c r="A2" s="111" t="s">
        <v>357</v>
      </c>
      <c r="B2" s="4"/>
      <c r="C2" s="4"/>
    </row>
    <row r="3" spans="1:19" ht="15.6">
      <c r="B3" s="205" t="s">
        <v>68</v>
      </c>
      <c r="C3" s="97"/>
      <c r="D3" s="6"/>
      <c r="E3" s="6"/>
      <c r="F3" s="6"/>
      <c r="G3" s="198"/>
      <c r="H3" s="97" t="s">
        <v>69</v>
      </c>
      <c r="I3" s="97"/>
      <c r="J3" s="6"/>
      <c r="K3" s="6"/>
      <c r="L3" s="6"/>
      <c r="M3" s="198"/>
      <c r="N3" s="97" t="s">
        <v>37</v>
      </c>
      <c r="O3" s="6"/>
      <c r="P3" s="6"/>
      <c r="Q3" s="6"/>
      <c r="R3" s="6"/>
      <c r="S3" s="6"/>
    </row>
    <row r="4" spans="1:19">
      <c r="B4" s="206" t="s">
        <v>358</v>
      </c>
      <c r="C4" s="201"/>
      <c r="D4" s="197" t="s">
        <v>359</v>
      </c>
      <c r="E4" s="197" t="s">
        <v>359</v>
      </c>
      <c r="F4" s="6" t="s">
        <v>360</v>
      </c>
      <c r="G4" s="198"/>
      <c r="H4" s="6" t="s">
        <v>358</v>
      </c>
      <c r="I4" s="6"/>
      <c r="J4" s="197" t="s">
        <v>359</v>
      </c>
      <c r="K4" s="197" t="s">
        <v>359</v>
      </c>
      <c r="L4" s="6" t="s">
        <v>360</v>
      </c>
      <c r="M4" s="198"/>
      <c r="N4" s="6" t="s">
        <v>358</v>
      </c>
      <c r="O4" s="6"/>
      <c r="P4" s="197" t="s">
        <v>359</v>
      </c>
      <c r="Q4" s="197" t="s">
        <v>359</v>
      </c>
      <c r="R4" s="6" t="s">
        <v>360</v>
      </c>
      <c r="S4" s="6"/>
    </row>
    <row r="5" spans="1:19">
      <c r="A5" s="105"/>
      <c r="B5" s="207" t="s">
        <v>361</v>
      </c>
      <c r="C5" s="202" t="s">
        <v>362</v>
      </c>
      <c r="D5" s="199" t="s">
        <v>363</v>
      </c>
      <c r="E5" s="199" t="s">
        <v>364</v>
      </c>
      <c r="F5" s="199" t="s">
        <v>361</v>
      </c>
      <c r="G5" s="200" t="s">
        <v>362</v>
      </c>
      <c r="H5" s="199" t="s">
        <v>361</v>
      </c>
      <c r="I5" s="199" t="s">
        <v>362</v>
      </c>
      <c r="J5" s="199" t="s">
        <v>363</v>
      </c>
      <c r="K5" s="199" t="s">
        <v>364</v>
      </c>
      <c r="L5" s="199" t="s">
        <v>361</v>
      </c>
      <c r="M5" s="200" t="s">
        <v>362</v>
      </c>
      <c r="N5" s="199" t="s">
        <v>361</v>
      </c>
      <c r="O5" s="199" t="s">
        <v>362</v>
      </c>
      <c r="P5" s="199" t="s">
        <v>363</v>
      </c>
      <c r="Q5" s="199" t="s">
        <v>364</v>
      </c>
      <c r="R5" s="199" t="s">
        <v>361</v>
      </c>
      <c r="S5" s="199" t="s">
        <v>362</v>
      </c>
    </row>
    <row r="6" spans="1:19">
      <c r="A6" s="4">
        <f>B1-1</f>
        <v>37024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157294</v>
      </c>
      <c r="O6" s="203">
        <v>0</v>
      </c>
      <c r="P6" s="203">
        <v>47270728</v>
      </c>
      <c r="Q6" s="203">
        <v>15045098</v>
      </c>
      <c r="R6" s="203">
        <v>32225630</v>
      </c>
      <c r="S6" s="203">
        <v>0</v>
      </c>
    </row>
    <row r="7" spans="1:19">
      <c r="A7" s="4">
        <f>B1</f>
        <v>37025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157294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47428022</v>
      </c>
      <c r="Q7">
        <f>IF(O7&gt;0,Q6+O7,Q6)</f>
        <v>15045098</v>
      </c>
      <c r="R7">
        <f>IF(P7&gt;Q7,P7-Q7,0)</f>
        <v>32382924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365</v>
      </c>
      <c r="C1" s="3" t="s">
        <v>366</v>
      </c>
      <c r="D1" s="9" t="s">
        <v>367</v>
      </c>
    </row>
    <row r="2" spans="1:4">
      <c r="B2" s="3" t="s">
        <v>368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O1" zoomScale="75" workbookViewId="0">
      <selection activeCell="AO6" sqref="AO6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2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6" t="s">
        <v>726</v>
      </c>
      <c r="BE1" t="s">
        <v>727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6" t="s">
        <v>38</v>
      </c>
      <c r="AF2" s="156"/>
      <c r="AG2" s="156" t="s">
        <v>38</v>
      </c>
      <c r="AH2" s="109" t="s">
        <v>11</v>
      </c>
      <c r="AO2" s="432"/>
      <c r="AP2" s="432"/>
      <c r="AQ2" s="432"/>
      <c r="AR2" s="432"/>
      <c r="AS2" s="432"/>
      <c r="AT2" s="432"/>
      <c r="AU2" s="432" t="s">
        <v>11</v>
      </c>
      <c r="AV2" s="432"/>
      <c r="AW2" s="432"/>
      <c r="AX2" s="432"/>
      <c r="AZ2" s="197" t="s">
        <v>38</v>
      </c>
      <c r="BA2" t="s">
        <v>723</v>
      </c>
      <c r="BC2" t="s">
        <v>724</v>
      </c>
      <c r="BE2" s="1090">
        <v>1</v>
      </c>
      <c r="BF2" s="197" t="s">
        <v>724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5" t="s">
        <v>42</v>
      </c>
      <c r="H3" s="3" t="s">
        <v>43</v>
      </c>
      <c r="I3" s="3" t="s">
        <v>43</v>
      </c>
      <c r="J3" s="3" t="s">
        <v>43</v>
      </c>
      <c r="K3" s="3" t="s">
        <v>403</v>
      </c>
      <c r="L3" s="3" t="s">
        <v>44</v>
      </c>
      <c r="M3" s="3" t="s">
        <v>44</v>
      </c>
      <c r="N3" s="155" t="s">
        <v>45</v>
      </c>
      <c r="O3" s="3" t="s">
        <v>46</v>
      </c>
      <c r="P3" s="3" t="s">
        <v>47</v>
      </c>
      <c r="R3" s="3"/>
      <c r="S3" s="3"/>
      <c r="T3" s="3" t="s">
        <v>403</v>
      </c>
      <c r="U3" s="3" t="s">
        <v>15</v>
      </c>
      <c r="V3" s="3"/>
      <c r="W3" s="111"/>
      <c r="X3" s="1"/>
      <c r="Y3" s="1" t="s">
        <v>525</v>
      </c>
      <c r="Z3" s="1"/>
      <c r="AA3" s="1"/>
      <c r="AB3" s="3" t="s">
        <v>48</v>
      </c>
      <c r="AC3" s="155" t="s">
        <v>37</v>
      </c>
      <c r="AD3" s="3" t="s">
        <v>37</v>
      </c>
      <c r="AE3" s="3" t="s">
        <v>49</v>
      </c>
      <c r="AF3" s="155" t="s">
        <v>49</v>
      </c>
      <c r="AG3" s="3" t="s">
        <v>50</v>
      </c>
      <c r="AH3" s="3" t="s">
        <v>50</v>
      </c>
      <c r="AI3" s="155" t="s">
        <v>51</v>
      </c>
      <c r="AJ3" s="155" t="s">
        <v>52</v>
      </c>
      <c r="AK3" s="155" t="s">
        <v>53</v>
      </c>
      <c r="AL3" s="155" t="s">
        <v>54</v>
      </c>
      <c r="AM3" s="154" t="s">
        <v>55</v>
      </c>
      <c r="AO3" s="794" t="s">
        <v>706</v>
      </c>
      <c r="AP3" s="1070"/>
      <c r="AQ3" s="794" t="s">
        <v>707</v>
      </c>
      <c r="AR3" s="1070"/>
      <c r="AS3" s="794" t="s">
        <v>708</v>
      </c>
      <c r="AT3" s="1070"/>
      <c r="AU3" s="432" t="s">
        <v>184</v>
      </c>
      <c r="AV3" s="432" t="s">
        <v>184</v>
      </c>
      <c r="AW3" s="432"/>
      <c r="AX3" s="432" t="s">
        <v>184</v>
      </c>
      <c r="AZ3" s="121" t="s">
        <v>721</v>
      </c>
      <c r="BA3" s="121"/>
      <c r="BB3" s="161"/>
      <c r="BC3" s="121" t="s">
        <v>43</v>
      </c>
      <c r="BE3" s="1090" t="s">
        <v>526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404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400</v>
      </c>
      <c r="U4" s="3" t="s">
        <v>56</v>
      </c>
      <c r="V4" s="3" t="s">
        <v>741</v>
      </c>
      <c r="W4" s="3" t="s">
        <v>68</v>
      </c>
      <c r="X4" s="3" t="s">
        <v>69</v>
      </c>
      <c r="Y4" s="3" t="s">
        <v>569</v>
      </c>
      <c r="Z4" s="3" t="s">
        <v>570</v>
      </c>
      <c r="AA4" s="3" t="s">
        <v>773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5" t="s">
        <v>73</v>
      </c>
      <c r="AJ4" s="155" t="s">
        <v>74</v>
      </c>
      <c r="AK4" s="155" t="s">
        <v>74</v>
      </c>
      <c r="AL4" s="155" t="s">
        <v>75</v>
      </c>
      <c r="AM4" s="155" t="s">
        <v>76</v>
      </c>
      <c r="AN4" s="1"/>
      <c r="AO4" s="1069" t="s">
        <v>704</v>
      </c>
      <c r="AP4" s="3" t="s">
        <v>705</v>
      </c>
      <c r="AQ4" s="3" t="s">
        <v>704</v>
      </c>
      <c r="AR4" s="3" t="s">
        <v>705</v>
      </c>
      <c r="AS4" s="3" t="s">
        <v>704</v>
      </c>
      <c r="AT4" s="3" t="s">
        <v>705</v>
      </c>
      <c r="AU4" s="432" t="s">
        <v>203</v>
      </c>
      <c r="AV4" s="432" t="s">
        <v>739</v>
      </c>
      <c r="AW4" s="432" t="s">
        <v>212</v>
      </c>
      <c r="AX4" s="432" t="s">
        <v>703</v>
      </c>
      <c r="AY4" s="1"/>
      <c r="AZ4" s="1091" t="s">
        <v>42</v>
      </c>
      <c r="BA4" s="1092" t="s">
        <v>43</v>
      </c>
      <c r="BB4" s="1093" t="s">
        <v>720</v>
      </c>
      <c r="BC4" s="1093" t="s">
        <v>725</v>
      </c>
      <c r="BE4" s="197" t="s">
        <v>400</v>
      </c>
      <c r="BF4" s="197" t="s">
        <v>722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37025</v>
      </c>
      <c r="B5" s="1">
        <f>(Weather_Input!B5+Weather_Input!C5)/2</f>
        <v>63</v>
      </c>
      <c r="C5" s="910">
        <v>270000</v>
      </c>
      <c r="D5" s="911">
        <v>0</v>
      </c>
      <c r="E5" s="911">
        <v>0</v>
      </c>
      <c r="F5" s="911">
        <v>8840</v>
      </c>
      <c r="G5" s="911">
        <v>51</v>
      </c>
      <c r="H5" s="911">
        <v>40333</v>
      </c>
      <c r="I5" s="911">
        <v>213992</v>
      </c>
      <c r="J5" s="911">
        <v>0</v>
      </c>
      <c r="K5" s="911">
        <v>15</v>
      </c>
      <c r="L5" s="911">
        <v>1057</v>
      </c>
      <c r="M5" s="911">
        <v>1614</v>
      </c>
      <c r="N5" s="911">
        <v>1229</v>
      </c>
      <c r="O5" s="911">
        <v>0</v>
      </c>
      <c r="P5" s="911">
        <v>824</v>
      </c>
      <c r="Q5" s="911">
        <v>196</v>
      </c>
      <c r="R5" s="911">
        <v>2250</v>
      </c>
      <c r="S5" s="916">
        <v>5083</v>
      </c>
      <c r="T5" s="1155">
        <v>0</v>
      </c>
      <c r="U5" s="910">
        <f>SUM(D5:S5)-T5</f>
        <v>275484</v>
      </c>
      <c r="V5" s="910">
        <v>151267</v>
      </c>
      <c r="W5" s="11">
        <v>0</v>
      </c>
      <c r="X5" s="11">
        <v>0</v>
      </c>
      <c r="Y5" s="11">
        <v>0</v>
      </c>
      <c r="Z5" s="11">
        <v>170697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17111</v>
      </c>
      <c r="AK5" s="11">
        <v>1831</v>
      </c>
      <c r="AL5" s="11">
        <v>0</v>
      </c>
      <c r="AM5" s="1">
        <v>1017</v>
      </c>
      <c r="AN5" s="1"/>
      <c r="AO5" s="1">
        <v>24606</v>
      </c>
      <c r="AP5" s="1">
        <v>0</v>
      </c>
      <c r="AQ5" s="1">
        <v>0</v>
      </c>
      <c r="AR5" s="1">
        <v>8472</v>
      </c>
      <c r="AS5" s="1">
        <v>0</v>
      </c>
      <c r="AT5" s="1">
        <v>1672</v>
      </c>
      <c r="AU5" s="1">
        <v>103330</v>
      </c>
      <c r="AV5" s="1">
        <v>650</v>
      </c>
      <c r="AW5" s="626">
        <f>AU5*0.015</f>
        <v>1549.95</v>
      </c>
      <c r="AX5" s="1">
        <v>0</v>
      </c>
      <c r="AY5" s="1"/>
      <c r="AZ5" s="1">
        <v>51</v>
      </c>
      <c r="BA5" s="1">
        <v>12</v>
      </c>
      <c r="BB5" s="1">
        <v>0</v>
      </c>
      <c r="BC5" s="1">
        <v>0</v>
      </c>
      <c r="BD5" s="1"/>
      <c r="BE5" s="1">
        <v>0</v>
      </c>
      <c r="BF5" s="1">
        <v>8714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37026</v>
      </c>
      <c r="B6" s="929">
        <f>(Weather_Input!B6+Weather_Input!C6)/2</f>
        <v>77</v>
      </c>
      <c r="C6" s="910">
        <v>240000</v>
      </c>
      <c r="D6" s="912" t="s">
        <v>11</v>
      </c>
      <c r="E6" s="913"/>
      <c r="F6" s="913"/>
      <c r="G6" s="913"/>
      <c r="H6" s="913"/>
      <c r="I6" s="913" t="s">
        <v>11</v>
      </c>
      <c r="J6" s="913"/>
      <c r="K6" s="913"/>
      <c r="L6" s="913" t="s">
        <v>11</v>
      </c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37027</v>
      </c>
      <c r="B7" s="929">
        <f>(Weather_Input!B7+Weather_Input!C7)/2</f>
        <v>72</v>
      </c>
      <c r="C7" s="910">
        <v>235000</v>
      </c>
      <c r="D7" s="912" t="s">
        <v>11</v>
      </c>
      <c r="E7" s="913"/>
      <c r="F7" s="913"/>
      <c r="G7" s="913"/>
      <c r="H7" s="914" t="s">
        <v>77</v>
      </c>
      <c r="I7" s="913"/>
      <c r="J7" s="913"/>
      <c r="K7" s="913"/>
      <c r="L7" s="913"/>
      <c r="M7" s="913"/>
      <c r="N7" s="913"/>
      <c r="O7" s="913"/>
      <c r="P7" s="913"/>
      <c r="Q7" s="913"/>
      <c r="R7" s="913" t="s">
        <v>537</v>
      </c>
      <c r="S7" s="917">
        <v>0</v>
      </c>
      <c r="T7" s="917"/>
      <c r="U7" s="913"/>
      <c r="V7" s="91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37028</v>
      </c>
      <c r="B8" s="929">
        <f>(Weather_Input!B8+Weather_Input!C8)/2</f>
        <v>68</v>
      </c>
      <c r="C8" s="910">
        <v>235000</v>
      </c>
      <c r="D8" s="912" t="s">
        <v>11</v>
      </c>
      <c r="E8" s="913" t="s">
        <v>11</v>
      </c>
      <c r="F8" s="913"/>
      <c r="G8" s="913"/>
      <c r="H8" s="915" t="s">
        <v>78</v>
      </c>
      <c r="I8" s="913"/>
      <c r="J8" s="913"/>
      <c r="K8" s="913"/>
      <c r="L8" s="913"/>
      <c r="M8" s="913"/>
      <c r="N8" s="913"/>
      <c r="O8" s="913"/>
      <c r="P8" s="913"/>
      <c r="Q8" s="913"/>
      <c r="R8" s="913" t="s">
        <v>538</v>
      </c>
      <c r="S8" s="917">
        <v>0</v>
      </c>
      <c r="T8" s="917"/>
      <c r="U8" s="913"/>
      <c r="V8" s="913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37029</v>
      </c>
      <c r="B9" s="929">
        <f>(Weather_Input!B9+Weather_Input!C9)/2</f>
        <v>66</v>
      </c>
      <c r="C9" s="910">
        <v>220000</v>
      </c>
      <c r="D9" s="912" t="s">
        <v>11</v>
      </c>
      <c r="E9" s="913"/>
      <c r="F9" s="913"/>
      <c r="G9" s="913"/>
      <c r="H9" s="913" t="s">
        <v>79</v>
      </c>
      <c r="I9" s="913"/>
      <c r="J9" s="913"/>
      <c r="K9" s="913"/>
      <c r="L9" s="913"/>
      <c r="M9" s="913"/>
      <c r="N9" s="913"/>
      <c r="O9" s="913"/>
      <c r="P9" s="913"/>
      <c r="Q9" s="913"/>
      <c r="R9" s="913" t="s">
        <v>539</v>
      </c>
      <c r="S9" s="917">
        <v>0</v>
      </c>
      <c r="T9" s="917"/>
      <c r="U9" s="913"/>
      <c r="V9" s="913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37030</v>
      </c>
      <c r="B10" s="929">
        <f>(Weather_Input!B10+Weather_Input!C10)/2</f>
        <v>62.5</v>
      </c>
      <c r="C10" s="910">
        <v>215000</v>
      </c>
      <c r="D10" s="912" t="s">
        <v>11</v>
      </c>
      <c r="E10" s="913" t="s">
        <v>11</v>
      </c>
      <c r="F10" s="913"/>
      <c r="G10" s="913"/>
      <c r="H10" s="913" t="s">
        <v>80</v>
      </c>
      <c r="I10" s="913"/>
      <c r="J10" s="913"/>
      <c r="K10" s="913"/>
      <c r="L10" s="913"/>
      <c r="M10" s="913"/>
      <c r="N10" s="913"/>
      <c r="O10" s="913"/>
      <c r="P10" s="913"/>
      <c r="Q10" s="913"/>
      <c r="R10" s="913" t="s">
        <v>542</v>
      </c>
      <c r="S10" s="917">
        <v>0</v>
      </c>
      <c r="T10" s="917"/>
      <c r="U10" s="913"/>
      <c r="V10" s="913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540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6"/>
      <c r="N12" s="1"/>
      <c r="O12" s="1"/>
      <c r="P12" s="1"/>
      <c r="Q12" s="1"/>
      <c r="R12" s="1" t="s">
        <v>541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543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544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545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0" t="s">
        <v>11</v>
      </c>
      <c r="T16" s="83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8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6"/>
      <c r="T29" s="796"/>
    </row>
    <row r="30" spans="3:92">
      <c r="S30" s="796"/>
      <c r="T30" s="796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D1" zoomScale="75" workbookViewId="0">
      <selection activeCell="O6" sqref="O6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700</v>
      </c>
      <c r="L2" t="s">
        <v>700</v>
      </c>
      <c r="M2" t="s">
        <v>700</v>
      </c>
      <c r="N2" t="s">
        <v>700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636</v>
      </c>
      <c r="G3" s="155" t="s">
        <v>82</v>
      </c>
      <c r="H3" s="3" t="s">
        <v>15</v>
      </c>
      <c r="I3" s="155" t="s">
        <v>83</v>
      </c>
      <c r="K3" t="s">
        <v>701</v>
      </c>
      <c r="L3" t="s">
        <v>701</v>
      </c>
      <c r="M3" t="s">
        <v>701</v>
      </c>
      <c r="N3" t="s">
        <v>701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5" t="s">
        <v>85</v>
      </c>
      <c r="H4" s="3" t="s">
        <v>56</v>
      </c>
      <c r="I4" s="155" t="s">
        <v>87</v>
      </c>
      <c r="K4" s="1" t="s">
        <v>698</v>
      </c>
      <c r="L4" s="1" t="s">
        <v>699</v>
      </c>
      <c r="M4" s="1" t="s">
        <v>698</v>
      </c>
      <c r="N4" s="1" t="s">
        <v>699</v>
      </c>
    </row>
    <row r="5" spans="1:14">
      <c r="A5" s="12">
        <f>Weather_Input!A5</f>
        <v>37025</v>
      </c>
      <c r="B5" s="1">
        <f>(Weather_Input!B5+Weather_Input!C5)/2</f>
        <v>63</v>
      </c>
      <c r="C5" s="910">
        <v>57000</v>
      </c>
      <c r="D5" s="910">
        <v>0</v>
      </c>
      <c r="E5" s="910">
        <v>39285</v>
      </c>
      <c r="F5" s="910">
        <v>15606</v>
      </c>
      <c r="G5" s="910">
        <v>0</v>
      </c>
      <c r="H5" s="918">
        <f>SUM(D5:G5)</f>
        <v>54891</v>
      </c>
      <c r="I5" s="1">
        <v>1010</v>
      </c>
      <c r="J5" s="1" t="s">
        <v>11</v>
      </c>
      <c r="K5" s="1">
        <v>0</v>
      </c>
      <c r="L5" s="1">
        <v>7509</v>
      </c>
      <c r="M5" s="1">
        <v>4394</v>
      </c>
      <c r="N5" s="1">
        <v>0</v>
      </c>
    </row>
    <row r="6" spans="1:14">
      <c r="A6" s="12">
        <f>A5+1</f>
        <v>37026</v>
      </c>
      <c r="B6" s="929">
        <f>(Weather_Input!B6+Weather_Input!C6)/2</f>
        <v>77</v>
      </c>
      <c r="C6" s="910">
        <v>43000</v>
      </c>
      <c r="D6" s="913" t="s">
        <v>11</v>
      </c>
      <c r="E6" s="913"/>
      <c r="F6" s="913"/>
      <c r="G6" s="913"/>
      <c r="H6" s="15"/>
      <c r="I6" s="1" t="s">
        <v>11</v>
      </c>
    </row>
    <row r="7" spans="1:14">
      <c r="A7" s="12">
        <f>A6+1</f>
        <v>37027</v>
      </c>
      <c r="B7" s="929">
        <f>(Weather_Input!B7+Weather_Input!C7)/2</f>
        <v>72</v>
      </c>
      <c r="C7" s="910">
        <v>38000</v>
      </c>
      <c r="D7" s="913" t="s">
        <v>11</v>
      </c>
      <c r="E7" s="913" t="s">
        <v>11</v>
      </c>
      <c r="F7" s="913"/>
      <c r="G7" s="913"/>
      <c r="H7" s="15"/>
    </row>
    <row r="8" spans="1:14">
      <c r="A8" s="12">
        <f>A7+1</f>
        <v>37028</v>
      </c>
      <c r="B8" s="929">
        <f>(Weather_Input!B8+Weather_Input!C8)/2</f>
        <v>68</v>
      </c>
      <c r="C8" s="910">
        <v>38000</v>
      </c>
      <c r="D8" s="913" t="s">
        <v>11</v>
      </c>
      <c r="E8" s="913"/>
      <c r="F8" s="913"/>
      <c r="G8" s="913"/>
      <c r="H8" s="15"/>
    </row>
    <row r="9" spans="1:14">
      <c r="A9" s="12">
        <f>A8+1</f>
        <v>37029</v>
      </c>
      <c r="B9" s="929">
        <f>(Weather_Input!B9+Weather_Input!C9)/2</f>
        <v>66</v>
      </c>
      <c r="C9" s="910">
        <v>37000</v>
      </c>
      <c r="D9" s="913" t="s">
        <v>11</v>
      </c>
      <c r="E9" s="913"/>
      <c r="F9" s="913"/>
      <c r="G9" s="913"/>
      <c r="H9" s="15"/>
    </row>
    <row r="10" spans="1:14">
      <c r="A10" s="12">
        <f>A9+1</f>
        <v>37030</v>
      </c>
      <c r="B10" s="929">
        <f>(Weather_Input!B10+Weather_Input!C10)/2</f>
        <v>62.5</v>
      </c>
      <c r="C10" s="910">
        <v>37000</v>
      </c>
      <c r="D10" s="913" t="s">
        <v>11</v>
      </c>
      <c r="E10" s="913"/>
      <c r="F10" s="913"/>
      <c r="G10" s="913"/>
      <c r="H10" s="15"/>
    </row>
    <row r="11" spans="1:14">
      <c r="A11" s="1" t="s">
        <v>172</v>
      </c>
      <c r="C11" s="1185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F1" zoomScale="75" workbookViewId="0">
      <selection activeCell="G8" sqref="G8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84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4" t="s">
        <v>635</v>
      </c>
      <c r="I4" s="3" t="s">
        <v>1</v>
      </c>
      <c r="J4" s="3" t="s">
        <v>751</v>
      </c>
      <c r="K4" s="3" t="s">
        <v>722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416</v>
      </c>
    </row>
    <row r="5" spans="1:89" s="1" customFormat="1" ht="13.2">
      <c r="B5" s="67" t="s">
        <v>94</v>
      </c>
      <c r="C5" s="59"/>
      <c r="F5" s="251"/>
      <c r="G5" s="67" t="s">
        <v>11</v>
      </c>
      <c r="H5" s="804" t="s">
        <v>400</v>
      </c>
      <c r="I5" s="109" t="s">
        <v>718</v>
      </c>
      <c r="J5" s="54" t="s">
        <v>741</v>
      </c>
      <c r="K5" s="3" t="s">
        <v>787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3" t="s">
        <v>764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416</v>
      </c>
      <c r="F6" s="252" t="s">
        <v>96</v>
      </c>
      <c r="G6" s="54" t="s">
        <v>99</v>
      </c>
      <c r="H6" s="805" t="s">
        <v>416</v>
      </c>
      <c r="I6" s="1071" t="s">
        <v>719</v>
      </c>
      <c r="J6" s="54" t="s">
        <v>750</v>
      </c>
      <c r="K6" s="54" t="s">
        <v>786</v>
      </c>
      <c r="L6" s="54" t="s">
        <v>38</v>
      </c>
      <c r="M6" s="54" t="s">
        <v>400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736</v>
      </c>
      <c r="S6" s="54" t="s">
        <v>103</v>
      </c>
      <c r="T6" s="1072" t="s">
        <v>715</v>
      </c>
      <c r="U6" s="1071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416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416</v>
      </c>
    </row>
    <row r="7" spans="1:89" s="1" customFormat="1" ht="13.2">
      <c r="A7" s="831">
        <f>Weather_Input!A5</f>
        <v>37025</v>
      </c>
      <c r="B7" s="919">
        <v>0</v>
      </c>
      <c r="C7" s="920">
        <v>0</v>
      </c>
      <c r="D7" s="624">
        <v>0</v>
      </c>
      <c r="E7" s="624">
        <v>0</v>
      </c>
      <c r="F7" s="919">
        <v>0</v>
      </c>
      <c r="G7" s="919">
        <v>24606</v>
      </c>
      <c r="H7" s="921">
        <v>1862</v>
      </c>
      <c r="I7" s="623">
        <v>0</v>
      </c>
      <c r="J7" s="623">
        <v>0</v>
      </c>
      <c r="K7" s="624">
        <v>7817</v>
      </c>
      <c r="L7" s="623">
        <v>0</v>
      </c>
      <c r="M7" s="624">
        <v>0</v>
      </c>
      <c r="N7" s="624">
        <v>0</v>
      </c>
      <c r="O7" s="625">
        <v>0</v>
      </c>
      <c r="P7" s="624">
        <v>103330</v>
      </c>
      <c r="Q7" s="626">
        <f t="shared" ref="Q7:Q12" si="0">P7*0.015</f>
        <v>1549.95</v>
      </c>
      <c r="R7" s="624">
        <v>650</v>
      </c>
      <c r="S7" s="624">
        <v>0</v>
      </c>
      <c r="T7" s="624">
        <v>0</v>
      </c>
      <c r="U7" s="623">
        <v>40200</v>
      </c>
      <c r="V7" s="624">
        <v>0</v>
      </c>
      <c r="W7" s="624">
        <v>0</v>
      </c>
      <c r="X7" s="624">
        <v>0</v>
      </c>
      <c r="Y7" s="624">
        <v>0</v>
      </c>
      <c r="Z7" s="624">
        <v>0</v>
      </c>
      <c r="AA7" s="623">
        <v>0</v>
      </c>
      <c r="AB7" s="623">
        <v>0</v>
      </c>
      <c r="AC7" s="623">
        <v>0</v>
      </c>
      <c r="AD7" s="623">
        <v>0</v>
      </c>
      <c r="AE7" s="623">
        <v>0</v>
      </c>
      <c r="AF7" s="623">
        <v>0</v>
      </c>
      <c r="AG7" s="623">
        <v>0</v>
      </c>
      <c r="AH7" s="623">
        <v>0</v>
      </c>
      <c r="AI7" s="623">
        <v>0</v>
      </c>
      <c r="AJ7" s="831">
        <f>Weather_Input!A5</f>
        <v>37025</v>
      </c>
    </row>
    <row r="8" spans="1:89" s="1" customFormat="1" ht="13.2">
      <c r="A8" s="831">
        <f>A7+1</f>
        <v>37026</v>
      </c>
      <c r="B8" s="919">
        <v>0</v>
      </c>
      <c r="C8" s="920">
        <v>0</v>
      </c>
      <c r="D8" s="624">
        <v>0</v>
      </c>
      <c r="E8" s="624">
        <v>0</v>
      </c>
      <c r="F8" s="919">
        <v>0</v>
      </c>
      <c r="G8" s="919">
        <v>0</v>
      </c>
      <c r="H8" s="921">
        <v>12817</v>
      </c>
      <c r="I8" s="623">
        <v>0</v>
      </c>
      <c r="J8" s="623">
        <v>0</v>
      </c>
      <c r="K8" s="624">
        <v>19000</v>
      </c>
      <c r="L8" s="623">
        <v>0</v>
      </c>
      <c r="M8" s="624">
        <v>0</v>
      </c>
      <c r="N8" s="624">
        <v>0</v>
      </c>
      <c r="O8" s="625">
        <v>11690</v>
      </c>
      <c r="P8" s="624">
        <v>123000</v>
      </c>
      <c r="Q8" s="626">
        <f t="shared" si="0"/>
        <v>1845</v>
      </c>
      <c r="R8" s="624">
        <v>630</v>
      </c>
      <c r="S8" s="624">
        <v>0</v>
      </c>
      <c r="T8" s="624">
        <v>0</v>
      </c>
      <c r="U8" s="623">
        <v>40200</v>
      </c>
      <c r="V8" s="624">
        <v>0</v>
      </c>
      <c r="W8" s="624">
        <v>0</v>
      </c>
      <c r="X8" s="624">
        <v>0</v>
      </c>
      <c r="Y8" s="624">
        <v>0</v>
      </c>
      <c r="Z8" s="624">
        <v>0</v>
      </c>
      <c r="AA8" s="623">
        <v>0</v>
      </c>
      <c r="AB8" s="623">
        <v>0</v>
      </c>
      <c r="AC8" s="623">
        <v>0</v>
      </c>
      <c r="AD8" s="623">
        <v>0</v>
      </c>
      <c r="AE8" s="623">
        <v>0</v>
      </c>
      <c r="AF8" s="623">
        <v>0</v>
      </c>
      <c r="AG8" s="623">
        <v>0</v>
      </c>
      <c r="AH8" s="623">
        <v>0</v>
      </c>
      <c r="AI8" s="623">
        <v>0</v>
      </c>
      <c r="AJ8" s="831">
        <f>AJ7+1</f>
        <v>37026</v>
      </c>
      <c r="AK8" s="623"/>
      <c r="AL8" s="623"/>
      <c r="AM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  <c r="AY8" s="623"/>
      <c r="AZ8" s="623"/>
      <c r="BA8" s="623"/>
      <c r="BB8" s="623"/>
      <c r="BC8" s="623"/>
    </row>
    <row r="9" spans="1:89" s="1" customFormat="1" ht="13.2">
      <c r="A9" s="831">
        <f>A8+1</f>
        <v>37027</v>
      </c>
      <c r="B9" s="919">
        <v>0</v>
      </c>
      <c r="C9" s="920">
        <v>0</v>
      </c>
      <c r="D9" s="624">
        <v>0</v>
      </c>
      <c r="E9" s="624">
        <v>0</v>
      </c>
      <c r="F9" s="919">
        <v>0</v>
      </c>
      <c r="G9" s="919">
        <v>0</v>
      </c>
      <c r="H9" s="921">
        <v>22996</v>
      </c>
      <c r="I9" s="623">
        <v>0</v>
      </c>
      <c r="J9" s="623">
        <v>0</v>
      </c>
      <c r="K9" s="624">
        <v>0</v>
      </c>
      <c r="L9" s="623">
        <v>0</v>
      </c>
      <c r="M9" s="624">
        <v>0</v>
      </c>
      <c r="N9" s="624">
        <v>0</v>
      </c>
      <c r="O9" s="625">
        <v>0</v>
      </c>
      <c r="P9" s="624">
        <v>150000</v>
      </c>
      <c r="Q9" s="626">
        <f t="shared" si="0"/>
        <v>2250</v>
      </c>
      <c r="R9" s="624">
        <v>630</v>
      </c>
      <c r="S9" s="624">
        <v>0</v>
      </c>
      <c r="T9" s="624">
        <v>0</v>
      </c>
      <c r="U9" s="623">
        <v>40200</v>
      </c>
      <c r="V9" s="624">
        <v>0</v>
      </c>
      <c r="W9" s="624">
        <v>0</v>
      </c>
      <c r="X9" s="624">
        <v>0</v>
      </c>
      <c r="Y9" s="624">
        <v>0</v>
      </c>
      <c r="Z9" s="624">
        <v>0</v>
      </c>
      <c r="AA9" s="623">
        <v>0</v>
      </c>
      <c r="AB9" s="623">
        <v>0</v>
      </c>
      <c r="AC9" s="623">
        <v>0</v>
      </c>
      <c r="AD9" s="623">
        <v>0</v>
      </c>
      <c r="AE9" s="623">
        <v>0</v>
      </c>
      <c r="AF9" s="623">
        <v>0</v>
      </c>
      <c r="AG9" s="623">
        <v>0</v>
      </c>
      <c r="AH9" s="623">
        <v>0</v>
      </c>
      <c r="AI9" s="623">
        <v>0</v>
      </c>
      <c r="AJ9" s="831">
        <f>AJ8+1</f>
        <v>37027</v>
      </c>
      <c r="AN9" s="623"/>
    </row>
    <row r="10" spans="1:89" s="1" customFormat="1" ht="13.2">
      <c r="A10" s="831">
        <f>A9+1</f>
        <v>37028</v>
      </c>
      <c r="B10" s="919">
        <v>0</v>
      </c>
      <c r="C10" s="920">
        <v>0</v>
      </c>
      <c r="D10" s="624">
        <v>0</v>
      </c>
      <c r="E10" s="624">
        <v>0</v>
      </c>
      <c r="F10" s="919">
        <v>0</v>
      </c>
      <c r="G10" s="919">
        <v>0</v>
      </c>
      <c r="H10" s="921">
        <v>0</v>
      </c>
      <c r="I10" s="623">
        <v>0</v>
      </c>
      <c r="J10" s="623">
        <v>0</v>
      </c>
      <c r="K10" s="624">
        <v>0</v>
      </c>
      <c r="L10" s="623">
        <v>0</v>
      </c>
      <c r="M10" s="624">
        <v>0</v>
      </c>
      <c r="N10" s="624">
        <v>0</v>
      </c>
      <c r="O10" s="625">
        <v>0</v>
      </c>
      <c r="P10" s="624">
        <v>150000</v>
      </c>
      <c r="Q10" s="626">
        <f t="shared" si="0"/>
        <v>2250</v>
      </c>
      <c r="R10" s="624">
        <v>630</v>
      </c>
      <c r="S10" s="624">
        <v>0</v>
      </c>
      <c r="T10" s="624">
        <v>0</v>
      </c>
      <c r="U10" s="623">
        <v>40200</v>
      </c>
      <c r="V10" s="624">
        <v>0</v>
      </c>
      <c r="W10" s="624">
        <v>0</v>
      </c>
      <c r="X10" s="624">
        <v>0</v>
      </c>
      <c r="Y10" s="624">
        <v>0</v>
      </c>
      <c r="Z10" s="624">
        <v>0</v>
      </c>
      <c r="AA10" s="623">
        <v>0</v>
      </c>
      <c r="AB10" s="623">
        <v>0</v>
      </c>
      <c r="AC10" s="623">
        <v>0</v>
      </c>
      <c r="AD10" s="623">
        <v>0</v>
      </c>
      <c r="AE10" s="623">
        <v>0</v>
      </c>
      <c r="AF10" s="623">
        <v>0</v>
      </c>
      <c r="AG10" s="623">
        <v>0</v>
      </c>
      <c r="AH10" s="623">
        <v>0</v>
      </c>
      <c r="AI10" s="623">
        <v>0</v>
      </c>
      <c r="AJ10" s="831">
        <f>AJ9+1</f>
        <v>37028</v>
      </c>
    </row>
    <row r="11" spans="1:89" s="1" customFormat="1" ht="13.2">
      <c r="A11" s="831">
        <f>A10+1</f>
        <v>37029</v>
      </c>
      <c r="B11" s="919">
        <v>0</v>
      </c>
      <c r="C11" s="920">
        <v>0</v>
      </c>
      <c r="D11" s="624">
        <v>0</v>
      </c>
      <c r="E11" s="624">
        <v>0</v>
      </c>
      <c r="F11" s="919">
        <v>0</v>
      </c>
      <c r="G11" s="919">
        <v>0</v>
      </c>
      <c r="H11" s="921">
        <v>0</v>
      </c>
      <c r="I11" s="623">
        <v>0</v>
      </c>
      <c r="J11" s="623">
        <v>0</v>
      </c>
      <c r="K11" s="624">
        <v>0</v>
      </c>
      <c r="L11" s="623">
        <v>0</v>
      </c>
      <c r="M11" s="624">
        <v>0</v>
      </c>
      <c r="N11" s="624">
        <v>0</v>
      </c>
      <c r="O11" s="625">
        <v>0</v>
      </c>
      <c r="P11" s="624">
        <v>150000</v>
      </c>
      <c r="Q11" s="626">
        <f t="shared" si="0"/>
        <v>2250</v>
      </c>
      <c r="R11" s="624">
        <v>630</v>
      </c>
      <c r="S11" s="624">
        <v>0</v>
      </c>
      <c r="T11" s="624">
        <v>0</v>
      </c>
      <c r="U11" s="623">
        <v>40200</v>
      </c>
      <c r="V11" s="624">
        <v>0</v>
      </c>
      <c r="W11" s="624">
        <v>0</v>
      </c>
      <c r="X11" s="624">
        <v>0</v>
      </c>
      <c r="Y11" s="624">
        <v>0</v>
      </c>
      <c r="Z11" s="624">
        <v>0</v>
      </c>
      <c r="AA11" s="623">
        <v>0</v>
      </c>
      <c r="AB11" s="623">
        <v>0</v>
      </c>
      <c r="AC11" s="623">
        <v>0</v>
      </c>
      <c r="AD11" s="623">
        <v>0</v>
      </c>
      <c r="AE11" s="623">
        <v>0</v>
      </c>
      <c r="AF11" s="623">
        <v>0</v>
      </c>
      <c r="AG11" s="623">
        <v>0</v>
      </c>
      <c r="AH11" s="623">
        <v>0</v>
      </c>
      <c r="AI11" s="623">
        <v>0</v>
      </c>
      <c r="AJ11" s="831">
        <f>AJ10+1</f>
        <v>37029</v>
      </c>
    </row>
    <row r="12" spans="1:89" s="1" customFormat="1" ht="13.2">
      <c r="A12" s="831">
        <f>A11+1</f>
        <v>37030</v>
      </c>
      <c r="B12" s="919">
        <v>0</v>
      </c>
      <c r="C12" s="920">
        <v>0</v>
      </c>
      <c r="D12" s="624">
        <v>0</v>
      </c>
      <c r="E12" s="624">
        <v>0</v>
      </c>
      <c r="F12" s="919">
        <v>0</v>
      </c>
      <c r="G12" s="919">
        <v>0</v>
      </c>
      <c r="H12" s="921">
        <v>0</v>
      </c>
      <c r="I12" s="623">
        <v>0</v>
      </c>
      <c r="J12" s="623">
        <v>0</v>
      </c>
      <c r="K12" s="624">
        <v>0</v>
      </c>
      <c r="L12" s="623">
        <v>0</v>
      </c>
      <c r="M12" s="624">
        <v>0</v>
      </c>
      <c r="N12" s="624">
        <v>0</v>
      </c>
      <c r="O12" s="625">
        <v>0</v>
      </c>
      <c r="P12" s="624">
        <v>150000</v>
      </c>
      <c r="Q12" s="626">
        <f t="shared" si="0"/>
        <v>2250</v>
      </c>
      <c r="R12" s="624">
        <v>630</v>
      </c>
      <c r="S12" s="624">
        <v>0</v>
      </c>
      <c r="T12" s="624">
        <v>0</v>
      </c>
      <c r="U12" s="623">
        <v>40200</v>
      </c>
      <c r="V12" s="624">
        <v>0</v>
      </c>
      <c r="W12" s="624">
        <v>0</v>
      </c>
      <c r="X12" s="624">
        <v>0</v>
      </c>
      <c r="Y12" s="624">
        <v>0</v>
      </c>
      <c r="Z12" s="624">
        <v>0</v>
      </c>
      <c r="AA12" s="623">
        <v>0</v>
      </c>
      <c r="AB12" s="623">
        <v>0</v>
      </c>
      <c r="AC12" s="623">
        <v>0</v>
      </c>
      <c r="AD12" s="623">
        <v>0</v>
      </c>
      <c r="AE12" s="623">
        <v>0</v>
      </c>
      <c r="AF12" s="623">
        <v>0</v>
      </c>
      <c r="AG12" s="623">
        <v>0</v>
      </c>
      <c r="AH12" s="623">
        <v>0</v>
      </c>
      <c r="AI12" s="623">
        <v>0</v>
      </c>
      <c r="AJ12" s="831">
        <f>AJ11+1</f>
        <v>37030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3"/>
      <c r="M13" s="1"/>
      <c r="N13" s="624" t="s">
        <v>11</v>
      </c>
      <c r="O13" s="1"/>
      <c r="P13" s="1"/>
      <c r="Q13" s="1"/>
      <c r="R13" s="1"/>
      <c r="S13" s="1"/>
      <c r="T13" s="1"/>
      <c r="U13" s="623" t="s">
        <v>11</v>
      </c>
      <c r="V13" s="1"/>
      <c r="W13" s="1"/>
      <c r="X13" s="1"/>
      <c r="Y13" s="1"/>
      <c r="Z13" s="1" t="s">
        <v>11</v>
      </c>
      <c r="AA13" s="1"/>
      <c r="AB13" s="623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4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4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4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E1" zoomScale="75" workbookViewId="0">
      <selection activeCell="P7" sqref="P7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7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5"/>
      <c r="V3" s="450"/>
      <c r="W3" s="450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4" t="s">
        <v>634</v>
      </c>
      <c r="V4" s="3" t="s">
        <v>762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4" t="s">
        <v>400</v>
      </c>
      <c r="U5" s="109" t="s">
        <v>718</v>
      </c>
      <c r="V5" s="3" t="s">
        <v>760</v>
      </c>
      <c r="W5" s="3"/>
      <c r="X5" s="59" t="s">
        <v>741</v>
      </c>
      <c r="Y5" s="64"/>
      <c r="Z5" s="3"/>
      <c r="AA5" s="3"/>
      <c r="AB5" s="3"/>
      <c r="AE5" s="67" t="s">
        <v>493</v>
      </c>
    </row>
    <row r="6" spans="1:37">
      <c r="B6" s="54" t="s">
        <v>110</v>
      </c>
      <c r="C6" s="57" t="s">
        <v>68</v>
      </c>
      <c r="D6" s="54" t="s">
        <v>93</v>
      </c>
      <c r="E6" s="54" t="s">
        <v>416</v>
      </c>
      <c r="F6" s="54" t="s">
        <v>400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693</v>
      </c>
      <c r="M6" s="57" t="s">
        <v>60</v>
      </c>
      <c r="N6" s="54" t="s">
        <v>11</v>
      </c>
      <c r="O6" s="54" t="s">
        <v>11</v>
      </c>
      <c r="P6" s="54" t="s">
        <v>11</v>
      </c>
      <c r="Q6" s="1132" t="s">
        <v>6</v>
      </c>
      <c r="R6" s="1072" t="s">
        <v>90</v>
      </c>
      <c r="S6" s="69" t="s">
        <v>11</v>
      </c>
      <c r="T6" s="805" t="s">
        <v>790</v>
      </c>
      <c r="U6" s="1072" t="s">
        <v>719</v>
      </c>
      <c r="V6" s="54" t="s">
        <v>761</v>
      </c>
      <c r="W6" s="54" t="s">
        <v>11</v>
      </c>
      <c r="X6" s="1120" t="s">
        <v>747</v>
      </c>
      <c r="Y6" s="69" t="s">
        <v>741</v>
      </c>
      <c r="Z6" s="54" t="s">
        <v>68</v>
      </c>
      <c r="AA6" s="54" t="s">
        <v>93</v>
      </c>
      <c r="AB6" s="54" t="s">
        <v>416</v>
      </c>
      <c r="AC6" s="54" t="s">
        <v>38</v>
      </c>
      <c r="AD6" s="54" t="s">
        <v>96</v>
      </c>
      <c r="AE6" s="69" t="s">
        <v>492</v>
      </c>
    </row>
    <row r="7" spans="1:37">
      <c r="A7" s="831">
        <f>Weather_Input!A5</f>
        <v>37025</v>
      </c>
      <c r="B7" s="626">
        <v>0</v>
      </c>
      <c r="C7" s="627">
        <v>0</v>
      </c>
      <c r="D7" s="626">
        <v>0</v>
      </c>
      <c r="E7" s="626">
        <v>0</v>
      </c>
      <c r="F7" s="626">
        <v>0</v>
      </c>
      <c r="G7" s="919">
        <v>0</v>
      </c>
      <c r="H7" s="624">
        <v>1672</v>
      </c>
      <c r="I7" s="624">
        <v>18942</v>
      </c>
      <c r="J7" s="624">
        <v>0</v>
      </c>
      <c r="K7" s="922">
        <v>0</v>
      </c>
      <c r="L7" s="625">
        <v>8472</v>
      </c>
      <c r="M7" s="923">
        <v>0</v>
      </c>
      <c r="N7" s="624">
        <v>0</v>
      </c>
      <c r="O7" s="624">
        <v>0</v>
      </c>
      <c r="P7" s="624">
        <v>0</v>
      </c>
      <c r="Q7" s="624">
        <v>0</v>
      </c>
      <c r="R7" s="624">
        <v>0</v>
      </c>
      <c r="S7" s="922">
        <v>0</v>
      </c>
      <c r="T7" s="924">
        <v>20000</v>
      </c>
      <c r="U7" s="624">
        <v>0</v>
      </c>
      <c r="V7" s="625">
        <v>176704</v>
      </c>
      <c r="W7" s="625">
        <v>0</v>
      </c>
      <c r="X7" s="623">
        <v>0</v>
      </c>
      <c r="Y7" s="922">
        <v>157294</v>
      </c>
      <c r="Z7" s="625">
        <v>40200</v>
      </c>
      <c r="AA7" s="1">
        <v>0</v>
      </c>
      <c r="AB7" s="623">
        <v>169630</v>
      </c>
      <c r="AC7" s="623">
        <v>54570</v>
      </c>
      <c r="AD7" s="623">
        <v>0</v>
      </c>
      <c r="AE7" s="922">
        <v>0</v>
      </c>
      <c r="AF7" s="51">
        <f>Weather_Input!A5</f>
        <v>37025</v>
      </c>
      <c r="AI7" s="623"/>
      <c r="AJ7" s="623"/>
      <c r="AK7" s="623"/>
    </row>
    <row r="8" spans="1:37">
      <c r="A8" s="831">
        <f>A7+1</f>
        <v>37026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919">
        <v>0</v>
      </c>
      <c r="H8" s="624">
        <v>1000</v>
      </c>
      <c r="I8" s="624">
        <v>15000</v>
      </c>
      <c r="J8" s="624">
        <v>0</v>
      </c>
      <c r="K8" s="922">
        <v>0</v>
      </c>
      <c r="L8" s="625">
        <v>0</v>
      </c>
      <c r="M8" s="923">
        <v>0</v>
      </c>
      <c r="N8" s="624">
        <v>0</v>
      </c>
      <c r="O8" s="624">
        <v>0</v>
      </c>
      <c r="P8" s="624">
        <v>0</v>
      </c>
      <c r="Q8" s="624">
        <v>0</v>
      </c>
      <c r="R8" s="624">
        <v>0</v>
      </c>
      <c r="S8" s="922">
        <v>0</v>
      </c>
      <c r="T8" s="924">
        <v>7000</v>
      </c>
      <c r="U8" s="624">
        <v>0</v>
      </c>
      <c r="V8" s="625">
        <v>170007</v>
      </c>
      <c r="W8" s="625">
        <v>0</v>
      </c>
      <c r="X8" s="623">
        <v>0</v>
      </c>
      <c r="Y8" s="922">
        <v>114079</v>
      </c>
      <c r="Z8" s="625">
        <v>40200</v>
      </c>
      <c r="AA8" s="1">
        <v>0</v>
      </c>
      <c r="AB8" s="623">
        <v>171675</v>
      </c>
      <c r="AC8" s="623">
        <v>100229</v>
      </c>
      <c r="AD8" s="623">
        <v>0</v>
      </c>
      <c r="AE8" s="922">
        <v>0</v>
      </c>
      <c r="AF8" s="831">
        <f>AF7+1</f>
        <v>37026</v>
      </c>
      <c r="AI8" s="623"/>
      <c r="AJ8" s="623"/>
      <c r="AK8" s="623"/>
    </row>
    <row r="9" spans="1:37" s="623" customFormat="1">
      <c r="A9" s="831">
        <f>A8+1</f>
        <v>37027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919">
        <v>0</v>
      </c>
      <c r="H9" s="624">
        <v>1000</v>
      </c>
      <c r="I9" s="624">
        <v>15000</v>
      </c>
      <c r="J9" s="624">
        <v>0</v>
      </c>
      <c r="K9" s="922">
        <v>0</v>
      </c>
      <c r="L9" s="625">
        <v>0</v>
      </c>
      <c r="M9" s="923">
        <v>0</v>
      </c>
      <c r="N9" s="624">
        <v>0</v>
      </c>
      <c r="O9" s="624">
        <v>0</v>
      </c>
      <c r="P9" s="624">
        <v>0</v>
      </c>
      <c r="Q9" s="624">
        <v>0</v>
      </c>
      <c r="R9" s="624">
        <v>0</v>
      </c>
      <c r="S9" s="922">
        <v>0</v>
      </c>
      <c r="T9" s="924">
        <v>7000</v>
      </c>
      <c r="U9" s="624">
        <v>0</v>
      </c>
      <c r="V9" s="625">
        <v>176704</v>
      </c>
      <c r="W9" s="625">
        <v>0</v>
      </c>
      <c r="X9" s="623">
        <v>0</v>
      </c>
      <c r="Y9" s="922">
        <v>114079</v>
      </c>
      <c r="Z9" s="625">
        <v>40200</v>
      </c>
      <c r="AA9" s="1">
        <v>0</v>
      </c>
      <c r="AB9" s="623">
        <v>171675</v>
      </c>
      <c r="AC9" s="623">
        <v>100229</v>
      </c>
      <c r="AD9" s="623">
        <v>0</v>
      </c>
      <c r="AE9" s="922">
        <v>0</v>
      </c>
      <c r="AF9" s="831">
        <f>AF8+1</f>
        <v>37027</v>
      </c>
    </row>
    <row r="10" spans="1:37">
      <c r="A10" s="831">
        <f>A9+1</f>
        <v>37028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919">
        <v>0</v>
      </c>
      <c r="H10" s="624">
        <v>1000</v>
      </c>
      <c r="I10" s="624">
        <v>15000</v>
      </c>
      <c r="J10" s="624">
        <v>0</v>
      </c>
      <c r="K10" s="922">
        <v>0</v>
      </c>
      <c r="L10" s="625">
        <v>0</v>
      </c>
      <c r="M10" s="923">
        <v>0</v>
      </c>
      <c r="N10" s="624">
        <v>0</v>
      </c>
      <c r="O10" s="624">
        <v>0</v>
      </c>
      <c r="P10" s="624">
        <v>0</v>
      </c>
      <c r="Q10" s="624">
        <v>0</v>
      </c>
      <c r="R10" s="624">
        <v>0</v>
      </c>
      <c r="S10" s="922">
        <v>0</v>
      </c>
      <c r="T10" s="924">
        <v>0</v>
      </c>
      <c r="U10" s="624">
        <v>0</v>
      </c>
      <c r="V10" s="625">
        <v>176704</v>
      </c>
      <c r="W10" s="625">
        <v>0</v>
      </c>
      <c r="X10" s="623">
        <v>0</v>
      </c>
      <c r="Y10" s="922">
        <v>114079</v>
      </c>
      <c r="Z10" s="625">
        <v>40200</v>
      </c>
      <c r="AA10" s="1">
        <v>0</v>
      </c>
      <c r="AB10" s="623">
        <v>171675</v>
      </c>
      <c r="AC10" s="623">
        <v>100229</v>
      </c>
      <c r="AD10" s="623">
        <v>0</v>
      </c>
      <c r="AE10" s="922">
        <v>0</v>
      </c>
      <c r="AF10" s="831">
        <f>AF9+1</f>
        <v>37028</v>
      </c>
      <c r="AI10" s="623"/>
      <c r="AJ10" s="623"/>
      <c r="AK10" s="623"/>
    </row>
    <row r="11" spans="1:37">
      <c r="A11" s="831">
        <f>A10+1</f>
        <v>37029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919">
        <v>0</v>
      </c>
      <c r="H11" s="624">
        <v>1000</v>
      </c>
      <c r="I11" s="624">
        <v>15000</v>
      </c>
      <c r="J11" s="624">
        <v>0</v>
      </c>
      <c r="K11" s="922">
        <v>0</v>
      </c>
      <c r="L11" s="625">
        <v>0</v>
      </c>
      <c r="M11" s="923">
        <v>0</v>
      </c>
      <c r="N11" s="624">
        <v>0</v>
      </c>
      <c r="O11" s="624">
        <v>0</v>
      </c>
      <c r="P11" s="624">
        <v>0</v>
      </c>
      <c r="Q11" s="624">
        <v>0</v>
      </c>
      <c r="R11" s="624">
        <v>0</v>
      </c>
      <c r="S11" s="922">
        <v>0</v>
      </c>
      <c r="T11" s="924">
        <v>0</v>
      </c>
      <c r="U11" s="624">
        <v>0</v>
      </c>
      <c r="V11" s="625">
        <v>176704</v>
      </c>
      <c r="W11" s="625">
        <v>0</v>
      </c>
      <c r="X11" s="623">
        <v>0</v>
      </c>
      <c r="Y11" s="922">
        <v>114079</v>
      </c>
      <c r="Z11" s="625">
        <v>40200</v>
      </c>
      <c r="AA11" s="1">
        <v>0</v>
      </c>
      <c r="AB11" s="623">
        <v>171675</v>
      </c>
      <c r="AC11" s="623">
        <v>100229</v>
      </c>
      <c r="AD11" s="623">
        <v>0</v>
      </c>
      <c r="AE11" s="922">
        <v>0</v>
      </c>
      <c r="AF11" s="831">
        <f>AF10+1</f>
        <v>37029</v>
      </c>
    </row>
    <row r="12" spans="1:37">
      <c r="A12" s="831">
        <f>A11+1</f>
        <v>37030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919">
        <v>0</v>
      </c>
      <c r="H12" s="624">
        <v>1000</v>
      </c>
      <c r="I12" s="624">
        <v>15000</v>
      </c>
      <c r="J12" s="624">
        <v>0</v>
      </c>
      <c r="K12" s="922">
        <v>0</v>
      </c>
      <c r="L12" s="625">
        <v>0</v>
      </c>
      <c r="M12" s="923">
        <v>0</v>
      </c>
      <c r="N12" s="624">
        <v>0</v>
      </c>
      <c r="O12" s="624">
        <v>0</v>
      </c>
      <c r="P12" s="624">
        <v>0</v>
      </c>
      <c r="Q12" s="624">
        <v>0</v>
      </c>
      <c r="R12" s="624">
        <v>0</v>
      </c>
      <c r="S12" s="922">
        <v>0</v>
      </c>
      <c r="T12" s="924">
        <v>0</v>
      </c>
      <c r="U12" s="624">
        <v>0</v>
      </c>
      <c r="V12" s="625">
        <v>176704</v>
      </c>
      <c r="W12" s="625">
        <v>0</v>
      </c>
      <c r="X12" s="623">
        <v>0</v>
      </c>
      <c r="Y12" s="922">
        <v>114079</v>
      </c>
      <c r="Z12" s="625">
        <v>40200</v>
      </c>
      <c r="AA12" s="1">
        <v>0</v>
      </c>
      <c r="AB12" s="623">
        <v>171675</v>
      </c>
      <c r="AC12" s="623">
        <v>100229</v>
      </c>
      <c r="AD12" s="623">
        <v>0</v>
      </c>
      <c r="AE12" s="922">
        <v>0</v>
      </c>
      <c r="AF12" s="831">
        <f>AF11+1</f>
        <v>37030</v>
      </c>
    </row>
    <row r="13" spans="1:37">
      <c r="G13" s="1" t="s">
        <v>11</v>
      </c>
      <c r="I13" s="11"/>
      <c r="P13" s="1" t="s">
        <v>11</v>
      </c>
      <c r="T13" s="924"/>
      <c r="U13" s="1" t="s">
        <v>11</v>
      </c>
      <c r="V13" s="11" t="s">
        <v>11</v>
      </c>
      <c r="W13" s="625" t="s">
        <v>11</v>
      </c>
      <c r="X13" s="623"/>
      <c r="Z13" s="60"/>
      <c r="AB13" s="623"/>
      <c r="AD13" s="623"/>
    </row>
    <row r="14" spans="1:37">
      <c r="A14" s="1" t="s">
        <v>11</v>
      </c>
      <c r="I14" s="11"/>
      <c r="X14" s="11"/>
      <c r="Z14" s="1" t="s">
        <v>11</v>
      </c>
      <c r="AB14" s="623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3"/>
    </row>
    <row r="20" spans="16:33">
      <c r="Z20" s="70" t="s">
        <v>11</v>
      </c>
      <c r="AG20" s="623"/>
    </row>
    <row r="21" spans="16:33">
      <c r="AG21" s="623"/>
    </row>
    <row r="22" spans="16:33">
      <c r="AG22" s="623"/>
    </row>
    <row r="23" spans="16:33">
      <c r="AG23" s="623"/>
    </row>
    <row r="25" spans="16:33">
      <c r="AB25" s="623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A7" sqref="A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21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3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5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522</v>
      </c>
      <c r="AE5" s="53" t="s">
        <v>11</v>
      </c>
    </row>
    <row r="6" spans="1:128" s="1" customFormat="1" ht="13.2">
      <c r="A6" s="68"/>
      <c r="B6" s="69" t="s">
        <v>400</v>
      </c>
      <c r="C6" s="54" t="s">
        <v>38</v>
      </c>
      <c r="D6" s="54" t="s">
        <v>68</v>
      </c>
      <c r="E6" s="54" t="s">
        <v>93</v>
      </c>
      <c r="F6" s="54" t="s">
        <v>416</v>
      </c>
      <c r="G6" s="57" t="s">
        <v>122</v>
      </c>
      <c r="H6" s="54" t="s">
        <v>693</v>
      </c>
      <c r="I6" s="54" t="s">
        <v>100</v>
      </c>
      <c r="J6" s="54" t="s">
        <v>90</v>
      </c>
      <c r="K6" s="54" t="s">
        <v>554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521</v>
      </c>
    </row>
    <row r="7" spans="1:128" s="1" customFormat="1" ht="13.2">
      <c r="A7" s="832">
        <f>Weather_Input!A5</f>
        <v>37025</v>
      </c>
      <c r="B7" s="919">
        <v>0</v>
      </c>
      <c r="C7" s="624">
        <v>0</v>
      </c>
      <c r="D7" s="624">
        <v>0</v>
      </c>
      <c r="E7" s="624">
        <v>0</v>
      </c>
      <c r="F7" s="624">
        <v>0</v>
      </c>
      <c r="G7" s="923">
        <v>0</v>
      </c>
      <c r="H7" s="624">
        <v>0</v>
      </c>
      <c r="I7" s="920">
        <v>7197</v>
      </c>
      <c r="J7" s="920">
        <v>4394</v>
      </c>
      <c r="K7" s="627">
        <v>0</v>
      </c>
      <c r="L7" s="925">
        <v>0</v>
      </c>
      <c r="M7" s="925">
        <v>0</v>
      </c>
      <c r="N7" s="925">
        <v>0</v>
      </c>
      <c r="O7" s="925">
        <v>0</v>
      </c>
      <c r="P7" s="624">
        <v>0</v>
      </c>
      <c r="Q7" s="925">
        <v>0</v>
      </c>
      <c r="R7" s="624">
        <v>0</v>
      </c>
      <c r="S7" s="833">
        <v>0</v>
      </c>
      <c r="T7" s="624">
        <v>0</v>
      </c>
      <c r="U7" s="624">
        <v>0</v>
      </c>
      <c r="V7" s="833">
        <v>0</v>
      </c>
      <c r="W7" s="624">
        <v>0</v>
      </c>
      <c r="X7" s="624">
        <v>0</v>
      </c>
      <c r="Y7" s="833">
        <v>0</v>
      </c>
      <c r="Z7" s="624">
        <v>0</v>
      </c>
      <c r="AA7" s="624">
        <v>0</v>
      </c>
      <c r="AB7" s="923">
        <v>0</v>
      </c>
      <c r="AC7" s="624">
        <v>0</v>
      </c>
      <c r="AD7" s="624">
        <v>0</v>
      </c>
      <c r="AE7" s="624">
        <v>0</v>
      </c>
      <c r="AF7" s="831">
        <f>Weather_Input!A5</f>
        <v>37025</v>
      </c>
      <c r="AG7" s="623"/>
      <c r="AH7" s="623"/>
      <c r="AI7" s="623"/>
      <c r="AJ7" s="623"/>
      <c r="AK7" s="623"/>
    </row>
    <row r="8" spans="1:128" s="1" customFormat="1" ht="13.2">
      <c r="A8" s="832">
        <f>Weather_Input!A6</f>
        <v>37026</v>
      </c>
      <c r="B8" s="919">
        <v>0</v>
      </c>
      <c r="C8" s="624">
        <v>0</v>
      </c>
      <c r="D8" s="624">
        <v>0</v>
      </c>
      <c r="E8" s="624">
        <v>0</v>
      </c>
      <c r="F8" s="624">
        <v>0</v>
      </c>
      <c r="G8" s="923">
        <v>0</v>
      </c>
      <c r="H8" s="624">
        <v>0</v>
      </c>
      <c r="I8" s="920">
        <v>7197</v>
      </c>
      <c r="J8" s="920">
        <v>9220</v>
      </c>
      <c r="K8" s="627">
        <v>0</v>
      </c>
      <c r="L8" s="925">
        <v>0</v>
      </c>
      <c r="M8" s="925">
        <v>0</v>
      </c>
      <c r="N8" s="925">
        <v>0</v>
      </c>
      <c r="O8" s="925">
        <v>0</v>
      </c>
      <c r="P8" s="624">
        <v>0</v>
      </c>
      <c r="Q8" s="925">
        <v>0</v>
      </c>
      <c r="R8" s="624">
        <v>0</v>
      </c>
      <c r="S8" s="833">
        <v>0</v>
      </c>
      <c r="T8" s="624">
        <v>0</v>
      </c>
      <c r="U8" s="624">
        <v>0</v>
      </c>
      <c r="V8" s="833">
        <v>0</v>
      </c>
      <c r="W8" s="624">
        <v>0</v>
      </c>
      <c r="X8" s="624">
        <v>0</v>
      </c>
      <c r="Y8" s="833">
        <v>0</v>
      </c>
      <c r="Z8" s="624">
        <v>0</v>
      </c>
      <c r="AA8" s="624">
        <v>0</v>
      </c>
      <c r="AB8" s="923">
        <v>0</v>
      </c>
      <c r="AC8" s="624">
        <v>0</v>
      </c>
      <c r="AD8" s="624">
        <v>0</v>
      </c>
      <c r="AE8" s="624">
        <v>0</v>
      </c>
      <c r="AF8" s="832">
        <f>AF7+1</f>
        <v>37026</v>
      </c>
      <c r="AG8" s="623"/>
      <c r="AH8" s="623"/>
      <c r="AI8" s="623"/>
      <c r="AJ8" s="623"/>
      <c r="AK8" s="623"/>
    </row>
    <row r="9" spans="1:128" s="1" customFormat="1" ht="13.2">
      <c r="A9" s="831">
        <f>A8+1</f>
        <v>37027</v>
      </c>
      <c r="B9" s="919">
        <v>0</v>
      </c>
      <c r="C9" s="624">
        <v>0</v>
      </c>
      <c r="D9" s="624">
        <v>0</v>
      </c>
      <c r="E9" s="624">
        <v>0</v>
      </c>
      <c r="F9" s="624">
        <v>0</v>
      </c>
      <c r="G9" s="923">
        <v>0</v>
      </c>
      <c r="H9" s="624">
        <v>1000</v>
      </c>
      <c r="I9" s="920">
        <v>7197</v>
      </c>
      <c r="J9" s="920">
        <v>20000</v>
      </c>
      <c r="K9" s="627">
        <v>0</v>
      </c>
      <c r="L9" s="925">
        <v>0</v>
      </c>
      <c r="M9" s="925">
        <v>0</v>
      </c>
      <c r="N9" s="925">
        <v>0</v>
      </c>
      <c r="O9" s="925">
        <v>0</v>
      </c>
      <c r="P9" s="624">
        <v>0</v>
      </c>
      <c r="Q9" s="925">
        <v>0</v>
      </c>
      <c r="R9" s="624">
        <v>0</v>
      </c>
      <c r="S9" s="833">
        <v>0</v>
      </c>
      <c r="T9" s="624">
        <v>0</v>
      </c>
      <c r="U9" s="624">
        <v>0</v>
      </c>
      <c r="V9" s="833">
        <v>0</v>
      </c>
      <c r="W9" s="624">
        <v>0</v>
      </c>
      <c r="X9" s="624">
        <v>0</v>
      </c>
      <c r="Y9" s="833">
        <v>0</v>
      </c>
      <c r="Z9" s="624">
        <v>0</v>
      </c>
      <c r="AA9" s="624">
        <v>0</v>
      </c>
      <c r="AB9" s="923">
        <v>0</v>
      </c>
      <c r="AC9" s="624">
        <v>0</v>
      </c>
      <c r="AD9" s="624">
        <v>0</v>
      </c>
      <c r="AE9" s="624">
        <v>0</v>
      </c>
      <c r="AF9" s="831">
        <f>AF8+1</f>
        <v>37027</v>
      </c>
      <c r="AG9" s="623"/>
      <c r="AH9" s="623"/>
      <c r="AI9" s="623"/>
      <c r="AJ9" s="623"/>
      <c r="AK9" s="623"/>
    </row>
    <row r="10" spans="1:128" s="1" customFormat="1" ht="13.2">
      <c r="A10" s="831">
        <f>A9+1</f>
        <v>37028</v>
      </c>
      <c r="B10" s="919">
        <v>0</v>
      </c>
      <c r="C10" s="624">
        <v>0</v>
      </c>
      <c r="D10" s="624">
        <v>0</v>
      </c>
      <c r="E10" s="624">
        <v>0</v>
      </c>
      <c r="F10" s="624">
        <v>0</v>
      </c>
      <c r="G10" s="923">
        <v>0</v>
      </c>
      <c r="H10" s="624">
        <v>1000</v>
      </c>
      <c r="I10" s="920">
        <v>7197</v>
      </c>
      <c r="J10" s="920">
        <v>20000</v>
      </c>
      <c r="K10" s="627">
        <v>0</v>
      </c>
      <c r="L10" s="925">
        <v>0</v>
      </c>
      <c r="M10" s="925">
        <v>0</v>
      </c>
      <c r="N10" s="925">
        <v>0</v>
      </c>
      <c r="O10" s="925">
        <v>0</v>
      </c>
      <c r="P10" s="624">
        <v>0</v>
      </c>
      <c r="Q10" s="925">
        <v>0</v>
      </c>
      <c r="R10" s="624">
        <v>0</v>
      </c>
      <c r="S10" s="833">
        <v>0</v>
      </c>
      <c r="T10" s="624">
        <v>0</v>
      </c>
      <c r="U10" s="624">
        <v>0</v>
      </c>
      <c r="V10" s="833">
        <v>0</v>
      </c>
      <c r="W10" s="624">
        <v>0</v>
      </c>
      <c r="X10" s="624">
        <v>0</v>
      </c>
      <c r="Y10" s="833">
        <v>0</v>
      </c>
      <c r="Z10" s="624">
        <v>0</v>
      </c>
      <c r="AA10" s="624">
        <v>0</v>
      </c>
      <c r="AB10" s="923">
        <v>0</v>
      </c>
      <c r="AC10" s="624">
        <v>0</v>
      </c>
      <c r="AD10" s="624">
        <v>0</v>
      </c>
      <c r="AE10" s="624">
        <v>0</v>
      </c>
      <c r="AF10" s="831">
        <f>AF9+1</f>
        <v>37028</v>
      </c>
      <c r="AG10" s="623"/>
      <c r="AH10" s="623"/>
      <c r="AI10" s="623"/>
      <c r="AJ10" s="623"/>
      <c r="AK10" s="623"/>
    </row>
    <row r="11" spans="1:128" s="1" customFormat="1" ht="13.2">
      <c r="A11" s="831">
        <f>A10+1</f>
        <v>37029</v>
      </c>
      <c r="B11" s="919">
        <v>0</v>
      </c>
      <c r="C11" s="624">
        <v>0</v>
      </c>
      <c r="D11" s="624">
        <v>0</v>
      </c>
      <c r="E11" s="624">
        <v>0</v>
      </c>
      <c r="F11" s="624">
        <v>0</v>
      </c>
      <c r="G11" s="923">
        <v>0</v>
      </c>
      <c r="H11" s="624">
        <v>1000</v>
      </c>
      <c r="I11" s="920">
        <v>7197</v>
      </c>
      <c r="J11" s="920">
        <v>20000</v>
      </c>
      <c r="K11" s="627">
        <v>0</v>
      </c>
      <c r="L11" s="925">
        <v>0</v>
      </c>
      <c r="M11" s="925">
        <v>0</v>
      </c>
      <c r="N11" s="925">
        <v>0</v>
      </c>
      <c r="O11" s="925">
        <v>0</v>
      </c>
      <c r="P11" s="624">
        <v>0</v>
      </c>
      <c r="Q11" s="925">
        <v>0</v>
      </c>
      <c r="R11" s="624">
        <v>0</v>
      </c>
      <c r="S11" s="833">
        <v>0</v>
      </c>
      <c r="T11" s="624">
        <v>0</v>
      </c>
      <c r="U11" s="624">
        <v>0</v>
      </c>
      <c r="V11" s="833">
        <v>0</v>
      </c>
      <c r="W11" s="624">
        <v>0</v>
      </c>
      <c r="X11" s="624">
        <v>0</v>
      </c>
      <c r="Y11" s="833">
        <v>0</v>
      </c>
      <c r="Z11" s="624">
        <v>0</v>
      </c>
      <c r="AA11" s="624">
        <v>0</v>
      </c>
      <c r="AB11" s="923">
        <v>0</v>
      </c>
      <c r="AC11" s="624">
        <v>0</v>
      </c>
      <c r="AD11" s="624">
        <v>0</v>
      </c>
      <c r="AE11" s="624">
        <v>0</v>
      </c>
      <c r="AF11" s="831">
        <f>AF10+1</f>
        <v>37029</v>
      </c>
      <c r="AG11" s="623"/>
      <c r="AH11" s="623"/>
      <c r="AI11" s="623"/>
      <c r="AJ11" s="623"/>
      <c r="AK11" s="623"/>
    </row>
    <row r="12" spans="1:128" s="1" customFormat="1" ht="13.2">
      <c r="A12" s="831">
        <f>A11+1</f>
        <v>37030</v>
      </c>
      <c r="B12" s="919">
        <v>0</v>
      </c>
      <c r="C12" s="624">
        <v>0</v>
      </c>
      <c r="D12" s="624">
        <v>0</v>
      </c>
      <c r="E12" s="624">
        <v>0</v>
      </c>
      <c r="F12" s="624">
        <v>0</v>
      </c>
      <c r="G12" s="923">
        <v>0</v>
      </c>
      <c r="H12" s="624">
        <v>1000</v>
      </c>
      <c r="I12" s="920">
        <v>7197</v>
      </c>
      <c r="J12" s="920">
        <v>20000</v>
      </c>
      <c r="K12" s="627">
        <v>0</v>
      </c>
      <c r="L12" s="925">
        <v>0</v>
      </c>
      <c r="M12" s="925">
        <v>0</v>
      </c>
      <c r="N12" s="925">
        <v>0</v>
      </c>
      <c r="O12" s="925">
        <v>0</v>
      </c>
      <c r="P12" s="624">
        <v>0</v>
      </c>
      <c r="Q12" s="925">
        <v>0</v>
      </c>
      <c r="R12" s="624">
        <v>0</v>
      </c>
      <c r="S12" s="833">
        <v>0</v>
      </c>
      <c r="T12" s="624">
        <v>0</v>
      </c>
      <c r="U12" s="624">
        <v>0</v>
      </c>
      <c r="V12" s="833">
        <v>0</v>
      </c>
      <c r="W12" s="624">
        <v>0</v>
      </c>
      <c r="X12" s="624">
        <v>0</v>
      </c>
      <c r="Y12" s="833">
        <v>0</v>
      </c>
      <c r="Z12" s="624">
        <v>0</v>
      </c>
      <c r="AA12" s="624">
        <v>0</v>
      </c>
      <c r="AB12" s="923">
        <v>0</v>
      </c>
      <c r="AC12" s="624">
        <v>0</v>
      </c>
      <c r="AD12" s="624">
        <v>0</v>
      </c>
      <c r="AE12" s="624">
        <v>0</v>
      </c>
      <c r="AF12" s="831">
        <f>AF11+1</f>
        <v>37030</v>
      </c>
      <c r="AG12" s="623"/>
      <c r="AH12" s="623"/>
      <c r="AI12" s="623"/>
      <c r="AJ12" s="623"/>
      <c r="AK12" s="623"/>
    </row>
    <row r="13" spans="1:128" s="1" customFormat="1" ht="13.2">
      <c r="A13" s="623"/>
      <c r="B13" s="623"/>
      <c r="C13" s="624"/>
      <c r="D13" s="623"/>
      <c r="E13" s="624"/>
      <c r="F13" s="624"/>
      <c r="G13" s="623"/>
      <c r="H13" s="623" t="s">
        <v>11</v>
      </c>
      <c r="I13" s="623"/>
      <c r="J13" s="623"/>
      <c r="K13" s="623"/>
      <c r="L13" s="623" t="s">
        <v>11</v>
      </c>
      <c r="M13" s="623"/>
      <c r="N13" s="623"/>
      <c r="P13" s="623"/>
      <c r="Q13" s="623"/>
      <c r="R13" s="623"/>
      <c r="S13" s="833"/>
      <c r="T13" s="623"/>
      <c r="U13" s="623"/>
      <c r="V13" s="628"/>
      <c r="W13" s="623"/>
      <c r="X13" s="623"/>
      <c r="Y13" s="623"/>
      <c r="Z13" s="623"/>
      <c r="AA13" s="623"/>
      <c r="AB13" s="623"/>
      <c r="AC13" s="623"/>
      <c r="AD13" s="623"/>
      <c r="AE13" s="623"/>
      <c r="AF13" s="623"/>
      <c r="AG13" s="623"/>
      <c r="AH13" s="623"/>
      <c r="AI13" s="623"/>
      <c r="AJ13" s="623"/>
      <c r="AK13" s="625"/>
    </row>
    <row r="14" spans="1:128" s="1" customFormat="1" ht="13.2">
      <c r="A14" s="623"/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P14" s="623"/>
      <c r="Q14" s="623"/>
      <c r="R14" s="623"/>
      <c r="S14" s="623"/>
      <c r="T14" s="623"/>
      <c r="U14" s="623"/>
      <c r="V14" s="623"/>
      <c r="W14" s="623"/>
      <c r="X14" s="623"/>
      <c r="Y14" s="623"/>
      <c r="Z14" s="623"/>
      <c r="AA14" s="623"/>
      <c r="AB14" s="623"/>
      <c r="AC14" s="623"/>
      <c r="AD14" s="623"/>
      <c r="AE14" s="623"/>
      <c r="AF14" s="623"/>
      <c r="AG14" s="623"/>
      <c r="AH14" s="623"/>
      <c r="AI14" s="623"/>
      <c r="AJ14" s="623"/>
      <c r="AK14" s="626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F8" sqref="F8"/>
    </sheetView>
  </sheetViews>
  <sheetFormatPr defaultColWidth="8.81640625" defaultRowHeight="13.2"/>
  <cols>
    <col min="1" max="16384" width="8.81640625" style="1"/>
  </cols>
  <sheetData>
    <row r="1" spans="1:24">
      <c r="A1" s="417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633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416</v>
      </c>
      <c r="O5" s="3"/>
      <c r="P5" s="3" t="s">
        <v>131</v>
      </c>
      <c r="Q5" s="3" t="s">
        <v>131</v>
      </c>
      <c r="R5" s="3" t="s">
        <v>38</v>
      </c>
      <c r="S5" s="1" t="s">
        <v>523</v>
      </c>
      <c r="U5" s="67"/>
    </row>
    <row r="6" spans="1:24">
      <c r="B6" s="54" t="s">
        <v>400</v>
      </c>
      <c r="C6" s="57" t="s">
        <v>111</v>
      </c>
      <c r="D6" s="54" t="s">
        <v>112</v>
      </c>
      <c r="E6" s="83" t="s">
        <v>90</v>
      </c>
      <c r="F6" s="54" t="s">
        <v>693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529</v>
      </c>
      <c r="O6" s="54" t="s">
        <v>93</v>
      </c>
      <c r="P6" s="83" t="s">
        <v>133</v>
      </c>
      <c r="Q6" s="83" t="s">
        <v>637</v>
      </c>
      <c r="R6" s="54" t="s">
        <v>131</v>
      </c>
      <c r="S6" s="1072" t="s">
        <v>38</v>
      </c>
      <c r="T6" s="54" t="s">
        <v>416</v>
      </c>
      <c r="U6" s="69" t="s">
        <v>61</v>
      </c>
    </row>
    <row r="7" spans="1:24">
      <c r="A7" s="831">
        <f>Weather_Input!A5</f>
        <v>37025</v>
      </c>
      <c r="B7" s="626">
        <v>0</v>
      </c>
      <c r="C7" s="627">
        <v>0</v>
      </c>
      <c r="D7" s="626">
        <v>0</v>
      </c>
      <c r="E7" s="626">
        <v>0</v>
      </c>
      <c r="F7" s="626">
        <v>7509</v>
      </c>
      <c r="G7" s="626">
        <f>(R7+S7+C7+PGL_Requirements!Y7+PGL_Requirements!Z7-NSG_Requirements!C7)*0.05</f>
        <v>2630.3500000000004</v>
      </c>
      <c r="H7" s="627">
        <v>0</v>
      </c>
      <c r="I7" s="626">
        <v>0</v>
      </c>
      <c r="J7" s="626">
        <v>0</v>
      </c>
      <c r="K7" s="626">
        <v>0</v>
      </c>
      <c r="L7" s="626">
        <v>0</v>
      </c>
      <c r="M7" s="626">
        <v>0</v>
      </c>
      <c r="N7" s="627">
        <v>0</v>
      </c>
      <c r="O7" s="920">
        <v>0</v>
      </c>
      <c r="P7" s="626">
        <v>0</v>
      </c>
      <c r="Q7" s="626">
        <v>20000</v>
      </c>
      <c r="R7" s="626">
        <v>31776</v>
      </c>
      <c r="S7" s="626">
        <v>20831</v>
      </c>
      <c r="T7" s="626">
        <v>0</v>
      </c>
      <c r="U7" s="626">
        <v>0</v>
      </c>
      <c r="V7" s="831">
        <f>Weather_Input!A5</f>
        <v>37025</v>
      </c>
      <c r="W7" s="623"/>
      <c r="X7" s="623"/>
    </row>
    <row r="8" spans="1:24">
      <c r="A8" s="831">
        <f>A7+1</f>
        <v>37026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626">
        <f>(R8+S8+C8+PGL_Requirements!Y8+PGL_Requirements!Z8-NSG_Requirements!C8)*0.05</f>
        <v>2674.3500000000004</v>
      </c>
      <c r="H8" s="627">
        <v>0</v>
      </c>
      <c r="I8" s="626">
        <v>0</v>
      </c>
      <c r="J8" s="626">
        <v>0</v>
      </c>
      <c r="K8" s="626">
        <v>0</v>
      </c>
      <c r="L8" s="626">
        <v>0</v>
      </c>
      <c r="M8" s="626">
        <v>0</v>
      </c>
      <c r="N8" s="627">
        <v>0</v>
      </c>
      <c r="O8" s="920">
        <v>0</v>
      </c>
      <c r="P8" s="626">
        <v>0</v>
      </c>
      <c r="Q8" s="626">
        <v>20000</v>
      </c>
      <c r="R8" s="626">
        <v>32216</v>
      </c>
      <c r="S8" s="626">
        <v>21271</v>
      </c>
      <c r="T8" s="626">
        <v>0</v>
      </c>
      <c r="U8" s="626">
        <v>0</v>
      </c>
      <c r="V8" s="831">
        <f>V7+1</f>
        <v>37026</v>
      </c>
      <c r="W8" s="623"/>
      <c r="X8" s="623"/>
    </row>
    <row r="9" spans="1:24">
      <c r="A9" s="831">
        <f>A8+1</f>
        <v>37027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626">
        <f>(R9+S9+C9+PGL_Requirements!Y9+PGL_Requirements!Z9-NSG_Requirements!C9)*0.05</f>
        <v>2674.3500000000004</v>
      </c>
      <c r="H9" s="627">
        <v>0</v>
      </c>
      <c r="I9" s="626">
        <v>0</v>
      </c>
      <c r="J9" s="626">
        <v>0</v>
      </c>
      <c r="K9" s="626">
        <v>0</v>
      </c>
      <c r="L9" s="626">
        <v>0</v>
      </c>
      <c r="M9" s="626">
        <v>0</v>
      </c>
      <c r="N9" s="627">
        <v>0</v>
      </c>
      <c r="O9" s="920">
        <v>0</v>
      </c>
      <c r="P9" s="626">
        <v>0</v>
      </c>
      <c r="Q9" s="626">
        <v>20000</v>
      </c>
      <c r="R9" s="626">
        <v>32216</v>
      </c>
      <c r="S9" s="626">
        <v>21271</v>
      </c>
      <c r="T9" s="626">
        <v>0</v>
      </c>
      <c r="U9" s="626">
        <v>0</v>
      </c>
      <c r="V9" s="831">
        <f>V8+1</f>
        <v>37027</v>
      </c>
      <c r="W9" s="623"/>
      <c r="X9" s="623"/>
    </row>
    <row r="10" spans="1:24">
      <c r="A10" s="831">
        <f>A9+1</f>
        <v>37028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626">
        <f>(R10+S10+C10+PGL_Requirements!Y10+PGL_Requirements!Z10-NSG_Requirements!C10)*0.05</f>
        <v>2674.3500000000004</v>
      </c>
      <c r="H10" s="627">
        <v>0</v>
      </c>
      <c r="I10" s="626">
        <v>0</v>
      </c>
      <c r="J10" s="626">
        <v>0</v>
      </c>
      <c r="K10" s="626">
        <v>0</v>
      </c>
      <c r="L10" s="626">
        <v>0</v>
      </c>
      <c r="M10" s="626">
        <v>0</v>
      </c>
      <c r="N10" s="627">
        <v>0</v>
      </c>
      <c r="O10" s="920">
        <v>0</v>
      </c>
      <c r="P10" s="626">
        <v>0</v>
      </c>
      <c r="Q10" s="626">
        <v>20000</v>
      </c>
      <c r="R10" s="626">
        <v>32216</v>
      </c>
      <c r="S10" s="626">
        <v>21271</v>
      </c>
      <c r="T10" s="626">
        <v>0</v>
      </c>
      <c r="U10" s="626">
        <v>0</v>
      </c>
      <c r="V10" s="831">
        <f>V9+1</f>
        <v>37028</v>
      </c>
      <c r="W10" s="623"/>
      <c r="X10" s="623"/>
    </row>
    <row r="11" spans="1:24">
      <c r="A11" s="831">
        <f>A10+1</f>
        <v>37029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626">
        <f>(R11+S11+C11+PGL_Requirements!Y11+PGL_Requirements!Z11-NSG_Requirements!C11)*0.05</f>
        <v>2674.3500000000004</v>
      </c>
      <c r="H11" s="627">
        <v>0</v>
      </c>
      <c r="I11" s="626">
        <v>0</v>
      </c>
      <c r="J11" s="626">
        <v>0</v>
      </c>
      <c r="K11" s="626">
        <v>0</v>
      </c>
      <c r="L11" s="626">
        <v>0</v>
      </c>
      <c r="M11" s="626">
        <v>0</v>
      </c>
      <c r="N11" s="627">
        <v>0</v>
      </c>
      <c r="O11" s="920">
        <v>0</v>
      </c>
      <c r="P11" s="626">
        <v>0</v>
      </c>
      <c r="Q11" s="626">
        <v>20000</v>
      </c>
      <c r="R11" s="626">
        <v>32216</v>
      </c>
      <c r="S11" s="626">
        <v>21271</v>
      </c>
      <c r="T11" s="626">
        <v>0</v>
      </c>
      <c r="U11" s="626">
        <v>0</v>
      </c>
      <c r="V11" s="831">
        <f>V10+1</f>
        <v>37029</v>
      </c>
      <c r="W11" s="623"/>
      <c r="X11" s="623"/>
    </row>
    <row r="12" spans="1:24">
      <c r="A12" s="831">
        <f>A11+1</f>
        <v>37030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626">
        <f>(R12+S12+C12+PGL_Requirements!Y12+PGL_Requirements!Z12-NSG_Requirements!C12)*0.05</f>
        <v>2674.3500000000004</v>
      </c>
      <c r="H12" s="627">
        <v>0</v>
      </c>
      <c r="I12" s="626">
        <v>0</v>
      </c>
      <c r="J12" s="626">
        <v>0</v>
      </c>
      <c r="K12" s="626">
        <v>0</v>
      </c>
      <c r="L12" s="626">
        <v>0</v>
      </c>
      <c r="M12" s="626">
        <v>0</v>
      </c>
      <c r="N12" s="627">
        <v>0</v>
      </c>
      <c r="O12" s="920">
        <v>0</v>
      </c>
      <c r="P12" s="626">
        <v>0</v>
      </c>
      <c r="Q12" s="626">
        <v>20000</v>
      </c>
      <c r="R12" s="626">
        <v>32216</v>
      </c>
      <c r="S12" s="626">
        <v>21271</v>
      </c>
      <c r="T12" s="626">
        <v>0</v>
      </c>
      <c r="U12" s="626">
        <v>0</v>
      </c>
      <c r="V12" s="831">
        <f>V11+1</f>
        <v>37030</v>
      </c>
      <c r="W12" s="623"/>
      <c r="X12" s="623"/>
    </row>
    <row r="13" spans="1:24">
      <c r="A13" s="623"/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6"/>
      <c r="N13" s="627"/>
      <c r="O13" s="623"/>
      <c r="P13" s="623"/>
      <c r="Q13" s="623"/>
      <c r="R13" s="626"/>
      <c r="S13" s="626"/>
      <c r="T13" s="626"/>
      <c r="U13" s="623"/>
      <c r="V13" s="623"/>
      <c r="W13" s="623"/>
      <c r="X13" s="623"/>
    </row>
    <row r="14" spans="1:24">
      <c r="A14" s="623"/>
      <c r="B14" s="623"/>
      <c r="C14" s="623"/>
      <c r="D14" s="623" t="s">
        <v>11</v>
      </c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O14" s="623"/>
      <c r="P14" s="623"/>
      <c r="Q14" s="623"/>
      <c r="R14" s="626" t="s">
        <v>11</v>
      </c>
      <c r="S14" s="623"/>
      <c r="T14" s="623"/>
      <c r="U14" s="623"/>
      <c r="V14" s="623"/>
      <c r="W14" s="623"/>
      <c r="X14" s="623"/>
    </row>
    <row r="15" spans="1:24">
      <c r="A15" s="623"/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3"/>
      <c r="R15" s="626" t="s">
        <v>11</v>
      </c>
      <c r="S15" s="623"/>
      <c r="T15" s="623" t="s">
        <v>11</v>
      </c>
      <c r="U15" s="623"/>
      <c r="V15" s="623"/>
      <c r="W15" s="623"/>
      <c r="X15" s="623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3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activeCell="A8" sqref="A8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6" t="s">
        <v>0</v>
      </c>
      <c r="B1" s="834"/>
      <c r="C1" s="901"/>
      <c r="D1" s="834"/>
      <c r="E1" s="834"/>
      <c r="F1" s="834" t="s">
        <v>11</v>
      </c>
      <c r="G1" s="834" t="s">
        <v>135</v>
      </c>
      <c r="H1" s="835" t="str">
        <f>D3</f>
        <v>MON</v>
      </c>
      <c r="I1" s="836">
        <f>D4</f>
        <v>37025</v>
      </c>
    </row>
    <row r="2" spans="1:256">
      <c r="A2" s="837" t="s">
        <v>136</v>
      </c>
      <c r="B2" s="838"/>
      <c r="C2" s="838"/>
      <c r="D2" s="838"/>
      <c r="E2" s="838"/>
      <c r="F2" s="838"/>
      <c r="G2" s="838"/>
      <c r="H2" s="838"/>
      <c r="I2" s="839"/>
    </row>
    <row r="3" spans="1:256" ht="16.2" thickBot="1">
      <c r="A3" s="840"/>
      <c r="B3" s="838"/>
      <c r="C3" s="838"/>
      <c r="D3" s="841" t="str">
        <f t="shared" ref="D3:I3" si="0">CHOOSE(WEEKDAY(D4),"SUN","MON","TUE","WED","THU","FRI","SAT")</f>
        <v>MON</v>
      </c>
      <c r="E3" s="841" t="str">
        <f t="shared" si="0"/>
        <v>TUE</v>
      </c>
      <c r="F3" s="841" t="str">
        <f t="shared" si="0"/>
        <v>WED</v>
      </c>
      <c r="G3" s="841" t="str">
        <f t="shared" si="0"/>
        <v>THU</v>
      </c>
      <c r="H3" s="841" t="str">
        <f t="shared" si="0"/>
        <v>FRI</v>
      </c>
      <c r="I3" s="842" t="str">
        <f t="shared" si="0"/>
        <v>SAT</v>
      </c>
    </row>
    <row r="4" spans="1:256" ht="16.2" thickBot="1">
      <c r="A4" s="843"/>
      <c r="B4" s="844"/>
      <c r="C4" s="844"/>
      <c r="D4" s="465">
        <f>Weather_Input!A5</f>
        <v>37025</v>
      </c>
      <c r="E4" s="465">
        <f>Weather_Input!A6</f>
        <v>37026</v>
      </c>
      <c r="F4" s="465">
        <f>Weather_Input!A7</f>
        <v>37027</v>
      </c>
      <c r="G4" s="465">
        <f>Weather_Input!A8</f>
        <v>37028</v>
      </c>
      <c r="H4" s="465">
        <f>Weather_Input!A9</f>
        <v>37029</v>
      </c>
      <c r="I4" s="466">
        <f>Weather_Input!A10</f>
        <v>37030</v>
      </c>
    </row>
    <row r="5" spans="1:256" ht="16.5" customHeight="1" thickTop="1">
      <c r="A5" s="847" t="s">
        <v>137</v>
      </c>
      <c r="B5" s="838"/>
      <c r="C5" s="838" t="s">
        <v>138</v>
      </c>
      <c r="D5" s="467" t="str">
        <f>TEXT(Weather_Input!B5,"0")&amp;"/"&amp;TEXT(Weather_Input!C5,"0") &amp; "/" &amp; TEXT((Weather_Input!B5+Weather_Input!C5)/2,"0")</f>
        <v>73/53/63</v>
      </c>
      <c r="E5" s="467" t="str">
        <f>TEXT(Weather_Input!B6,"0")&amp;"/"&amp;TEXT(Weather_Input!C6,"0") &amp; "/" &amp; TEXT((Weather_Input!B6+Weather_Input!C6)/2,"0")</f>
        <v>87/67/77</v>
      </c>
      <c r="F5" s="467" t="str">
        <f>TEXT(Weather_Input!B7,"0")&amp;"/"&amp;TEXT(Weather_Input!C7,"0") &amp; "/" &amp; TEXT((Weather_Input!B7+Weather_Input!C7)/2,"0")</f>
        <v>79/65/72</v>
      </c>
      <c r="G5" s="467" t="str">
        <f>TEXT(Weather_Input!B8,"0")&amp;"/"&amp;TEXT(Weather_Input!C8,"0") &amp; "/" &amp; TEXT((Weather_Input!B8+Weather_Input!C8)/2,"0")</f>
        <v>78/58/68</v>
      </c>
      <c r="H5" s="467" t="str">
        <f>TEXT(Weather_Input!B9,"0")&amp;"/"&amp;TEXT(Weather_Input!C9,"0") &amp; "/" &amp; TEXT((Weather_Input!B9+Weather_Input!C9)/2,"0")</f>
        <v>74/58/66</v>
      </c>
      <c r="I5" s="468" t="str">
        <f>TEXT(Weather_Input!B10,"0")&amp;"/"&amp;TEXT(Weather_Input!C10,"0") &amp; "/" &amp; TEXT((Weather_Input!B10+Weather_Input!C10)/2,"0")</f>
        <v>72/53/63</v>
      </c>
    </row>
    <row r="6" spans="1:256">
      <c r="A6" s="850" t="s">
        <v>139</v>
      </c>
      <c r="B6" s="838"/>
      <c r="C6" s="838"/>
      <c r="D6" s="467">
        <f>PGL_Deliveries!C5/1000</f>
        <v>270</v>
      </c>
      <c r="E6" s="467">
        <f>PGL_Deliveries!C6/1000</f>
        <v>240</v>
      </c>
      <c r="F6" s="467">
        <f>PGL_Deliveries!C7/1000</f>
        <v>235</v>
      </c>
      <c r="G6" s="467">
        <f>PGL_Deliveries!C8/1000</f>
        <v>235</v>
      </c>
      <c r="H6" s="467">
        <f>PGL_Deliveries!C9/1000</f>
        <v>220</v>
      </c>
      <c r="I6" s="468">
        <f>PGL_Deliveries!C10/1000</f>
        <v>215</v>
      </c>
    </row>
    <row r="7" spans="1:256">
      <c r="A7" s="850" t="s">
        <v>567</v>
      </c>
      <c r="B7" s="838" t="s">
        <v>416</v>
      </c>
      <c r="C7" s="838"/>
      <c r="D7" s="467">
        <f>PGL_Requirements!H7/1000</f>
        <v>1.8620000000000001</v>
      </c>
      <c r="E7" s="467">
        <f>PGL_Requirements!H8/1000</f>
        <v>12.817</v>
      </c>
      <c r="F7" s="467">
        <f>PGL_Requirements!H9/1000</f>
        <v>22.995999999999999</v>
      </c>
      <c r="G7" s="467">
        <f>PGL_Requirements!H10/1000</f>
        <v>0</v>
      </c>
      <c r="H7" s="467">
        <f>PGL_Requirements!H11/1000</f>
        <v>0</v>
      </c>
      <c r="I7" s="468">
        <f>PGL_Requirements!H12/1000</f>
        <v>0</v>
      </c>
    </row>
    <row r="8" spans="1:256">
      <c r="A8" s="850" t="s">
        <v>788</v>
      </c>
      <c r="B8" s="838"/>
      <c r="C8" s="838"/>
      <c r="D8" s="467">
        <f>PGL_Requirements!I7/1000+PGL_Requirements!K7/1000</f>
        <v>7.8170000000000002</v>
      </c>
      <c r="E8" s="467">
        <f>PGL_Requirements!I8/1000+PGL_Requirements!K8/1000</f>
        <v>19</v>
      </c>
      <c r="F8" s="467">
        <f>PGL_Requirements!I9/1000+PGL_Requirements!K9/1000</f>
        <v>0</v>
      </c>
      <c r="G8" s="467">
        <f>PGL_Requirements!I10/1000+PGL_Requirements!K10/1000</f>
        <v>0</v>
      </c>
      <c r="H8" s="467">
        <f>PGL_Requirements!I11/1000+PGL_Requirements!K11/1000</f>
        <v>0</v>
      </c>
      <c r="I8" s="468">
        <f>PGL_Requirements!I12/1000+PGL_Requirements!K12/1000</f>
        <v>0</v>
      </c>
    </row>
    <row r="9" spans="1:256">
      <c r="A9" s="847" t="s">
        <v>140</v>
      </c>
      <c r="B9" s="838" t="s">
        <v>143</v>
      </c>
      <c r="C9" s="851"/>
      <c r="D9" s="467">
        <v>0</v>
      </c>
      <c r="E9" s="467">
        <v>0</v>
      </c>
      <c r="F9" s="467">
        <v>0</v>
      </c>
      <c r="G9" s="467">
        <v>0</v>
      </c>
      <c r="H9" s="467">
        <v>0</v>
      </c>
      <c r="I9" s="468">
        <v>0</v>
      </c>
    </row>
    <row r="10" spans="1:256">
      <c r="A10" s="847"/>
      <c r="B10" s="838" t="s">
        <v>147</v>
      </c>
      <c r="C10" s="851"/>
      <c r="D10" s="467">
        <v>0</v>
      </c>
      <c r="E10" s="467">
        <v>0</v>
      </c>
      <c r="F10" s="467">
        <v>0</v>
      </c>
      <c r="G10" s="467">
        <v>0</v>
      </c>
      <c r="H10" s="467">
        <v>0</v>
      </c>
      <c r="I10" s="468">
        <v>0</v>
      </c>
    </row>
    <row r="11" spans="1:256">
      <c r="A11" s="847"/>
      <c r="B11" s="838" t="s">
        <v>416</v>
      </c>
      <c r="C11" s="838"/>
      <c r="D11" s="467">
        <v>0</v>
      </c>
      <c r="E11" s="467">
        <v>0</v>
      </c>
      <c r="F11" s="467">
        <v>0</v>
      </c>
      <c r="G11" s="467">
        <v>0</v>
      </c>
      <c r="H11" s="467">
        <v>0</v>
      </c>
      <c r="I11" s="468">
        <v>0</v>
      </c>
    </row>
    <row r="12" spans="1:256">
      <c r="A12" s="847"/>
      <c r="B12" s="838" t="s">
        <v>141</v>
      </c>
      <c r="C12" s="838"/>
      <c r="D12" s="467">
        <f>PGL_Requirements!L7/1000</f>
        <v>0</v>
      </c>
      <c r="E12" s="467">
        <f>PGL_Requirements!L8/1000</f>
        <v>0</v>
      </c>
      <c r="F12" s="467">
        <f>PGL_Requirements!L9/1000</f>
        <v>0</v>
      </c>
      <c r="G12" s="467">
        <f>PGL_Requirements!L10/1000</f>
        <v>0</v>
      </c>
      <c r="H12" s="467">
        <f>PGL_Requirements!L11/1000</f>
        <v>0</v>
      </c>
      <c r="I12" s="468">
        <f>PGL_Requirements!L12/1000</f>
        <v>0</v>
      </c>
    </row>
    <row r="13" spans="1:256">
      <c r="A13" s="847" t="s">
        <v>144</v>
      </c>
      <c r="B13" s="838" t="s">
        <v>145</v>
      </c>
      <c r="C13" s="838" t="s">
        <v>60</v>
      </c>
      <c r="D13" s="467">
        <f>PGL_Requirements!P7/1000</f>
        <v>103.33</v>
      </c>
      <c r="E13" s="467">
        <f>PGL_Requirements!P8/1000</f>
        <v>123</v>
      </c>
      <c r="F13" s="467">
        <f>PGL_Requirements!P9/1000</f>
        <v>150</v>
      </c>
      <c r="G13" s="467">
        <f>PGL_Requirements!P10/1000</f>
        <v>150</v>
      </c>
      <c r="H13" s="467">
        <f>PGL_Requirements!P11/1000</f>
        <v>150</v>
      </c>
      <c r="I13" s="468">
        <f>PGL_Requirements!P12/1000</f>
        <v>150</v>
      </c>
    </row>
    <row r="14" spans="1:256">
      <c r="A14" s="847"/>
      <c r="B14" s="838"/>
      <c r="C14" s="838" t="s">
        <v>101</v>
      </c>
      <c r="D14" s="467">
        <f>PGL_Requirements!Q7/1000</f>
        <v>1.5499499999999999</v>
      </c>
      <c r="E14" s="467">
        <f>PGL_Requirements!Q8/1000</f>
        <v>1.845</v>
      </c>
      <c r="F14" s="467">
        <f>PGL_Requirements!Q9/1000</f>
        <v>2.25</v>
      </c>
      <c r="G14" s="467">
        <f>PGL_Requirements!Q10/1000</f>
        <v>2.25</v>
      </c>
      <c r="H14" s="467">
        <f>PGL_Requirements!Q11/1000</f>
        <v>2.25</v>
      </c>
      <c r="I14" s="468">
        <f>PGL_Requirements!Q12/1000</f>
        <v>2.25</v>
      </c>
    </row>
    <row r="15" spans="1:256">
      <c r="A15" s="847"/>
      <c r="C15" s="838" t="s">
        <v>736</v>
      </c>
      <c r="D15" s="467">
        <f>PGL_Requirements!R7/1000</f>
        <v>0.65</v>
      </c>
      <c r="E15" s="467">
        <f>PGL_Requirements!R8/1000</f>
        <v>0.63</v>
      </c>
      <c r="F15" s="467">
        <f>PGL_Requirements!R9/1000</f>
        <v>0.63</v>
      </c>
      <c r="G15" s="467">
        <f>PGL_Requirements!R10/1000</f>
        <v>0.63</v>
      </c>
      <c r="H15" s="467">
        <f>PGL_Requirements!R11/1000</f>
        <v>0.63</v>
      </c>
      <c r="I15" s="468">
        <f>PGL_Requirements!R12/1000</f>
        <v>0.63</v>
      </c>
    </row>
    <row r="16" spans="1:256">
      <c r="A16" s="847"/>
      <c r="C16" s="838" t="s">
        <v>768</v>
      </c>
      <c r="D16" s="467">
        <f>PGL_Requirements!B7/1000</f>
        <v>0</v>
      </c>
      <c r="E16" s="467">
        <f>PGL_Requirements!B8/1000</f>
        <v>0</v>
      </c>
      <c r="F16" s="467">
        <f>PGL_Requirements!B9/1000</f>
        <v>0</v>
      </c>
      <c r="G16" s="467">
        <f>PGL_Requirements!B10/1000</f>
        <v>0</v>
      </c>
      <c r="H16" s="467">
        <f>PGL_Requirements!B11/1000</f>
        <v>0</v>
      </c>
      <c r="I16" s="468">
        <f>PGL_Requirements!B12/1000</f>
        <v>0</v>
      </c>
      <c r="IV16" s="467" t="s">
        <v>11</v>
      </c>
    </row>
    <row r="17" spans="1:10">
      <c r="A17" s="847"/>
      <c r="B17" s="838" t="s">
        <v>184</v>
      </c>
      <c r="C17" s="838" t="s">
        <v>715</v>
      </c>
      <c r="D17" s="467">
        <v>0</v>
      </c>
      <c r="E17" s="467">
        <v>0</v>
      </c>
      <c r="F17" s="467">
        <v>0</v>
      </c>
      <c r="G17" s="467">
        <v>0</v>
      </c>
      <c r="H17" s="467">
        <v>0</v>
      </c>
      <c r="I17" s="468">
        <v>0</v>
      </c>
    </row>
    <row r="18" spans="1:10">
      <c r="A18" s="847"/>
      <c r="B18" s="838" t="s">
        <v>143</v>
      </c>
      <c r="C18" s="838" t="s">
        <v>90</v>
      </c>
      <c r="D18" s="467">
        <f>PGL_Requirements!U7/1000</f>
        <v>40.200000000000003</v>
      </c>
      <c r="E18" s="467">
        <f>PGL_Requirements!U8/1000</f>
        <v>40.200000000000003</v>
      </c>
      <c r="F18" s="467">
        <f>PGL_Requirements!U9/1000</f>
        <v>40.200000000000003</v>
      </c>
      <c r="G18" s="467">
        <f>PGL_Requirements!U10/1000</f>
        <v>40.200000000000003</v>
      </c>
      <c r="H18" s="467">
        <f>PGL_Requirements!U11/1000</f>
        <v>40.200000000000003</v>
      </c>
      <c r="I18" s="468">
        <f>PGL_Requirements!U12/1000</f>
        <v>40.200000000000003</v>
      </c>
    </row>
    <row r="19" spans="1:10">
      <c r="A19" s="847"/>
      <c r="B19" s="838" t="s">
        <v>141</v>
      </c>
      <c r="C19" s="838" t="s">
        <v>90</v>
      </c>
      <c r="D19" s="467">
        <f>PGL_Requirements!O7/1000</f>
        <v>0</v>
      </c>
      <c r="E19" s="467">
        <f>PGL_Requirements!O8/1000</f>
        <v>11.69</v>
      </c>
      <c r="F19" s="467">
        <f>PGL_Requirements!O9/1000</f>
        <v>0</v>
      </c>
      <c r="G19" s="467">
        <f>PGL_Requirements!O10/1000</f>
        <v>0</v>
      </c>
      <c r="H19" s="467">
        <f>PGL_Requirements!O11/1000</f>
        <v>0</v>
      </c>
      <c r="I19" s="468">
        <f>PGL_Requirements!O12/1000</f>
        <v>0</v>
      </c>
    </row>
    <row r="20" spans="1:10">
      <c r="A20" s="850" t="s">
        <v>146</v>
      </c>
      <c r="B20" s="854" t="s">
        <v>143</v>
      </c>
      <c r="C20" s="854"/>
      <c r="D20" s="467">
        <f>(PGL_Requirements!$V$7+PGL_Requirements!$W$7+PGL_Requirements!$X$7)/1000</f>
        <v>0</v>
      </c>
      <c r="E20" s="467">
        <f>(PGL_Requirements!$V$8+PGL_Requirements!$W$8+PGL_Requirements!$X$8)/1000</f>
        <v>0</v>
      </c>
      <c r="F20" s="467">
        <f>(PGL_Requirements!$V$9+PGL_Requirements!$W$9+PGL_Requirements!$X$9)/1000</f>
        <v>0</v>
      </c>
      <c r="G20" s="467">
        <f>(PGL_Requirements!$V$10+PGL_Requirements!$W$10+PGL_Requirements!$X$10)/1000</f>
        <v>0</v>
      </c>
      <c r="H20" s="467">
        <f>(PGL_Requirements!$V$11+PGL_Requirements!$W$11+PGL_Requirements!$X$11)/1000</f>
        <v>0</v>
      </c>
      <c r="I20" s="468">
        <f>(PGL_Requirements!$V$12+PGL_Requirements!$W$12+PGL_Requirements!$X$12)/1000</f>
        <v>0</v>
      </c>
    </row>
    <row r="21" spans="1:10">
      <c r="A21" s="847"/>
      <c r="B21" s="854" t="s">
        <v>141</v>
      </c>
      <c r="C21" s="854"/>
      <c r="D21" s="467">
        <f>(PGL_Requirements!$Y$7+PGL_Requirements!$Z$7+PGL_Requirements!$AA$7+PGL_Requirements!$AB$7)/1000</f>
        <v>0</v>
      </c>
      <c r="E21" s="467">
        <f>(PGL_Requirements!$Y$8+PGL_Requirements!$Z$8+PGL_Requirements!$AA$8+PGL_Requirements!$AB$8)/1000</f>
        <v>0</v>
      </c>
      <c r="F21" s="467">
        <f>(PGL_Requirements!$Y$9+PGL_Requirements!$Z$9+PGL_Requirements!$AA$9+PGL_Requirements!$AB$9)/1000</f>
        <v>0</v>
      </c>
      <c r="G21" s="467">
        <f>(PGL_Requirements!$Y$10+PGL_Requirements!$Z$10+PGL_Requirements!$AA$10+PGL_Requirements!$AB$10)/1000</f>
        <v>0</v>
      </c>
      <c r="H21" s="467">
        <f>(PGL_Requirements!$Y$11+PGL_Requirements!$Z$11+PGL_Requirements!$AA$11+PGL_Requirements!$AB$11)/1000</f>
        <v>0</v>
      </c>
      <c r="I21" s="468">
        <f>(PGL_Requirements!$Y$12+PGL_Requirements!$Z$12+PGL_Requirements!$AA$12+PGL_Requirements!$AB$12)/1000</f>
        <v>0</v>
      </c>
    </row>
    <row r="22" spans="1:10">
      <c r="A22" s="847"/>
      <c r="B22" s="838" t="s">
        <v>416</v>
      </c>
      <c r="C22" s="854"/>
      <c r="D22" s="467">
        <f>PGL_Requirements!$AF$7+PGL_Requirements!$AG$7+PGL_Requirements!$AH$7+PGL_Requirements!$AI$7/1000</f>
        <v>0</v>
      </c>
      <c r="E22" s="467">
        <f>PGL_Requirements!$AF$8+PGL_Requirements!$AG$8+PGL_Requirements!$AH$8+PGL_Requirements!$AI$8/1000</f>
        <v>0</v>
      </c>
      <c r="F22" s="467">
        <f>PGL_Requirements!$AF$9+PGL_Requirements!$AG$9+PGL_Requirements!$AH$9+PGL_Requirements!$AI$9/1000</f>
        <v>0</v>
      </c>
      <c r="G22" s="467">
        <f>PGL_Requirements!$AF$10+PGL_Requirements!$AG$10+PGL_Requirements!$AH$10+PGL_Requirements!$AI$10/1000</f>
        <v>0</v>
      </c>
      <c r="H22" s="467">
        <f>PGL_Requirements!$AF$11+PGL_Requirements!$AG$11+PGL_Requirements!$AH$11+PGL_Requirements!$AI$11/1000</f>
        <v>0</v>
      </c>
      <c r="I22" s="468">
        <f>PGL_Requirements!$AF$12+PGL_Requirements!$AG$12+PGL_Requirements!$AH$12+PGL_Requirements!$AI$12/1000</f>
        <v>0</v>
      </c>
      <c r="J22" s="780"/>
    </row>
    <row r="23" spans="1:10">
      <c r="A23" s="847"/>
      <c r="B23" s="852" t="s">
        <v>148</v>
      </c>
      <c r="C23" s="854" t="s">
        <v>127</v>
      </c>
      <c r="D23" s="467">
        <f>NSG_Supplies!H7/1000</f>
        <v>0</v>
      </c>
      <c r="E23" s="467">
        <f>NSG_Supplies!H8/1000</f>
        <v>0</v>
      </c>
      <c r="F23" s="467">
        <f>NSG_Supplies!H9/1000</f>
        <v>0</v>
      </c>
      <c r="G23" s="467">
        <f>NSG_Supplies!H10/1000</f>
        <v>0</v>
      </c>
      <c r="H23" s="467">
        <f>NSG_Supplies!H11/1000</f>
        <v>0</v>
      </c>
      <c r="I23" s="468">
        <f>NSG_Supplies!H12/1000</f>
        <v>0</v>
      </c>
      <c r="J23" s="780"/>
    </row>
    <row r="24" spans="1:10">
      <c r="A24" s="850" t="s">
        <v>149</v>
      </c>
      <c r="B24" s="838"/>
      <c r="C24" s="838"/>
      <c r="D24" s="467">
        <f>PGL_Requirements!G7/1000</f>
        <v>24.606000000000002</v>
      </c>
      <c r="E24" s="467">
        <f>PGL_Requirements!G8/1000</f>
        <v>0</v>
      </c>
      <c r="F24" s="467">
        <f>PGL_Requirements!G9/1000</f>
        <v>0</v>
      </c>
      <c r="G24" s="467">
        <f>PGL_Requirements!G10/1000</f>
        <v>0</v>
      </c>
      <c r="H24" s="467">
        <f>PGL_Requirements!G11/1000</f>
        <v>0</v>
      </c>
      <c r="I24" s="468">
        <f>PGL_Requirements!G12/1000</f>
        <v>0</v>
      </c>
    </row>
    <row r="25" spans="1:10">
      <c r="A25" s="847" t="s">
        <v>150</v>
      </c>
      <c r="B25" s="838" t="s">
        <v>753</v>
      </c>
      <c r="C25" s="838"/>
      <c r="D25" s="467">
        <f>PGL_Requirements!J7/1000</f>
        <v>0</v>
      </c>
      <c r="E25" s="467">
        <f>PGL_Requirements!J8/1000</f>
        <v>0</v>
      </c>
      <c r="F25" s="467">
        <f>PGL_Requirements!J9/1000</f>
        <v>0</v>
      </c>
      <c r="G25" s="467">
        <f>PGL_Requirements!J10/1000</f>
        <v>0</v>
      </c>
      <c r="H25" s="467">
        <f>PGL_Requirements!J11/1000</f>
        <v>0</v>
      </c>
      <c r="I25" s="468">
        <f>PGL_Requirements!J12/1000</f>
        <v>0</v>
      </c>
    </row>
    <row r="26" spans="1:10">
      <c r="A26" s="847"/>
      <c r="B26" s="838" t="s">
        <v>68</v>
      </c>
      <c r="C26" s="838"/>
      <c r="D26" s="467">
        <f>PGL_Requirements!C7/1000</f>
        <v>0</v>
      </c>
      <c r="E26" s="467">
        <f>PGL_Requirements!C8/1000</f>
        <v>0</v>
      </c>
      <c r="F26" s="467">
        <f>PGL_Requirements!C9/1000</f>
        <v>0</v>
      </c>
      <c r="G26" s="467">
        <f>PGL_Requirements!C10/1000</f>
        <v>0</v>
      </c>
      <c r="H26" s="467">
        <f>PGL_Requirements!C11/1000</f>
        <v>0</v>
      </c>
      <c r="I26" s="468">
        <f>PGL_Requirements!C12/1000</f>
        <v>0</v>
      </c>
    </row>
    <row r="27" spans="1:10">
      <c r="A27" s="847"/>
      <c r="B27" s="838" t="s">
        <v>93</v>
      </c>
      <c r="C27" s="838"/>
      <c r="D27" s="467">
        <f>PGL_Requirements!D7/1000</f>
        <v>0</v>
      </c>
      <c r="E27" s="467">
        <f>PGL_Requirements!D8/1000</f>
        <v>0</v>
      </c>
      <c r="F27" s="467">
        <f>PGL_Requirements!D9/1000</f>
        <v>0</v>
      </c>
      <c r="G27" s="467">
        <f>PGL_Requirements!D10/1000</f>
        <v>0</v>
      </c>
      <c r="H27" s="467">
        <f>PGL_Requirements!D11/1000</f>
        <v>0</v>
      </c>
      <c r="I27" s="468">
        <f>PGL_Requirements!D12/1000</f>
        <v>0</v>
      </c>
    </row>
    <row r="28" spans="1:10">
      <c r="A28" s="847"/>
      <c r="B28" s="838" t="s">
        <v>416</v>
      </c>
      <c r="C28" s="838"/>
      <c r="D28" s="467">
        <f>PGL_Requirements!E7/1000</f>
        <v>0</v>
      </c>
      <c r="E28" s="467">
        <f>PGL_Requirements!E8/1000</f>
        <v>0</v>
      </c>
      <c r="F28" s="467">
        <f>PGL_Requirements!E9/1000</f>
        <v>0</v>
      </c>
      <c r="G28" s="467">
        <f>PGL_Requirements!E10/1000</f>
        <v>0</v>
      </c>
      <c r="H28" s="467">
        <f>PGL_Requirements!E11/1000</f>
        <v>0</v>
      </c>
      <c r="I28" s="468">
        <f>PGL_Requirements!E12/1000</f>
        <v>0</v>
      </c>
    </row>
    <row r="29" spans="1:10">
      <c r="A29" s="847"/>
      <c r="B29" s="838" t="s">
        <v>96</v>
      </c>
      <c r="C29" s="838"/>
      <c r="D29" s="469">
        <f>PGL_Requirements!F7/1000</f>
        <v>0</v>
      </c>
      <c r="E29" s="469">
        <f>PGL_Requirements!F8/1000</f>
        <v>0</v>
      </c>
      <c r="F29" s="469">
        <f>PGL_Requirements!F9/1000</f>
        <v>0</v>
      </c>
      <c r="G29" s="469">
        <f>PGL_Requirements!F10/1000</f>
        <v>0</v>
      </c>
      <c r="H29" s="469">
        <f>PGL_Requirements!F11/1000</f>
        <v>0</v>
      </c>
      <c r="I29" s="470">
        <f>PGL_Requirements!F12/1000</f>
        <v>0</v>
      </c>
    </row>
    <row r="30" spans="1:10" ht="15.6" thickBot="1">
      <c r="A30" s="855" t="s">
        <v>151</v>
      </c>
      <c r="B30" s="856"/>
      <c r="C30" s="856"/>
      <c r="D30" s="471">
        <f t="shared" ref="D30:I30" si="1">SUM(D6:D29)</f>
        <v>450.01495</v>
      </c>
      <c r="E30" s="471">
        <f t="shared" si="1"/>
        <v>449.18200000000002</v>
      </c>
      <c r="F30" s="471">
        <f t="shared" si="1"/>
        <v>451.07599999999996</v>
      </c>
      <c r="G30" s="471">
        <f t="shared" si="1"/>
        <v>428.08</v>
      </c>
      <c r="H30" s="471">
        <f t="shared" si="1"/>
        <v>413.08</v>
      </c>
      <c r="I30" s="1169">
        <f t="shared" si="1"/>
        <v>408.08</v>
      </c>
    </row>
    <row r="31" spans="1:10" ht="16.2" thickTop="1" thickBot="1">
      <c r="A31" s="859"/>
      <c r="B31" s="838"/>
      <c r="C31" s="838"/>
      <c r="D31" s="472"/>
      <c r="E31" s="473"/>
      <c r="F31" s="473"/>
      <c r="G31" s="473"/>
      <c r="H31" s="473"/>
      <c r="I31" s="474"/>
    </row>
    <row r="32" spans="1:10" ht="16.8" thickTop="1" thickBot="1">
      <c r="A32" s="860" t="s">
        <v>152</v>
      </c>
      <c r="B32" s="861"/>
      <c r="C32" s="861"/>
      <c r="D32" s="475"/>
      <c r="E32" s="476"/>
      <c r="F32" s="476"/>
      <c r="G32" s="476"/>
      <c r="H32" s="476"/>
      <c r="I32" s="1170"/>
    </row>
    <row r="33" spans="1:9" ht="15.6" thickTop="1">
      <c r="A33" s="847" t="s">
        <v>153</v>
      </c>
      <c r="B33" s="838" t="s">
        <v>145</v>
      </c>
      <c r="C33" s="838" t="s">
        <v>60</v>
      </c>
      <c r="D33" s="467">
        <f>PGL_Supplies!M7/1000</f>
        <v>0</v>
      </c>
      <c r="E33" s="467">
        <f>PGL_Supplies!M8/1000</f>
        <v>0</v>
      </c>
      <c r="F33" s="467">
        <f>PGL_Supplies!M9/1000</f>
        <v>0</v>
      </c>
      <c r="G33" s="467">
        <f>PGL_Supplies!M10/1000</f>
        <v>0</v>
      </c>
      <c r="H33" s="467">
        <f>PGL_Supplies!M11/1000</f>
        <v>0</v>
      </c>
      <c r="I33" s="468">
        <f>PGL_Supplies!M12/1000</f>
        <v>0</v>
      </c>
    </row>
    <row r="34" spans="1:9">
      <c r="A34" s="847"/>
      <c r="B34" s="838"/>
      <c r="C34" s="838" t="s">
        <v>94</v>
      </c>
      <c r="D34" s="467">
        <f>PGL_Supplies!H7/1000</f>
        <v>1.6719999999999999</v>
      </c>
      <c r="E34" s="467">
        <f>PGL_Supplies!H8/1000</f>
        <v>1</v>
      </c>
      <c r="F34" s="467">
        <f>PGL_Supplies!H9/1000</f>
        <v>1</v>
      </c>
      <c r="G34" s="467">
        <f>PGL_Supplies!H10/1000</f>
        <v>1</v>
      </c>
      <c r="H34" s="467">
        <f>PGL_Supplies!H11/1000</f>
        <v>1</v>
      </c>
      <c r="I34" s="468">
        <f>PGL_Supplies!H12/1000</f>
        <v>1</v>
      </c>
    </row>
    <row r="35" spans="1:9">
      <c r="A35" s="847"/>
      <c r="B35" s="838"/>
      <c r="C35" s="838" t="s">
        <v>61</v>
      </c>
      <c r="D35" s="467">
        <f>PGL_Supplies!J7/1000</f>
        <v>0</v>
      </c>
      <c r="E35" s="467">
        <f>PGL_Supplies!J8/1000</f>
        <v>0</v>
      </c>
      <c r="F35" s="467">
        <f>PGL_Supplies!J9/1000</f>
        <v>0</v>
      </c>
      <c r="G35" s="467">
        <f>PGL_Supplies!J10/1000</f>
        <v>0</v>
      </c>
      <c r="H35" s="467">
        <f>PGL_Supplies!J11/1000</f>
        <v>0</v>
      </c>
      <c r="I35" s="468">
        <f>PGL_Supplies!J12/1000</f>
        <v>0</v>
      </c>
    </row>
    <row r="36" spans="1:9">
      <c r="A36" s="847"/>
      <c r="B36" s="838" t="s">
        <v>143</v>
      </c>
      <c r="C36" s="838" t="s">
        <v>90</v>
      </c>
      <c r="D36" s="467">
        <f>PGL_Supplies!R7/1000</f>
        <v>0</v>
      </c>
      <c r="E36" s="467">
        <f>PGL_Supplies!R8/1000</f>
        <v>0</v>
      </c>
      <c r="F36" s="467">
        <f>PGL_Supplies!R9/1000</f>
        <v>0</v>
      </c>
      <c r="G36" s="467">
        <f>PGL_Supplies!R10/1000</f>
        <v>0</v>
      </c>
      <c r="H36" s="467">
        <f>PGL_Supplies!R11/1000</f>
        <v>0</v>
      </c>
      <c r="I36" s="468">
        <f>PGL_Supplies!R12/1000</f>
        <v>0</v>
      </c>
    </row>
    <row r="37" spans="1:9">
      <c r="A37" s="847"/>
      <c r="B37" s="838" t="s">
        <v>141</v>
      </c>
      <c r="C37" s="838" t="s">
        <v>90</v>
      </c>
      <c r="D37" s="467">
        <f>PGL_Supplies!L7/1000</f>
        <v>8.4719999999999995</v>
      </c>
      <c r="E37" s="467">
        <f>PGL_Supplies!L8/1000</f>
        <v>0</v>
      </c>
      <c r="F37" s="467">
        <f>PGL_Supplies!L9/1000</f>
        <v>0</v>
      </c>
      <c r="G37" s="467">
        <f>PGL_Supplies!L10/1000</f>
        <v>0</v>
      </c>
      <c r="H37" s="467">
        <f>PGL_Supplies!L11/1000</f>
        <v>0</v>
      </c>
      <c r="I37" s="468">
        <f>PGL_Supplies!L12/1000</f>
        <v>0</v>
      </c>
    </row>
    <row r="38" spans="1:9">
      <c r="A38" s="850" t="s">
        <v>155</v>
      </c>
      <c r="B38" s="838" t="s">
        <v>143</v>
      </c>
      <c r="C38" s="838"/>
      <c r="D38" s="467">
        <f>(NSG_Requirements!$S$7+NSG_Requirements!$T$7+NSG_Requirements!$U$7)/1000</f>
        <v>0</v>
      </c>
      <c r="E38" s="467">
        <f>(NSG_Requirements!$S$8+NSG_Requirements!$T$8+NSG_Requirements!$U$8)/1000</f>
        <v>0</v>
      </c>
      <c r="F38" s="467">
        <f>(NSG_Requirements!$S$9+NSG_Requirements!$T$9+NSG_Requirements!$U$9)/1000</f>
        <v>0</v>
      </c>
      <c r="G38" s="467">
        <f>(NSG_Requirements!$S$10+NSG_Requirements!$T$10+NSG_Requirements!$U$10)/1000</f>
        <v>0</v>
      </c>
      <c r="H38" s="467">
        <f>(NSG_Requirements!$S$11+NSG_Requirements!$T$11+NSG_Requirements!$U$11)/1000</f>
        <v>0</v>
      </c>
      <c r="I38" s="468">
        <f>(NSG_Requirements!$S$12+NSG_Requirements!$T$11+NSG_Requirements!$U$11)/1000</f>
        <v>0</v>
      </c>
    </row>
    <row r="39" spans="1:9">
      <c r="A39" s="850"/>
      <c r="B39" s="838" t="s">
        <v>416</v>
      </c>
      <c r="C39" s="851"/>
      <c r="D39" s="467">
        <f>(NSG_Requirements!$AB$7+NSG_Requirements!$AC$7+NSG_Requirements!$AD$7+NSG_Requirements!$AE$7)/1000</f>
        <v>0</v>
      </c>
      <c r="E39" s="467">
        <f>(NSG_Requirements!$AB$8+NSG_Requirements!$AC$8+NSG_Requirements!$AD$8+NSG_Requirements!$AE$8)/1000</f>
        <v>0</v>
      </c>
      <c r="F39" s="467">
        <f>(NSG_Requirements!$AB$9+NSG_Requirements!$AC$9+NSG_Requirements!$AD$9+NSG_Requirements!$AE$9)/1000</f>
        <v>0</v>
      </c>
      <c r="G39" s="467">
        <f>(NSG_Requirements!$AB$10+NSG_Requirements!$AC$10+NSG_Requirements!$AD$10+NSG_Requirements!$AE$10)/1000</f>
        <v>0</v>
      </c>
      <c r="H39" s="467">
        <f>(NSG_Requirements!$AB$11+NSG_Requirements!$AC$11+NSG_Requirements!$AD$11+NSG_Requirements!$AE$11)/1000</f>
        <v>0</v>
      </c>
      <c r="I39" s="468">
        <f>(NSG_Requirements!$AB$12+NSG_Requirements!$AC$12+NSG_Requirements!$AD$12+NSG_Requirements!$AE$12)/1000</f>
        <v>0</v>
      </c>
    </row>
    <row r="40" spans="1:9">
      <c r="A40" s="850"/>
      <c r="B40" s="838" t="s">
        <v>141</v>
      </c>
      <c r="C40" s="838"/>
      <c r="D40" s="467">
        <f>(NSG_Requirements!$Y$7+NSG_Requirements!$Z$7+NSG_Requirements!$AA$7)/1000</f>
        <v>0</v>
      </c>
      <c r="E40" s="467">
        <f>(NSG_Requirements!$Y$8+NSG_Requirements!$Z$8+NSG_Requirements!$AA$8)/1000</f>
        <v>0</v>
      </c>
      <c r="F40" s="467">
        <f>(NSG_Requirements!$Y$9+NSG_Requirements!$Z$9+NSG_Requirements!$AA$9)/1000</f>
        <v>0</v>
      </c>
      <c r="G40" s="467">
        <f>(NSG_Requirements!$Y$10+NSG_Requirements!$Z$10+NSG_Requirements!$AA$10)/1000</f>
        <v>0</v>
      </c>
      <c r="H40" s="467">
        <f>(NSG_Requirements!$Y$11+NSG_Requirements!$Z$11+NSG_Requirements!$AA$11)/1000</f>
        <v>0</v>
      </c>
      <c r="I40" s="468">
        <f>(NSG_Requirements!$Y$12+NSG_Requirements!$Z$12+NSG_Requirements!$AA$12)/1000</f>
        <v>0</v>
      </c>
    </row>
    <row r="41" spans="1:9">
      <c r="A41" s="850"/>
      <c r="B41" s="838" t="s">
        <v>156</v>
      </c>
      <c r="C41" s="838" t="s">
        <v>157</v>
      </c>
      <c r="D41" s="467">
        <f>(NSG_Requirements!$L$7+NSG_Requirements!$M$7+NSG_Requirements!$N$7+NSG_Requirements!$K$7)/1000</f>
        <v>0</v>
      </c>
      <c r="E41" s="467">
        <f>(NSG_Requirements!$L$8+NSG_Requirements!$M$8+NSG_Requirements!$N$8+NSG_Requirements!$K$8)/1000</f>
        <v>0</v>
      </c>
      <c r="F41" s="467">
        <f>(NSG_Requirements!$L$9+NSG_Requirements!$M$9+NSG_Requirements!$N$9+NSG_Requirements!$K$9)/1000</f>
        <v>0</v>
      </c>
      <c r="G41" s="467">
        <f>(NSG_Requirements!$L$10+NSG_Requirements!$M$10+NSG_Requirements!$N$10+NSG_Requirements!$K$10)/1000</f>
        <v>0</v>
      </c>
      <c r="H41" s="467">
        <f>(NSG_Requirements!$L$11+NSG_Requirements!$M$11+NSG_Requirements!$N$11+NSG_Requirements!$K$11)/1000</f>
        <v>0</v>
      </c>
      <c r="I41" s="468">
        <f>(NSG_Requirements!$L$12+NSG_Requirements!$M$12+NSG_Requirements!$N$12+NSG_Requirements!$K$12)/1000</f>
        <v>0</v>
      </c>
    </row>
    <row r="42" spans="1:9">
      <c r="A42" s="850" t="s">
        <v>717</v>
      </c>
      <c r="B42" s="838"/>
      <c r="C42" s="838"/>
      <c r="D42" s="467">
        <f>PGL_Supplies!U7/1000</f>
        <v>0</v>
      </c>
      <c r="E42" s="467">
        <f>PGL_Supplies!U8/1000</f>
        <v>0</v>
      </c>
      <c r="F42" s="467">
        <f>PGL_Supplies!U9/1000</f>
        <v>0</v>
      </c>
      <c r="G42" s="467">
        <f>PGL_Supplies!U10/1000</f>
        <v>0</v>
      </c>
      <c r="H42" s="467">
        <f>PGL_Supplies!U11/1000</f>
        <v>0</v>
      </c>
      <c r="I42" s="468">
        <f>PGL_Supplies!U12/1000</f>
        <v>0</v>
      </c>
    </row>
    <row r="43" spans="1:9">
      <c r="A43" s="850" t="s">
        <v>621</v>
      </c>
      <c r="B43" s="838" t="s">
        <v>416</v>
      </c>
      <c r="C43" s="838"/>
      <c r="D43" s="467">
        <f>PGL_Supplies!T7/1000</f>
        <v>20</v>
      </c>
      <c r="E43" s="467">
        <f>PGL_Supplies!T8/1000</f>
        <v>7</v>
      </c>
      <c r="F43" s="467">
        <f>PGL_Supplies!T9/1000</f>
        <v>7</v>
      </c>
      <c r="G43" s="467">
        <f>PGL_Supplies!T10/1000</f>
        <v>0</v>
      </c>
      <c r="H43" s="467">
        <f>PGL_Supplies!T11/1000</f>
        <v>0</v>
      </c>
      <c r="I43" s="468">
        <f>PGL_Supplies!T12/1000</f>
        <v>0</v>
      </c>
    </row>
    <row r="44" spans="1:9">
      <c r="A44" s="847"/>
      <c r="B44" s="838" t="s">
        <v>147</v>
      </c>
      <c r="C44" s="851"/>
      <c r="D44" s="467">
        <v>0</v>
      </c>
      <c r="E44" s="467">
        <v>0</v>
      </c>
      <c r="F44" s="467">
        <v>0</v>
      </c>
      <c r="G44" s="467">
        <v>0</v>
      </c>
      <c r="H44" s="467">
        <v>0</v>
      </c>
      <c r="I44" s="468">
        <v>0</v>
      </c>
    </row>
    <row r="45" spans="1:9">
      <c r="A45" s="847"/>
      <c r="B45" s="838" t="s">
        <v>416</v>
      </c>
      <c r="C45" s="851"/>
      <c r="D45" s="467">
        <f>PGL_Supplies!W7/1000</f>
        <v>0</v>
      </c>
      <c r="E45" s="467">
        <f>PGL_Supplies!W8/1000</f>
        <v>0</v>
      </c>
      <c r="F45" s="467">
        <f>PGL_Supplies!W9/1000</f>
        <v>0</v>
      </c>
      <c r="G45" s="467">
        <f>PGL_Supplies!W10/1000</f>
        <v>0</v>
      </c>
      <c r="H45" s="467">
        <f>PGL_Supplies!W11/1000</f>
        <v>0</v>
      </c>
      <c r="I45" s="468">
        <f>PGL_Supplies!W12/1000</f>
        <v>0</v>
      </c>
    </row>
    <row r="46" spans="1:9">
      <c r="A46" s="847"/>
      <c r="B46" s="838" t="s">
        <v>141</v>
      </c>
      <c r="C46" s="838"/>
      <c r="D46" s="467">
        <v>0</v>
      </c>
      <c r="E46" s="467">
        <v>0</v>
      </c>
      <c r="F46" s="467">
        <v>0</v>
      </c>
      <c r="G46" s="467">
        <v>0</v>
      </c>
      <c r="H46" s="467">
        <v>0</v>
      </c>
      <c r="I46" s="468">
        <v>0</v>
      </c>
    </row>
    <row r="47" spans="1:9">
      <c r="A47" s="864" t="s">
        <v>763</v>
      </c>
      <c r="B47" s="838" t="s">
        <v>742</v>
      </c>
      <c r="C47" s="838"/>
      <c r="D47" s="467">
        <f>PGL_Supplies!Y7/1000</f>
        <v>157.29400000000001</v>
      </c>
      <c r="E47" s="467">
        <f>PGL_Supplies!Y8/1000</f>
        <v>114.07899999999999</v>
      </c>
      <c r="F47" s="467">
        <f>PGL_Supplies!Y9/1000</f>
        <v>114.07899999999999</v>
      </c>
      <c r="G47" s="467">
        <f>PGL_Supplies!Y10/1000</f>
        <v>114.07899999999999</v>
      </c>
      <c r="H47" s="467">
        <f>PGL_Supplies!Y11/1000</f>
        <v>114.07899999999999</v>
      </c>
      <c r="I47" s="468">
        <f>PGL_Supplies!Y12/1000</f>
        <v>114.07899999999999</v>
      </c>
    </row>
    <row r="48" spans="1:9">
      <c r="A48" s="850"/>
      <c r="B48" s="838" t="s">
        <v>143</v>
      </c>
      <c r="C48" s="851"/>
      <c r="D48" s="467">
        <f>PGL_Supplies!Z7/1000</f>
        <v>40.200000000000003</v>
      </c>
      <c r="E48" s="467">
        <f>PGL_Supplies!Z8/1000</f>
        <v>40.200000000000003</v>
      </c>
      <c r="F48" s="467">
        <f>PGL_Supplies!Z9/1000</f>
        <v>40.200000000000003</v>
      </c>
      <c r="G48" s="467">
        <f>PGL_Supplies!Z10/1000</f>
        <v>40.200000000000003</v>
      </c>
      <c r="H48" s="467">
        <f>PGL_Supplies!Z11/1000</f>
        <v>40.200000000000003</v>
      </c>
      <c r="I48" s="468">
        <f>PGL_Supplies!Z12/1000</f>
        <v>40.200000000000003</v>
      </c>
    </row>
    <row r="49" spans="1:10">
      <c r="A49" s="850"/>
      <c r="B49" s="838" t="s">
        <v>147</v>
      </c>
      <c r="C49" s="851"/>
      <c r="D49" s="467">
        <f>PGL_Supplies!AA7/1000</f>
        <v>0</v>
      </c>
      <c r="E49" s="467">
        <f>PGL_Supplies!AA8/1000</f>
        <v>0</v>
      </c>
      <c r="F49" s="467">
        <f>PGL_Supplies!AA9/1000</f>
        <v>0</v>
      </c>
      <c r="G49" s="467">
        <f>PGL_Supplies!AA10/1000</f>
        <v>0</v>
      </c>
      <c r="H49" s="467">
        <f>PGL_Supplies!AA11/1000</f>
        <v>0</v>
      </c>
      <c r="I49" s="468">
        <f>PGL_Supplies!AA12/1000</f>
        <v>0</v>
      </c>
    </row>
    <row r="50" spans="1:10">
      <c r="A50" s="850"/>
      <c r="B50" s="838" t="s">
        <v>416</v>
      </c>
      <c r="C50" s="851"/>
      <c r="D50" s="467">
        <f>PGL_Supplies!AB7/1000</f>
        <v>169.63</v>
      </c>
      <c r="E50" s="467">
        <f>PGL_Supplies!AB8/1000</f>
        <v>171.67500000000001</v>
      </c>
      <c r="F50" s="467">
        <f>PGL_Supplies!AB9/1000</f>
        <v>171.67500000000001</v>
      </c>
      <c r="G50" s="467">
        <f>PGL_Supplies!AB10/1000</f>
        <v>171.67500000000001</v>
      </c>
      <c r="H50" s="467">
        <f>PGL_Supplies!AB11/1000</f>
        <v>171.67500000000001</v>
      </c>
      <c r="I50" s="468">
        <f>PGL_Supplies!AB12/1000</f>
        <v>171.67500000000001</v>
      </c>
    </row>
    <row r="51" spans="1:10">
      <c r="A51" s="850"/>
      <c r="B51" s="838" t="s">
        <v>141</v>
      </c>
      <c r="C51" s="838"/>
      <c r="D51" s="467">
        <f>PGL_Supplies!AC7/1000</f>
        <v>54.57</v>
      </c>
      <c r="E51" s="467">
        <f>PGL_Supplies!AC8/1000</f>
        <v>100.229</v>
      </c>
      <c r="F51" s="467">
        <f>PGL_Supplies!AC9/1000</f>
        <v>100.229</v>
      </c>
      <c r="G51" s="467">
        <f>PGL_Supplies!AC10/1000</f>
        <v>100.229</v>
      </c>
      <c r="H51" s="467">
        <f>PGL_Supplies!AC11/1000</f>
        <v>100.229</v>
      </c>
      <c r="I51" s="468">
        <f>PGL_Supplies!AC12/1000</f>
        <v>100.229</v>
      </c>
    </row>
    <row r="52" spans="1:10">
      <c r="A52" s="850"/>
      <c r="B52" s="838" t="s">
        <v>142</v>
      </c>
      <c r="C52" s="838"/>
      <c r="D52" s="467">
        <f>PGL_Supplies!AD7/1000</f>
        <v>0</v>
      </c>
      <c r="E52" s="467">
        <f>PGL_Supplies!AD8/1000</f>
        <v>0</v>
      </c>
      <c r="F52" s="467">
        <f>PGL_Supplies!AD9/1000</f>
        <v>0</v>
      </c>
      <c r="G52" s="467">
        <f>PGL_Supplies!AD10/1000</f>
        <v>0</v>
      </c>
      <c r="H52" s="467">
        <f>PGL_Supplies!AD11/1000</f>
        <v>0</v>
      </c>
      <c r="I52" s="468">
        <f>PGL_Supplies!AD12/1000</f>
        <v>0</v>
      </c>
    </row>
    <row r="53" spans="1:10">
      <c r="A53" s="864"/>
      <c r="B53" s="838" t="s">
        <v>158</v>
      </c>
      <c r="C53" s="838"/>
      <c r="D53" s="467">
        <f>PGL_Supplies!I7/1000</f>
        <v>18.942</v>
      </c>
      <c r="E53" s="467">
        <f>PGL_Supplies!I8/1000</f>
        <v>15</v>
      </c>
      <c r="F53" s="467">
        <f>PGL_Supplies!I9/1000</f>
        <v>15</v>
      </c>
      <c r="G53" s="467">
        <f>PGL_Supplies!I10/1000</f>
        <v>15</v>
      </c>
      <c r="H53" s="467">
        <f>PGL_Supplies!I11/1000</f>
        <v>15</v>
      </c>
      <c r="I53" s="468">
        <f>PGL_Supplies!I12/1000</f>
        <v>15</v>
      </c>
      <c r="J53" s="113" t="s">
        <v>11</v>
      </c>
    </row>
    <row r="54" spans="1:10">
      <c r="A54" s="847"/>
      <c r="B54" s="838" t="s">
        <v>159</v>
      </c>
      <c r="C54" s="838"/>
      <c r="D54" s="467">
        <f>PGL_Supplies!K7/1000</f>
        <v>0</v>
      </c>
      <c r="E54" s="467">
        <f>PGL_Supplies!K8/1000</f>
        <v>0</v>
      </c>
      <c r="F54" s="467">
        <f>PGL_Supplies!K9/1000</f>
        <v>0</v>
      </c>
      <c r="G54" s="467">
        <f>PGL_Supplies!K10/1000</f>
        <v>0</v>
      </c>
      <c r="H54" s="467">
        <f>PGL_Supplies!K11/1000</f>
        <v>0</v>
      </c>
      <c r="I54" s="468">
        <f>PGL_Supplies!K12/1000</f>
        <v>0</v>
      </c>
    </row>
    <row r="55" spans="1:10">
      <c r="A55" s="850" t="s">
        <v>779</v>
      </c>
      <c r="B55" s="838"/>
      <c r="C55" s="838"/>
      <c r="D55" s="467">
        <f>PGL_Supplies!B7/1000</f>
        <v>0</v>
      </c>
      <c r="E55" s="467">
        <f>PGL_Supplies!B8/1000</f>
        <v>0</v>
      </c>
      <c r="F55" s="467">
        <f>PGL_Supplies!B9/1000</f>
        <v>0</v>
      </c>
      <c r="G55" s="467">
        <f>PGL_Supplies!B10/1000</f>
        <v>0</v>
      </c>
      <c r="H55" s="467">
        <f>PGL_Supplies!B11/1000</f>
        <v>0</v>
      </c>
      <c r="I55" s="468">
        <f>PGL_Supplies!B12/1000</f>
        <v>0</v>
      </c>
    </row>
    <row r="56" spans="1:10">
      <c r="A56" s="847" t="s">
        <v>752</v>
      </c>
      <c r="B56" s="838" t="s">
        <v>742</v>
      </c>
      <c r="C56" s="838"/>
      <c r="D56" s="467">
        <f>PGL_Supplies!X7/1000</f>
        <v>0</v>
      </c>
      <c r="E56" s="467">
        <f>PGL_Supplies!X8/1000</f>
        <v>0</v>
      </c>
      <c r="F56" s="467">
        <f>PGL_Supplies!X9/1000</f>
        <v>0</v>
      </c>
      <c r="G56" s="467">
        <f>PGL_Supplies!X10/1000</f>
        <v>0</v>
      </c>
      <c r="H56" s="467">
        <f>PGL_Supplies!X11/1000</f>
        <v>0</v>
      </c>
      <c r="I56" s="468">
        <f>PGL_Supplies!X12/1000</f>
        <v>0</v>
      </c>
    </row>
    <row r="57" spans="1:10">
      <c r="A57" s="847"/>
      <c r="B57" s="838" t="s">
        <v>143</v>
      </c>
      <c r="C57" s="838"/>
      <c r="D57" s="467">
        <f>PGL_Supplies!C7/1000</f>
        <v>0</v>
      </c>
      <c r="E57" s="467">
        <f>PGL_Supplies!C8/1000</f>
        <v>0</v>
      </c>
      <c r="F57" s="467">
        <f>PGL_Supplies!C9/1000</f>
        <v>0</v>
      </c>
      <c r="G57" s="467">
        <f>PGL_Supplies!C10/1000</f>
        <v>0</v>
      </c>
      <c r="H57" s="467">
        <f>PGL_Supplies!C11/1000</f>
        <v>0</v>
      </c>
      <c r="I57" s="468">
        <f>PGL_Supplies!C12/1000</f>
        <v>0</v>
      </c>
    </row>
    <row r="58" spans="1:10">
      <c r="A58" s="847"/>
      <c r="B58" s="852" t="s">
        <v>147</v>
      </c>
      <c r="C58" s="838"/>
      <c r="D58" s="467">
        <f>PGL_Supplies!D7/1000</f>
        <v>0</v>
      </c>
      <c r="E58" s="467">
        <f>PGL_Supplies!D8/1000</f>
        <v>0</v>
      </c>
      <c r="F58" s="467">
        <f>PGL_Supplies!D9/1000</f>
        <v>0</v>
      </c>
      <c r="G58" s="467">
        <f>PGL_Supplies!D10/1000</f>
        <v>0</v>
      </c>
      <c r="H58" s="467">
        <f>PGL_Supplies!D11/1000</f>
        <v>0</v>
      </c>
      <c r="I58" s="468">
        <f>PGL_Supplies!D12/1000</f>
        <v>0</v>
      </c>
    </row>
    <row r="59" spans="1:10">
      <c r="A59" s="847"/>
      <c r="B59" s="838" t="s">
        <v>416</v>
      </c>
      <c r="C59" s="838"/>
      <c r="D59" s="467">
        <f>PGL_Supplies!E7/1000</f>
        <v>0</v>
      </c>
      <c r="E59" s="467">
        <f>PGL_Supplies!E8/1000</f>
        <v>0</v>
      </c>
      <c r="F59" s="467">
        <f>PGL_Supplies!E9/1000</f>
        <v>0</v>
      </c>
      <c r="G59" s="467">
        <f>PGL_Supplies!E10/1000</f>
        <v>0</v>
      </c>
      <c r="H59" s="467">
        <f>PGL_Supplies!E11/1000</f>
        <v>0</v>
      </c>
      <c r="I59" s="468">
        <f>PGL_Supplies!E12/1000</f>
        <v>0</v>
      </c>
    </row>
    <row r="60" spans="1:10">
      <c r="A60" s="865"/>
      <c r="B60" s="866" t="s">
        <v>142</v>
      </c>
      <c r="C60" s="866"/>
      <c r="D60" s="469">
        <f>PGL_Supplies!G7/1000</f>
        <v>0</v>
      </c>
      <c r="E60" s="469">
        <f>PGL_Supplies!G8/1000</f>
        <v>0</v>
      </c>
      <c r="F60" s="469">
        <f>PGL_Supplies!G9/1000</f>
        <v>0</v>
      </c>
      <c r="G60" s="469">
        <f>PGL_Supplies!G10/1000</f>
        <v>0</v>
      </c>
      <c r="H60" s="469">
        <f>PGL_Supplies!G11/1000</f>
        <v>0</v>
      </c>
      <c r="I60" s="470">
        <f>PGL_Supplies!G12/1000</f>
        <v>0</v>
      </c>
    </row>
    <row r="61" spans="1:10" ht="15.6" thickBot="1">
      <c r="A61" s="868" t="s">
        <v>160</v>
      </c>
      <c r="B61" s="869"/>
      <c r="C61" s="869"/>
      <c r="D61" s="477">
        <f t="shared" ref="D61:I61" si="2">SUM(D33:D60)</f>
        <v>470.78000000000003</v>
      </c>
      <c r="E61" s="477">
        <f t="shared" si="2"/>
        <v>449.18299999999999</v>
      </c>
      <c r="F61" s="477">
        <f t="shared" si="2"/>
        <v>449.18299999999999</v>
      </c>
      <c r="G61" s="477">
        <f t="shared" si="2"/>
        <v>442.18299999999999</v>
      </c>
      <c r="H61" s="477">
        <f t="shared" si="2"/>
        <v>442.18299999999999</v>
      </c>
      <c r="I61" s="1171">
        <f t="shared" si="2"/>
        <v>442.18299999999999</v>
      </c>
    </row>
    <row r="62" spans="1:10">
      <c r="A62" s="870" t="s">
        <v>161</v>
      </c>
      <c r="B62" s="871"/>
      <c r="C62" s="871"/>
      <c r="D62" s="478">
        <f t="shared" ref="D62:I62" si="3">IF(D61-D30&lt;0,0,D61-D30)</f>
        <v>20.765050000000031</v>
      </c>
      <c r="E62" s="478">
        <f t="shared" si="3"/>
        <v>9.9999999997635314E-4</v>
      </c>
      <c r="F62" s="478">
        <f t="shared" si="3"/>
        <v>0</v>
      </c>
      <c r="G62" s="478">
        <f t="shared" si="3"/>
        <v>14.103000000000009</v>
      </c>
      <c r="H62" s="478">
        <f t="shared" si="3"/>
        <v>29.103000000000009</v>
      </c>
      <c r="I62" s="1172">
        <f t="shared" si="3"/>
        <v>34.103000000000009</v>
      </c>
    </row>
    <row r="63" spans="1:10" ht="15.6" thickBot="1">
      <c r="A63" s="872" t="s">
        <v>162</v>
      </c>
      <c r="B63" s="856"/>
      <c r="C63" s="873"/>
      <c r="D63" s="479">
        <f t="shared" ref="D63:I63" si="4">IF(D30-D61&lt;0,0,D30-D61)</f>
        <v>0</v>
      </c>
      <c r="E63" s="479">
        <f t="shared" si="4"/>
        <v>0</v>
      </c>
      <c r="F63" s="479">
        <f t="shared" si="4"/>
        <v>1.8929999999999723</v>
      </c>
      <c r="G63" s="479">
        <f t="shared" si="4"/>
        <v>0</v>
      </c>
      <c r="H63" s="479">
        <f t="shared" si="4"/>
        <v>0</v>
      </c>
      <c r="I63" s="1173">
        <f t="shared" si="4"/>
        <v>0</v>
      </c>
    </row>
    <row r="64" spans="1:10" ht="16.2" thickTop="1" thickBot="1">
      <c r="A64" s="1160" t="s">
        <v>767</v>
      </c>
      <c r="B64" s="1161"/>
      <c r="C64" s="1161"/>
      <c r="D64" s="1162">
        <f>PGL_Supplies!V7/1000</f>
        <v>176.70400000000001</v>
      </c>
      <c r="E64" s="1162">
        <f>PGL_Supplies!V8/1000</f>
        <v>170.00700000000001</v>
      </c>
      <c r="F64" s="1162">
        <f>PGL_Supplies!V9/1000</f>
        <v>176.70400000000001</v>
      </c>
      <c r="G64" s="1162">
        <f>PGL_Supplies!V10/1000</f>
        <v>176.70400000000001</v>
      </c>
      <c r="H64" s="1162">
        <f>PGL_Supplies!V11/1000</f>
        <v>176.70400000000001</v>
      </c>
      <c r="I64" s="1163">
        <f>PGL_Supplies!V12/1000</f>
        <v>176.70400000000001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2001-05-15T16:00:49Z</cp:lastPrinted>
  <dcterms:created xsi:type="dcterms:W3CDTF">1997-07-16T16:14:22Z</dcterms:created>
  <dcterms:modified xsi:type="dcterms:W3CDTF">2023-09-10T11:13:53Z</dcterms:modified>
</cp:coreProperties>
</file>