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<sst xmlns="http://schemas.openxmlformats.org/spreadsheetml/2006/main" count="2149" uniqueCount="802">
  <si>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</si>
  <si>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</si>
  <si>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</si>
  <si>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</si>
  <si>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</si>
  <si>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</si>
  <si>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</si>
  <si>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</si>
  <si>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</si>
  <si>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</si>
  <si>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</si>
  <si>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</si>
  <si>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</si>
  <si>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</si>
  <si>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</si>
  <si>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</si>
  <si>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</si>
  <si>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</si>
  <si>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</si>
  <si>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</si>
  <si>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</si>
  <si>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</si>
  <si>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</si>
  <si>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</si>
  <si>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</si>
  <si>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</si>
  <si>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</si>
  <si>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</si>
  <si>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</si>
  <si>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</si>
  <si>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</si>
  <si>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</si>
  <si>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</si>
  <si>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</si>
  <si>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</si>
  <si>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</si>
  <si>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</si>
  <si>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</si>
  <si>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</si>
  <si>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</si>
  <si>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</si>
  <si>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</si>
  <si>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</si>
  <si>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</si>
  <si>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</si>
  <si>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</si>
  <si>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</si>
  <si>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</si>
  <si>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</si>
  <si>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</si>
  <si>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</si>
  <si>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</si>
  <si>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</si>
  <si>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</si>
  <si>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</si>
  <si>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</si>
  <si>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</si>
  <si>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</si>
  <si>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</si>
  <si>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</si>
  <si>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</si>
  <si>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</si>
  <si>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</si>
  <si>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</si>
  <si>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</si>
  <si>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</si>
  <si>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</si>
  <si>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</si>
  <si>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</si>
  <si>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</si>
  <si>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</si>
  <si>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</si>
  <si>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</si>
  <si>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</si>
  <si>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</si>
  <si>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</si>
  <si>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</si>
  <si>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</si>
  <si>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</si>
  <si>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</si>
  <si>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</si>
  <si>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</si>
  <si>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</si>
  <si>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</si>
  <si>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</si>
  <si>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</si>
  <si>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</si>
  <si>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</si>
  <si>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</si>
  <si>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</si>
  <si>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</si>
  <si>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</si>
  <si>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</si>
  <si>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</si>
  <si>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</si>
  <si>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</si>
  <si>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</si>
  <si>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</si>
  <si>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</si>
  <si>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</si>
  <si>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</si>
  <si>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</si>
  <si>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</si>
  <si>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</si>
  <si>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</si>
  <si>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</si>
  <si>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</si>
  <si>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</si>
  <si>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</si>
  <si>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</si>
  <si>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</si>
  <si>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</si>
  <si>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</si>
  <si>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</si>
  <si>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</si>
  <si>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</si>
  <si>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</si>
  <si>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</si>
  <si>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</si>
  <si>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</si>
  <si>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</si>
  <si>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</si>
  <si>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</si>
  <si>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</si>
  <si>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</si>
  <si>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</si>
  <si>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</si>
  <si>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</si>
  <si>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</si>
  <si>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</si>
  <si>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</si>
  <si>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</si>
  <si>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</si>
  <si>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</si>
  <si>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</si>
  <si>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</si>
  <si>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</si>
  <si>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</si>
  <si>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</si>
  <si>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</si>
  <si>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</si>
  <si>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</si>
  <si>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</si>
  <si>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</si>
  <si>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</si>
  <si>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</si>
  <si>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</si>
  <si>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</si>
  <si>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</si>
  <si>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</si>
  <si>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</si>
  <si>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</si>
  <si>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</si>
  <si>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</si>
  <si>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</si>
  <si>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</si>
  <si>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</si>
  <si>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</si>
  <si>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</si>
  <si>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</si>
  <si>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</si>
  <si>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</si>
  <si>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</si>
  <si>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</si>
  <si>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</si>
  <si>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</si>
  <si>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</si>
  <si>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</si>
  <si>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</si>
  <si>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</si>
  <si>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</si>
  <si>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</si>
  <si>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</si>
  <si>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</si>
  <si>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</si>
  <si>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</si>
  <si>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</si>
  <si>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</si>
  <si>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</si>
  <si>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</si>
  <si>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</si>
  <si>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</si>
  <si>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</si>
  <si>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</si>
  <si>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</si>
  <si>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</si>
  <si>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</si>
  <si>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</si>
  <si>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</si>
  <si>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</si>
  <si>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</si>
  <si>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</si>
  <si>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</si>
  <si>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</si>
  <si>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</si>
  <si>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</si>
  <si>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</si>
  <si>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</si>
  <si>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</si>
  <si>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</si>
  <si>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</si>
  <si>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</si>
  <si>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</si>
  <si>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</si>
  <si>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</si>
  <si>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</si>
  <si>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</si>
  <si>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</si>
  <si>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</si>
  <si>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</si>
  <si>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</si>
  <si>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</si>
  <si>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</si>
  <si>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</si>
  <si>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</si>
  <si>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</si>
  <si>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</si>
  <si>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</si>
  <si>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</si>
  <si>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</si>
  <si>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</si>
  <si>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</si>
  <si>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</si>
  <si>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</si>
  <si>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</si>
  <si>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</si>
  <si>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</si>
  <si>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</si>
  <si>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</si>
  <si>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</si>
  <si>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</si>
  <si>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</si>
  <si>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</si>
  <si>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</si>
  <si>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</si>
  <si>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</si>
  <si>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</si>
  <si>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</si>
  <si>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</si>
  <si>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</si>
  <si>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</si>
  <si>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</si>
  <si>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</si>
  <si>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</si>
  <si>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</si>
  <si>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</si>
  <si>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</si>
  <si>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</si>
  <si>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</si>
  <si>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</si>
  <si>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</si>
  <si>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</si>
  <si>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</si>
  <si>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</si>
  <si>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</si>
  <si>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</si>
  <si>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</si>
  <si>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</si>
  <si>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</si>
  <si>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</si>
  <si>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</si>
  <si>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</si>
  <si>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</si>
  <si>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</si>
  <si>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</si>
  <si>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</si>
  <si>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</si>
  <si>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</si>
  <si>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</si>
  <si>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</si>
  <si>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</si>
  <si>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</si>
  <si>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</si>
  <si>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</si>
  <si>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</si>
  <si>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</si>
  <si>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</si>
  <si>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</si>
  <si>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</si>
  <si>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</si>
  <si>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</si>
  <si>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</si>
  <si>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</si>
  <si>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</si>
  <si>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</si>
  <si>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</si>
  <si>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</si>
  <si>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</si>
  <si>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</si>
  <si>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</si>
  <si>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</si>
  <si>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</si>
  <si>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</si>
  <si>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</si>
  <si>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</si>
  <si>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</si>
  <si>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</si>
  <si>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</si>
  <si>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</si>
  <si>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</si>
  <si>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</si>
  <si>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</si>
  <si>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</si>
  <si>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</si>
  <si>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</si>
  <si>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</si>
  <si>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</si>
  <si>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</si>
  <si>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</si>
  <si>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</si>
  <si>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</si>
  <si>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</si>
  <si>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</si>
  <si>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</si>
  <si>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</si>
  <si>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</si>
  <si>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</si>
  <si>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</si>
  <si>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</si>
  <si>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</si>
  <si>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</si>
  <si>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</si>
  <si>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</si>
  <si>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</si>
  <si>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</si>
  <si>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</si>
  <si>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</si>
  <si>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</si>
  <si>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</si>
  <si>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</si>
  <si>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</si>
  <si>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</si>
  <si>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</si>
  <si>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</si>
  <si>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</si>
  <si>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</si>
  <si>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</si>
  <si>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</si>
  <si>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</si>
  <si>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</si>
  <si>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</si>
  <si>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</si>
  <si>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</si>
  <si>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</si>
  <si>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</si>
  <si>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</si>
  <si>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</si>
  <si>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</si>
  <si>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</si>
  <si>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</si>
  <si>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</si>
  <si>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</si>
  <si>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</si>
  <si>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</si>
  <si>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</si>
  <si>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</si>
  <si>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</si>
  <si>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</si>
  <si>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</si>
  <si>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</si>
  <si>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</si>
  <si>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</si>
  <si>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</si>
  <si>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</si>
  <si>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</si>
  <si>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</si>
  <si>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</si>
  <si>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</si>
  <si>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</si>
  <si>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</si>
  <si>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</si>
  <si>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</si>
  <si>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</si>
  <si>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</si>
  <si>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</si>
  <si>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</si>
  <si>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</si>
  <si>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</si>
  <si>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</si>
  <si>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</si>
  <si>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</si>
  <si>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</si>
  <si>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</si>
  <si>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</si>
  <si>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</si>
  <si>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</si>
  <si>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</si>
  <si>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</si>
  <si>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</si>
  <si>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</si>
  <si>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</si>
  <si>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</si>
  <si>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</si>
  <si>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</si>
  <si>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</si>
  <si>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</si>
  <si>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</si>
  <si>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</si>
  <si>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</si>
  <si>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</si>
  <si>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</si>
  <si>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</si>
  <si>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</si>
  <si>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</si>
  <si>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</si>
  <si>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</si>
  <si>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</si>
  <si>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</si>
  <si>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</si>
  <si>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</si>
  <si>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</si>
  <si>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</si>
  <si>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</si>
  <si>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</si>
  <si>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</si>
  <si>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</si>
  <si>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</si>
  <si>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</si>
  <si>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</si>
  <si>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</si>
  <si>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</si>
  <si>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</si>
  <si>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</si>
  <si>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</si>
  <si>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</si>
  <si>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</si>
  <si>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</si>
  <si>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</si>
  <si>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</si>
  <si>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</si>
  <si>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</si>
  <si>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</si>
  <si>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</si>
  <si>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</si>
  <si>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</si>
  <si>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</si>
  <si>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</si>
  <si>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</si>
  <si>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</si>
  <si>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</si>
  <si>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</si>
  <si>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</si>
  <si>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</si>
  <si>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</si>
  <si>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</si>
  <si>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</si>
  <si>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</si>
  <si>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</si>
  <si>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</si>
  <si>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</si>
  <si>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</si>
  <si>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</si>
  <si>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</si>
  <si>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</si>
  <si>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</si>
  <si>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</si>
  <si>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</si>
  <si>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</si>
  <si>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</si>
  <si>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</si>
  <si>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</si>
  <si>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</si>
  <si>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</si>
  <si>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</si>
  <si>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</si>
  <si>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</si>
  <si>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</si>
  <si>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</si>
  <si>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</si>
  <si>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</si>
  <si>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</si>
  <si>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</si>
  <si>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</si>
  <si>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</si>
  <si>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</si>
  <si>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</si>
  <si>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</si>
  <si>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</si>
  <si>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</si>
  <si>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</si>
  <si>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</si>
  <si>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</si>
  <si>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</si>
  <si>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</si>
  <si>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</si>
  <si>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</si>
  <si>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</si>
  <si>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</si>
  <si>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</si>
  <si>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</si>
  <si>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</si>
  <si>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</si>
  <si>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</si>
  <si>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</si>
  <si>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</si>
  <si>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</si>
  <si>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</si>
  <si>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</si>
  <si>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</si>
  <si>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</si>
  <si>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</si>
  <si>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</si>
  <si>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</si>
  <si>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</si>
  <si>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</si>
  <si>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</si>
  <si>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</si>
  <si>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</si>
  <si>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</si>
  <si>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</si>
  <si>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</si>
  <si>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</si>
  <si>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</si>
  <si>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</si>
  <si>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</si>
  <si>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</si>
  <si>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</si>
  <si>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</si>
  <si>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</si>
  <si>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</si>
  <si>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</si>
  <si>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</si>
  <si>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</si>
  <si>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</si>
  <si>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</si>
  <si>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</si>
  <si>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</si>
  <si>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</si>
  <si>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</si>
  <si>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</si>
  <si>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</si>
  <si>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</si>
  <si>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</si>
  <si>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</si>
  <si>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</si>
  <si>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</si>
  <si>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</si>
  <si>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</si>
  <si>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</si>
  <si>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</si>
  <si>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</si>
  <si>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</si>
  <si>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</si>
  <si>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</si>
  <si>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</si>
  <si>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</si>
  <si>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</si>
  <si>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</si>
  <si>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</si>
  <si>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</si>
  <si>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</si>
  <si>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</si>
  <si>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</si>
  <si>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</si>
  <si>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</si>
  <si>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</si>
  <si>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</si>
  <si>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</si>
  <si>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</si>
  <si>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</si>
  <si>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</si>
  <si>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</si>
  <si>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</si>
  <si>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</si>
  <si>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</si>
  <si>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</si>
  <si>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</si>
  <si>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</si>
  <si>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</si>
  <si>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</si>
  <si>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</si>
  <si>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</si>
  <si>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</si>
  <si>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</si>
  <si>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</si>
  <si>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</si>
  <si>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</si>
  <si>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</si>
  <si>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</si>
  <si>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</si>
  <si>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</si>
  <si>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</si>
  <si>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</si>
  <si>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</si>
  <si>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</si>
  <si>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</si>
  <si>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</si>
  <si>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</si>
  <si>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</si>
  <si>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</si>
  <si>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</si>
  <si>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</si>
  <si>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</si>
  <si>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</si>
  <si>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</si>
  <si>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</si>
  <si>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</si>
  <si>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</si>
  <si>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</si>
  <si>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</si>
  <si>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</si>
  <si>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</si>
  <si>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</si>
  <si>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</si>
  <si>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</si>
  <si>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</si>
  <si>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</si>
  <si>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</si>
  <si>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</si>
  <si>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</si>
  <si>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</si>
  <si>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</si>
  <si>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</si>
  <si>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</si>
  <si>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</si>
  <si>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</si>
  <si>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</si>
  <si>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</si>
  <si>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</si>
  <si>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</si>
  <si>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</si>
  <si>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</si>
  <si>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</si>
  <si>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</si>
  <si>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</si>
  <si>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</si>
  <si>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</si>
  <si>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</si>
  <si>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</si>
  <si>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</si>
  <si>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</si>
  <si>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</si>
  <si>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</si>
  <si>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</si>
  <si>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</si>
  <si>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</si>
  <si>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</si>
  <si>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</si>
  <si>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</si>
  <si>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</si>
  <si>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</si>
  <si>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</si>
  <si>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</si>
  <si>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</si>
  <si>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</si>
  <si>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</si>
  <si>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</si>
  <si>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</si>
  <si>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</si>
  <si>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</si>
  <si>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</si>
  <si>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</si>
  <si>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</si>
  <si>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</si>
  <si>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</si>
  <si>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</si>
  <si>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</si>
  <si>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</si>
  <si>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</si>
  <si>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</si>
  <si>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</si>
  <si>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</si>
  <si>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</si>
  <si>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</si>
  <si>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</si>
  <si>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</si>
  <si>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</si>
  <si>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</si>
  <si>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</si>
  <si>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</si>
  <si>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</si>
  <si>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</si>
  <si>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</si>
  <si>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</si>
  <si>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</si>
  <si>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</si>
  <si>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</si>
  <si>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</si>
  <si>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</si>
  <si>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</si>
  <si>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</si>
  <si>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</si>
  <si>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</si>
  <si>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</si>
  <si>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</si>
  <si>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</si>
  <si>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</si>
  <si>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</si>
  <si>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</si>
  <si>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</si>
  <si>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</si>
  <si>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</si>
  <si>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</si>
  <si>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</si>
  <si>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</si>
  <si>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</si>
  <si>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</si>
  <si>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</si>
  <si>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</si>
  <si>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</si>
  <si>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</si>
  <si>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</si>
  <si>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</si>
  <si>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</si>
  <si>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</si>
  <si>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</si>
  <si>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</si>
  <si>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</si>
  <si>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</si>
  <si>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</si>
  <si>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</si>
  <si>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</si>
  <si>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</si>
  <si>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</si>
  <si>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</si>
  <si>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</si>
  <si>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</si>
  <si>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</si>
  <si>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</si>
  <si>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</si>
  <si>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</si>
  <si>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</si>
  <si>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</si>
  <si>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</si>
  <si>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</si>
  <si>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</si>
  <si>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</si>
  <si>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</si>
  <si>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</si>
  <si>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</si>
  <si>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</si>
  <si>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</si>
  <si>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</si>
  <si>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</si>
  <si>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</si>
  <si>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</si>
  <si>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</si>
  <si>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</si>
  <si>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</si>
  <si>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</si>
  <si>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</si>
  <si>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</si>
  <si>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</si>
  <si>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</si>
  <si>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</si>
  <si>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</si>
  <si>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</si>
  <si>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</si>
  <si>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</si>
  <si>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</si>
  <si>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</si>
  <si>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</si>
  <si>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</si>
  <si>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</si>
  <si>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</si>
  <si>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</si>
  <si>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</si>
  <si>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</si>
  <si>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</si>
  <si>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</si>
  <si>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</si>
  <si>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</si>
  <si>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</si>
  <si>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</si>
  <si>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</si>
  <si>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</si>
  <si>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</si>
  <si>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</si>
  <si>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</si>
  <si>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</si>
  <si>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</si>
  <si>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</si>
  <si>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</si>
  <si>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</si>
  <si>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</si>
  <si>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</si>
  <si>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</si>
  <si>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</si>
  <si>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</si>
  <si>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</si>
  <si>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</si>
  <si>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</si>
  <si>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</si>
  <si>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</si>
  <si>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</si>
  <si>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</si>
  <si>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</si>
  <si>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</si>
  <si>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</si>
  <si>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</si>
  <si>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</si>
  <si>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</si>
  <si>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</si>
  <si>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</si>
  <si>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MOSTLY CLOUDY… WITH A CHANCE OF SNOW FLURRIES IN THE MORNING. HIGH IN </t>
  </si>
  <si>
    <t>THE 30S.CLOUDY AND COLD AT NIGHT. LOWS IN THE MIDDLE 20S. NW WINDS 8 12 MPH.</t>
  </si>
  <si>
    <t xml:space="preserve">CLOUDY AND COLD . HIGHS IN THE MIDDLE 30S. AND COLDER AT NIGHT .. LOWS IN </t>
  </si>
  <si>
    <t>THE MIDDLE 20S.</t>
  </si>
  <si>
    <t>CLOUDY WITH HIGHS IN THE LOW 40S.</t>
  </si>
  <si>
    <t xml:space="preserve">CLOUDY WITH A CHANE OF RAIN EARLY. LOW IN THE MIDDLE 30S. HIGH IN THE </t>
  </si>
  <si>
    <t>LOW 40S.</t>
  </si>
  <si>
    <t xml:space="preserve">  A  CHANCE  OF   RAIN  HIGH IN THE MIDDLE 40S. LOW IN THE MIDDLE 30S AT 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</si>
</sst>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1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21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21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21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21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22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THU</v>
      </c>
      <c r="I1" s="881">
        <f>D4</f>
        <v>36958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36958</v>
      </c>
      <c r="E4" s="848">
        <f>Weather_Input!A6</f>
        <v>36959</v>
      </c>
      <c r="F4" s="848">
        <f>Weather_Input!A7</f>
        <v>36960</v>
      </c>
      <c r="G4" s="848">
        <f>Weather_Input!A8</f>
        <v>36961</v>
      </c>
      <c r="H4" s="848">
        <f>Weather_Input!A9</f>
        <v>36962</v>
      </c>
      <c r="I4" s="849">
        <f>Weather_Input!A10</f>
        <v>36963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34/26/30</v>
      </c>
      <c r="E5" s="882" t="str">
        <f>TEXT(Weather_Input!B6,"0")&amp;"/"&amp;TEXT(Weather_Input!C6,"0") &amp; "/" &amp; TEXT((Weather_Input!B6+Weather_Input!C6)/2,"0")</f>
        <v>39/23/31</v>
      </c>
      <c r="F5" s="882" t="str">
        <f>TEXT(Weather_Input!B7,"0")&amp;"/"&amp;TEXT(Weather_Input!C7,"0") &amp; "/" &amp; TEXT((Weather_Input!B7+Weather_Input!C7)/2,"0")</f>
        <v>45/33/39</v>
      </c>
      <c r="G5" s="882" t="str">
        <f>TEXT(Weather_Input!B8,"0")&amp;"/"&amp;TEXT(Weather_Input!C8,"0") &amp; "/" &amp; TEXT((Weather_Input!B8+Weather_Input!C8)/2,"0")</f>
        <v>45/34/40</v>
      </c>
      <c r="H5" s="882" t="str">
        <f>TEXT(Weather_Input!B9,"0")&amp;"/"&amp;TEXT(Weather_Input!C9,"0") &amp; "/" &amp; TEXT((Weather_Input!B9+Weather_Input!C9)/2,"0")</f>
        <v>48/33/41</v>
      </c>
      <c r="I5" s="883" t="str">
        <f>TEXT(Weather_Input!B10,"0")&amp;"/"&amp;TEXT(Weather_Input!C10,"0") &amp; "/" &amp; TEXT((Weather_Input!B10+Weather_Input!C10)/2,"0")</f>
        <v>48/33/41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178</v>
      </c>
      <c r="E6" s="851">
        <f ca="1">VLOOKUP(E4,NSG_Sendouts,CELL("Col",NSG_Deliveries!C6),FALSE)/1000</f>
        <v>174</v>
      </c>
      <c r="F6" s="851">
        <f ca="1">VLOOKUP(F4,NSG_Sendouts,CELL("Col",NSG_Deliveries!C7),FALSE)/1000</f>
        <v>145</v>
      </c>
      <c r="G6" s="851">
        <f ca="1">VLOOKUP(G4,NSG_Sendouts,CELL("Col",NSG_Deliveries!C8),FALSE)/1000</f>
        <v>142</v>
      </c>
      <c r="H6" s="851">
        <f ca="1">VLOOKUP(H4,NSG_Sendouts,CELL("Col",NSG_Deliveries!C9),FALSE)/1000</f>
        <v>139</v>
      </c>
      <c r="I6" s="856">
        <f ca="1">VLOOKUP(I4,NSG_Sendouts,CELL("Col",NSG_Deliveries!C10),FALSE)/1000</f>
        <v>137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178</v>
      </c>
      <c r="E19" s="860">
        <f t="shared" ca="1" si="1"/>
        <v>174</v>
      </c>
      <c r="F19" s="860">
        <f t="shared" ca="1" si="1"/>
        <v>145</v>
      </c>
      <c r="G19" s="860">
        <f t="shared" ca="1" si="1"/>
        <v>142</v>
      </c>
      <c r="H19" s="860">
        <f t="shared" ca="1" si="1"/>
        <v>139</v>
      </c>
      <c r="I19" s="861">
        <f t="shared" ca="1" si="1"/>
        <v>137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50</v>
      </c>
      <c r="E23" s="851">
        <f>NSG_Supplies!L8/1000</f>
        <v>40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4.34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103.657</v>
      </c>
      <c r="E32" s="851">
        <f>NSG_Supplies!R8/1000</f>
        <v>103.827</v>
      </c>
      <c r="F32" s="851">
        <f>NSG_Supplies!R9/1000</f>
        <v>103.827</v>
      </c>
      <c r="G32" s="851">
        <f>NSG_Supplies!R10/1000</f>
        <v>103.827</v>
      </c>
      <c r="H32" s="851">
        <f>NSG_Supplies!R11/1000</f>
        <v>103.827</v>
      </c>
      <c r="I32" s="852">
        <f>NSG_Supplies!R12/1000</f>
        <v>103.827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177.99700000000001</v>
      </c>
      <c r="E37" s="891">
        <f t="shared" si="2"/>
        <v>163.827</v>
      </c>
      <c r="F37" s="891">
        <f t="shared" si="2"/>
        <v>143.827</v>
      </c>
      <c r="G37" s="891">
        <f t="shared" si="2"/>
        <v>143.827</v>
      </c>
      <c r="H37" s="891">
        <f t="shared" si="2"/>
        <v>143.827</v>
      </c>
      <c r="I37" s="892">
        <f t="shared" si="2"/>
        <v>143.827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0</v>
      </c>
      <c r="G38" s="895">
        <f t="shared" ca="1" si="3"/>
        <v>1.8269999999999982</v>
      </c>
      <c r="H38" s="895">
        <f t="shared" ca="1" si="3"/>
        <v>4.8269999999999982</v>
      </c>
      <c r="I38" s="896">
        <f t="shared" ca="1" si="3"/>
        <v>6.8269999999999982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2.9999999999859028E-3</v>
      </c>
      <c r="E39" s="877">
        <f t="shared" ca="1" si="4"/>
        <v>10.173000000000002</v>
      </c>
      <c r="F39" s="877">
        <f t="shared" ca="1" si="4"/>
        <v>1.1730000000000018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33.648000000000003</v>
      </c>
      <c r="E40" s="1175">
        <f>NSG_Supplies!S8/1000</f>
        <v>33.817999999999998</v>
      </c>
      <c r="F40" s="1175">
        <f>NSG_Supplies!S9/1000</f>
        <v>33.817999999999998</v>
      </c>
      <c r="G40" s="1175">
        <f>NSG_Supplies!S10/1000</f>
        <v>33.817999999999998</v>
      </c>
      <c r="H40" s="1175">
        <f>NSG_Supplies!S11/1000</f>
        <v>33.817999999999998</v>
      </c>
      <c r="I40" s="1176">
        <f>NSG_Supplies!S12/1000</f>
        <v>33.817999999999998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</v>
      </c>
      <c r="E42" s="902">
        <f>Weather_Input!D6</f>
        <v>10</v>
      </c>
      <c r="F42" s="902">
        <f>Weather_Input!D7</f>
        <v>12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36958</v>
      </c>
      <c r="G1" s="771" t="str">
        <f>CHOOSE(WEEKDAY(F1),"SUN","MON","TUE","WED","THU","FRI","SAT")</f>
        <v>THU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34</v>
      </c>
      <c r="C4" s="965">
        <f>Weather_Input!C5</f>
        <v>26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1050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5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324.56799999999998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35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0.33999999999999997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146.643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219.327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111.199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40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800.07699999999988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254.92300000000012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254.92300000000012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10.97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-265.88900000000001</v>
      </c>
      <c r="D29" s="987" t="s">
        <v>11</v>
      </c>
      <c r="E29" s="986">
        <f>-PGL_Supplies!AC7/1000</f>
        <v>-265.88900000000001</v>
      </c>
      <c r="F29" s="307"/>
      <c r="G29" s="986">
        <f>-PGL_Supplies!AC7/1000</f>
        <v>-265.88900000000001</v>
      </c>
      <c r="H29" s="515"/>
      <c r="I29" s="988">
        <f>-PGL_Supplies!AC7/1000</f>
        <v>-265.88900000000001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324.56799999999998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324.56799999999998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20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55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35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146.643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146.643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0.33999999999999997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219.327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219.327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111.199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219.327</v>
      </c>
    </row>
    <row r="63" spans="1:9" ht="16.2" thickBot="1">
      <c r="A63" s="800" t="s">
        <v>565</v>
      </c>
      <c r="B63" s="1020">
        <f>+B62+B61-B60+B59</f>
        <v>111.199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THU</v>
      </c>
      <c r="G1" s="1084">
        <f>Weather_Input!A5</f>
        <v>36958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34</v>
      </c>
      <c r="C4" s="759">
        <f>Weather_Input!C5</f>
        <v>26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178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108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50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108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-4.34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-103.657</v>
      </c>
      <c r="D26" s="719"/>
      <c r="E26" s="712">
        <f>-NSG_Supplies!R7/1000</f>
        <v>-103.657</v>
      </c>
      <c r="F26" s="719"/>
      <c r="G26" s="712">
        <f>-NSG_Supplies!R7/1000</f>
        <v>-103.657</v>
      </c>
      <c r="H26" s="718"/>
      <c r="I26" s="777">
        <f>-NSG_Supplies!R7/1000</f>
        <v>-103.657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50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50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20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34</v>
      </c>
      <c r="C5" s="266">
        <f>Weather_Input!C5</f>
        <v>26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1050</v>
      </c>
      <c r="C8" s="274">
        <f>NSG_Deliveries!C5/1000</f>
        <v>178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30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456.47400000000005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435.767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40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-886.24099999999999</v>
      </c>
      <c r="C18" s="289">
        <f>-I63</f>
        <v>-50</v>
      </c>
      <c r="D18" s="290" t="s">
        <v>11</v>
      </c>
      <c r="E18" s="289">
        <f>-I63</f>
        <v>-50</v>
      </c>
      <c r="F18" s="290" t="s">
        <v>11</v>
      </c>
      <c r="G18" s="289">
        <f>-I63</f>
        <v>-50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163.75900000000001</v>
      </c>
      <c r="C20" s="295">
        <f>C8+C18+C19</f>
        <v>128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163.75900000000001</v>
      </c>
      <c r="C23" s="301">
        <f>C20</f>
        <v>128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-265.88900000000001</v>
      </c>
      <c r="C32" s="315">
        <f>-NSG_Supplies!R7/1000</f>
        <v>-103.657</v>
      </c>
      <c r="D32" s="315">
        <f>B32</f>
        <v>-265.88900000000001</v>
      </c>
      <c r="E32" s="315">
        <f>C32</f>
        <v>-103.657</v>
      </c>
      <c r="F32" s="315">
        <f>B32</f>
        <v>-265.88900000000001</v>
      </c>
      <c r="G32" s="315">
        <f>C32</f>
        <v>-103.657</v>
      </c>
      <c r="H32" s="320">
        <f>B32</f>
        <v>-265.88900000000001</v>
      </c>
      <c r="I32" s="321">
        <f>C32</f>
        <v>-103.657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-33.648000000000003</v>
      </c>
      <c r="D33" s="315">
        <f>B33</f>
        <v>0</v>
      </c>
      <c r="E33" s="315">
        <f>C33</f>
        <v>-33.648000000000003</v>
      </c>
      <c r="F33" s="315">
        <f>B33</f>
        <v>0</v>
      </c>
      <c r="G33" s="315">
        <f>C33</f>
        <v>-33.648000000000003</v>
      </c>
      <c r="H33" s="320">
        <f>B33</f>
        <v>0</v>
      </c>
      <c r="I33" s="321">
        <f>C33</f>
        <v>-33.648000000000003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10.97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-4.34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309.83100000000002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146.643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456.47400000000005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55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20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5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30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50</v>
      </c>
    </row>
    <row r="64" spans="1:9" ht="17.100000000000001" customHeight="1" thickBot="1">
      <c r="A64" s="425" t="s">
        <v>394</v>
      </c>
      <c r="B64" s="324">
        <f>PGL_Supplies!Y7/1000</f>
        <v>324.56799999999998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111.199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435.767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36958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40.97</v>
      </c>
      <c r="D97" s="603"/>
      <c r="E97" s="615">
        <f>+C97</f>
        <v>40.97</v>
      </c>
      <c r="F97" s="603"/>
      <c r="G97" s="615">
        <f>+C97</f>
        <v>40.97</v>
      </c>
      <c r="H97" s="603"/>
      <c r="I97" s="285">
        <f>+C97</f>
        <v>40.97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456.47400000000005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435.767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40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-55</v>
      </c>
      <c r="C116" s="419">
        <f>-NSG_Supplies!W7/1000</f>
        <v>0</v>
      </c>
      <c r="D116" s="315">
        <f>-PGL_Supplies!Z7/1000</f>
        <v>-55</v>
      </c>
      <c r="E116" s="315">
        <f>-NSG_Supplies!W7/1000</f>
        <v>0</v>
      </c>
      <c r="F116" s="315">
        <f>-PGL_Supplies!Z7/1000</f>
        <v>-55</v>
      </c>
      <c r="G116" s="315">
        <f>-NSG_Supplies!W7/1000</f>
        <v>0</v>
      </c>
      <c r="H116" s="320">
        <f>-PGL_Supplies!Z7/1000</f>
        <v>-55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-146.643</v>
      </c>
      <c r="C117" s="315">
        <f>-NSG_Supplies!X7/1000</f>
        <v>0</v>
      </c>
      <c r="D117" s="315">
        <f>-PGL_Supplies!AA7/1000</f>
        <v>-146.643</v>
      </c>
      <c r="E117" s="315">
        <f>-NSG_Supplies!X7/1000</f>
        <v>0</v>
      </c>
      <c r="F117" s="315">
        <f>-PGL_Supplies!AA7/1000</f>
        <v>-146.643</v>
      </c>
      <c r="G117" s="315">
        <f>-NSG_Supplies!X7/1000</f>
        <v>0</v>
      </c>
      <c r="H117" s="320">
        <f>-PGL_Supplies!AA7/1000</f>
        <v>-146.643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-33.648000000000003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20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10.97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5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55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40.97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146.643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309.83100000000002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456.47400000000005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111.199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324.56799999999998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435.767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36959.188361574073</v>
      </c>
      <c r="F22" s="164" t="s">
        <v>272</v>
      </c>
      <c r="G22" s="191">
        <f ca="1">NOW()</f>
        <v>36959.188361574073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36959.188361574073</v>
      </c>
      <c r="F22" s="164" t="s">
        <v>272</v>
      </c>
      <c r="G22" s="191">
        <f ca="1">NOW()</f>
        <v>36959.188361574073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36958</v>
      </c>
      <c r="C5" s="15"/>
      <c r="D5" s="22" t="s">
        <v>290</v>
      </c>
      <c r="E5" s="23">
        <f>Weather_Input!B5</f>
        <v>34</v>
      </c>
      <c r="F5" s="24" t="s">
        <v>291</v>
      </c>
      <c r="G5" s="25">
        <f>Weather_Input!H5</f>
        <v>34</v>
      </c>
      <c r="H5" s="26" t="s">
        <v>292</v>
      </c>
      <c r="I5" s="27">
        <f ca="1">G5-(VLOOKUP(B5,DD_Normal_Data,CELL("Col",B6),FALSE))</f>
        <v>4</v>
      </c>
    </row>
    <row r="6" spans="1:109" ht="15">
      <c r="A6" s="18"/>
      <c r="B6" s="21"/>
      <c r="C6" s="15"/>
      <c r="D6" s="22" t="s">
        <v>176</v>
      </c>
      <c r="E6" s="23">
        <f>Weather_Input!C5</f>
        <v>26</v>
      </c>
      <c r="F6" s="24" t="s">
        <v>293</v>
      </c>
      <c r="G6" s="25">
        <f>Weather_Input!F5</f>
        <v>273</v>
      </c>
      <c r="H6" s="26" t="s">
        <v>294</v>
      </c>
      <c r="I6" s="27">
        <f ca="1">G6-(VLOOKUP(B5,DD_Normal_Data,CELL("Col",C7),FALSE))</f>
        <v>20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30</v>
      </c>
      <c r="F7" s="24" t="s">
        <v>296</v>
      </c>
      <c r="G7" s="25">
        <f>Weather_Input!G5</f>
        <v>5358</v>
      </c>
      <c r="H7" s="26" t="s">
        <v>296</v>
      </c>
      <c r="I7" s="123">
        <f ca="1">G7-(VLOOKUP(B5,DD_Normal_Data,CELL("Col",D4),FALSE))</f>
        <v>310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MOSTLY CLOUDY… WITH A CHANCE OF SNOW FLURRIES IN THE MORNING. HIGH IN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THE 30S.CLOUDY AND COLD AT NIGHT. LOWS IN THE MIDDLE 20S. NW WINDS 8 12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36959</v>
      </c>
      <c r="C10" s="15"/>
      <c r="D10" s="153" t="s">
        <v>290</v>
      </c>
      <c r="E10" s="23">
        <f>Weather_Input!B6</f>
        <v>39</v>
      </c>
      <c r="F10" s="24" t="s">
        <v>291</v>
      </c>
      <c r="G10" s="25">
        <f>IF(E12&lt;65,65-(Weather_Input!B6+Weather_Input!C6)/2,0)</f>
        <v>34</v>
      </c>
      <c r="H10" s="26" t="s">
        <v>292</v>
      </c>
      <c r="I10" s="27">
        <f ca="1">G10-(VLOOKUP(B10,DD_Normal_Data,CELL("Col",B11),FALSE))</f>
        <v>4</v>
      </c>
    </row>
    <row r="11" spans="1:109" ht="15">
      <c r="A11" s="18"/>
      <c r="B11" s="21"/>
      <c r="C11" s="15"/>
      <c r="D11" s="22" t="s">
        <v>176</v>
      </c>
      <c r="E11" s="23">
        <f>Weather_Input!C6</f>
        <v>23</v>
      </c>
      <c r="F11" s="24" t="s">
        <v>293</v>
      </c>
      <c r="G11" s="25">
        <f>IF(DAY(B10)=1,G10,G6+G10)</f>
        <v>307</v>
      </c>
      <c r="H11" s="30" t="s">
        <v>294</v>
      </c>
      <c r="I11" s="27">
        <f ca="1">G11-(VLOOKUP(B10,DD_Normal_Data,CELL("Col",C12),FALSE))</f>
        <v>24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31</v>
      </c>
      <c r="F12" s="24" t="s">
        <v>296</v>
      </c>
      <c r="G12" s="25">
        <f>IF(AND(DAY(B10)=1,MONTH(B10)=8),G10,G7+G10)</f>
        <v>5392</v>
      </c>
      <c r="H12" s="26" t="s">
        <v>296</v>
      </c>
      <c r="I12" s="27">
        <f ca="1">G12-(VLOOKUP(B10,DD_Normal_Data,CELL("Col",D9),FALSE))</f>
        <v>314</v>
      </c>
    </row>
    <row r="13" spans="1:109" ht="15">
      <c r="A13" s="18"/>
      <c r="B13" s="21"/>
      <c r="C13" s="15"/>
      <c r="D13" s="32" t="str">
        <f>IF(Weather_Input!I6=""," ",Weather_Input!I6)</f>
        <v xml:space="preserve">CLOUDY AND COLD . HIGHS IN THE MIDDLE 30S. AND COLDER AT NIGHT .. LOWS IN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THE MIDDLE 20S.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36960</v>
      </c>
      <c r="C15" s="15"/>
      <c r="D15" s="22" t="s">
        <v>290</v>
      </c>
      <c r="E15" s="23">
        <f>Weather_Input!B7</f>
        <v>45</v>
      </c>
      <c r="F15" s="24" t="s">
        <v>291</v>
      </c>
      <c r="G15" s="25">
        <f>IF(E17&lt;65,65-(Weather_Input!B7+Weather_Input!C7)/2,0)</f>
        <v>26</v>
      </c>
      <c r="H15" s="26" t="s">
        <v>292</v>
      </c>
      <c r="I15" s="27">
        <f ca="1">G15-(VLOOKUP(B15,DD_Normal_Data,CELL("Col",B16),FALSE))</f>
        <v>-4</v>
      </c>
    </row>
    <row r="16" spans="1:109" ht="15">
      <c r="A16" s="18"/>
      <c r="B16" s="20"/>
      <c r="C16" s="15"/>
      <c r="D16" s="22" t="s">
        <v>176</v>
      </c>
      <c r="E16" s="23">
        <f>Weather_Input!C7</f>
        <v>33</v>
      </c>
      <c r="F16" s="24" t="s">
        <v>293</v>
      </c>
      <c r="G16" s="25">
        <f>IF(DAY(B15)=1,G15,G11+G15)</f>
        <v>333</v>
      </c>
      <c r="H16" s="30" t="s">
        <v>294</v>
      </c>
      <c r="I16" s="27">
        <f ca="1">G16-(VLOOKUP(B15,DD_Normal_Data,CELL("Col",C17),FALSE))</f>
        <v>20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39</v>
      </c>
      <c r="F17" s="24" t="s">
        <v>296</v>
      </c>
      <c r="G17" s="25">
        <f>IF(AND(DAY(B15)=1,MONTH(B15)=8),G15,G12+G15)</f>
        <v>5418</v>
      </c>
      <c r="H17" s="26" t="s">
        <v>296</v>
      </c>
      <c r="I17" s="27">
        <f ca="1">G17-(VLOOKUP(B15,DD_Normal_Data,CELL("Col",D14),FALSE))</f>
        <v>310</v>
      </c>
    </row>
    <row r="18" spans="1:109" ht="15">
      <c r="A18" s="18"/>
      <c r="B18" s="20"/>
      <c r="C18" s="15"/>
      <c r="D18" s="32" t="str">
        <f>IF(Weather_Input!I7=""," ",Weather_Input!I7)</f>
        <v>CLOUDY WITH HIGHS IN THE LOW 40S.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36961</v>
      </c>
      <c r="C20" s="15"/>
      <c r="D20" s="22" t="s">
        <v>290</v>
      </c>
      <c r="E20" s="23">
        <f>Weather_Input!B8</f>
        <v>45</v>
      </c>
      <c r="F20" s="24" t="s">
        <v>291</v>
      </c>
      <c r="G20" s="25">
        <f>IF(E22&lt;65,65-(Weather_Input!B8+Weather_Input!C8)/2,0)</f>
        <v>25.5</v>
      </c>
      <c r="H20" s="26" t="s">
        <v>292</v>
      </c>
      <c r="I20" s="27">
        <f ca="1">G20-(VLOOKUP(B20,DD_Normal_Data,CELL("Col",B21),FALSE))</f>
        <v>-4.5</v>
      </c>
    </row>
    <row r="21" spans="1:109" ht="15">
      <c r="A21" s="18"/>
      <c r="B21" s="21"/>
      <c r="C21" s="15"/>
      <c r="D21" s="22" t="s">
        <v>176</v>
      </c>
      <c r="E21" s="23">
        <f>Weather_Input!C8</f>
        <v>34</v>
      </c>
      <c r="F21" s="24" t="s">
        <v>293</v>
      </c>
      <c r="G21" s="25">
        <f>IF(DAY(B20)=1,G20,G16+G20)</f>
        <v>358.5</v>
      </c>
      <c r="H21" s="30" t="s">
        <v>294</v>
      </c>
      <c r="I21" s="27">
        <f ca="1">G21-(VLOOKUP(B20,DD_Normal_Data,CELL("Col",C22),FALSE))</f>
        <v>15.5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39.5</v>
      </c>
      <c r="F22" s="24" t="s">
        <v>296</v>
      </c>
      <c r="G22" s="25">
        <f>IF(AND(DAY(B20)=1,MONTH(B20)=8),G20,G17+G20)</f>
        <v>5443.5</v>
      </c>
      <c r="H22" s="26" t="s">
        <v>296</v>
      </c>
      <c r="I22" s="27">
        <f ca="1">G22-(VLOOKUP(B20,DD_Normal_Data,CELL("Col",D19),FALSE))</f>
        <v>305.5</v>
      </c>
    </row>
    <row r="23" spans="1:109" ht="15">
      <c r="A23" s="18"/>
      <c r="B23" s="21"/>
      <c r="C23" s="15"/>
      <c r="D23" s="32" t="str">
        <f>IF(Weather_Input!I8=""," ",Weather_Input!I8)</f>
        <v xml:space="preserve">CLOUDY WITH A CHANE OF RAIN EARLY. LOW IN THE MIDDLE 30S. HIGH IN THE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>LOW 40S.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36962</v>
      </c>
      <c r="C25" s="15"/>
      <c r="D25" s="22" t="s">
        <v>290</v>
      </c>
      <c r="E25" s="23">
        <f>Weather_Input!B9</f>
        <v>48</v>
      </c>
      <c r="F25" s="24" t="s">
        <v>291</v>
      </c>
      <c r="G25" s="25">
        <f>IF(E27&lt;65,65-(Weather_Input!B9+Weather_Input!C9)/2,0)</f>
        <v>24.5</v>
      </c>
      <c r="H25" s="26" t="s">
        <v>292</v>
      </c>
      <c r="I25" s="27">
        <f ca="1">G25-(VLOOKUP(B25,DD_Normal_Data,CELL("Col",B26),FALSE))</f>
        <v>-4.5</v>
      </c>
    </row>
    <row r="26" spans="1:109" ht="15">
      <c r="A26" s="18"/>
      <c r="B26" s="21"/>
      <c r="C26" s="15"/>
      <c r="D26" s="22" t="s">
        <v>176</v>
      </c>
      <c r="E26" s="23">
        <f>Weather_Input!C9</f>
        <v>33</v>
      </c>
      <c r="F26" s="24" t="s">
        <v>293</v>
      </c>
      <c r="G26" s="25">
        <f>IF(DAY(B25)=1,G25,G21+G25)</f>
        <v>383</v>
      </c>
      <c r="H26" s="30" t="s">
        <v>294</v>
      </c>
      <c r="I26" s="27">
        <f ca="1">G26-(VLOOKUP(B25,DD_Normal_Data,CELL("Col",C27),FALSE))</f>
        <v>11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40.5</v>
      </c>
      <c r="F27" s="24" t="s">
        <v>296</v>
      </c>
      <c r="G27" s="25">
        <f>IF(AND(DAY(B25)=1,MONTH(B25)=8),G25,G22+G25)</f>
        <v>5468</v>
      </c>
      <c r="H27" s="26" t="s">
        <v>296</v>
      </c>
      <c r="I27" s="27">
        <f ca="1">G27-(VLOOKUP(B25,DD_Normal_Data,CELL("Col",D24),FALSE))</f>
        <v>301</v>
      </c>
    </row>
    <row r="28" spans="1:109" ht="15">
      <c r="A28" s="18"/>
      <c r="B28" s="20"/>
      <c r="C28" s="15"/>
      <c r="D28" s="32" t="str">
        <f>IF(Weather_Input!I9=""," ",Weather_Input!I9)</f>
        <v xml:space="preserve">  A  CHANCE  OF   RAIN  HIGH IN THE MIDDLE 40S. LOW IN THE MIDDLE 30S AT NIGHT.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36963</v>
      </c>
      <c r="C30" s="15"/>
      <c r="D30" s="22" t="s">
        <v>290</v>
      </c>
      <c r="E30" s="23">
        <f>Weather_Input!B10</f>
        <v>48</v>
      </c>
      <c r="F30" s="24" t="s">
        <v>291</v>
      </c>
      <c r="G30" s="25">
        <f>IF(E32&lt;65,65-(Weather_Input!B10+Weather_Input!C10)/2,0)</f>
        <v>24.5</v>
      </c>
      <c r="H30" s="26" t="s">
        <v>292</v>
      </c>
      <c r="I30" s="27">
        <f ca="1">G30-(VLOOKUP(B30,DD_Normal_Data,CELL("Col",B31),FALSE))</f>
        <v>-4.5</v>
      </c>
    </row>
    <row r="31" spans="1:109" ht="15">
      <c r="A31" s="15"/>
      <c r="B31" s="15"/>
      <c r="C31" s="15"/>
      <c r="D31" s="22" t="s">
        <v>176</v>
      </c>
      <c r="E31" s="23">
        <f>Weather_Input!C10</f>
        <v>33</v>
      </c>
      <c r="F31" s="24" t="s">
        <v>293</v>
      </c>
      <c r="G31" s="25">
        <f>IF(DAY(B30)=1,G30,G26+G30)</f>
        <v>407.5</v>
      </c>
      <c r="H31" s="30" t="s">
        <v>294</v>
      </c>
      <c r="I31" s="27">
        <f ca="1">G31-(VLOOKUP(B30,DD_Normal_Data,CELL("Col",C32),FALSE))</f>
        <v>6.5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40.5</v>
      </c>
      <c r="F32" s="24" t="s">
        <v>296</v>
      </c>
      <c r="G32" s="25">
        <f>IF(AND(DAY(B30)=1,MONTH(B30)=8),G30,G27+G30)</f>
        <v>5492.5</v>
      </c>
      <c r="H32" s="26" t="s">
        <v>296</v>
      </c>
      <c r="I32" s="27">
        <f ca="1">G32-(VLOOKUP(B30,DD_Normal_Data,CELL("Col",D29),FALSE))</f>
        <v>296.5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HIGH IN THE MIDDLE 40S. LOW IN THE MIDDLE 30S AT NIGHT.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36958</v>
      </c>
      <c r="C36" s="91">
        <f>B10</f>
        <v>36959</v>
      </c>
      <c r="D36" s="91">
        <f>B15</f>
        <v>36960</v>
      </c>
      <c r="E36" s="91">
        <f xml:space="preserve">       B20</f>
        <v>36961</v>
      </c>
      <c r="F36" s="91">
        <f>B25</f>
        <v>36962</v>
      </c>
      <c r="G36" s="91">
        <f>B30</f>
        <v>36963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1050</v>
      </c>
      <c r="C37" s="41">
        <f ca="1">(VLOOKUP(C36,PGL_Sendouts,(CELL("COL",PGL_Deliveries!C7))))/1000</f>
        <v>1040</v>
      </c>
      <c r="D37" s="41">
        <f ca="1">(VLOOKUP(D36,PGL_Sendouts,(CELL("COL",PGL_Deliveries!C8))))/1000</f>
        <v>900</v>
      </c>
      <c r="E37" s="41">
        <f ca="1">(VLOOKUP(E36,PGL_Sendouts,(CELL("COL",PGL_Deliveries!C9))))/1000</f>
        <v>875</v>
      </c>
      <c r="F37" s="41">
        <f ca="1">(VLOOKUP(F36,PGL_Sendouts,(CELL("COL",PGL_Deliveries!C10))))/1000</f>
        <v>860</v>
      </c>
      <c r="G37" s="41">
        <f ca="1">(VLOOKUP(G36,PGL_Sendouts,(CELL("COL",PGL_Deliveries!C10))))/1000</f>
        <v>855</v>
      </c>
      <c r="H37" s="14"/>
      <c r="I37" s="15"/>
    </row>
    <row r="38" spans="1:9" ht="15">
      <c r="A38" s="15" t="s">
        <v>301</v>
      </c>
      <c r="B38" s="41">
        <f>PGL_6_Day_Report!D30</f>
        <v>1126.6300000000001</v>
      </c>
      <c r="C38" s="41">
        <f>PGL_6_Day_Report!E30</f>
        <v>1294.4100000000001</v>
      </c>
      <c r="D38" s="41">
        <f>PGL_6_Day_Report!F30</f>
        <v>1154.4100000000001</v>
      </c>
      <c r="E38" s="41">
        <f>PGL_6_Day_Report!G30</f>
        <v>1129.4100000000001</v>
      </c>
      <c r="F38" s="41">
        <f>PGL_6_Day_Report!H30</f>
        <v>1114.4100000000001</v>
      </c>
      <c r="G38" s="41">
        <f>PGL_6_Day_Report!I30</f>
        <v>1109.4100000000001</v>
      </c>
      <c r="H38" s="14"/>
      <c r="I38" s="15"/>
    </row>
    <row r="39" spans="1:9" ht="15">
      <c r="A39" s="42" t="s">
        <v>109</v>
      </c>
      <c r="B39" s="41">
        <f>SUM(PGL_Supplies!Z7:AE7)/1000</f>
        <v>798.05799999999999</v>
      </c>
      <c r="C39" s="41">
        <f>SUM(PGL_Supplies!Z8:AE8)/1000</f>
        <v>959.70600000000002</v>
      </c>
      <c r="D39" s="41">
        <f>SUM(PGL_Supplies!Z9:AE9)/1000</f>
        <v>959.70600000000002</v>
      </c>
      <c r="E39" s="41">
        <f>SUM(PGL_Supplies!Z10:AE10)/1000</f>
        <v>959.70600000000002</v>
      </c>
      <c r="F39" s="41">
        <f>SUM(PGL_Supplies!Z11:AE11)/1000</f>
        <v>959.70600000000002</v>
      </c>
      <c r="G39" s="41">
        <f>SUM(PGL_Supplies!Z12:AE12)/1000</f>
        <v>959.70600000000002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20.66</v>
      </c>
      <c r="C41" s="41">
        <f>SUM(PGL_Requirements!R7:U7)/1000</f>
        <v>20.66</v>
      </c>
      <c r="D41" s="41">
        <f>SUM(PGL_Requirements!R7:U7)/1000</f>
        <v>20.66</v>
      </c>
      <c r="E41" s="41">
        <f>SUM(PGL_Requirements!R7:U7)/1000</f>
        <v>20.66</v>
      </c>
      <c r="F41" s="41">
        <f>SUM(PGL_Requirements!R7:U7)/1000</f>
        <v>20.66</v>
      </c>
      <c r="G41" s="41">
        <f>SUM(PGL_Requirements!R7:U7)/1000</f>
        <v>20.66</v>
      </c>
      <c r="H41" s="14"/>
      <c r="I41" s="15"/>
    </row>
    <row r="42" spans="1:9" ht="15">
      <c r="A42" s="15" t="s">
        <v>132</v>
      </c>
      <c r="B42" s="41">
        <f>PGL_Supplies!V7/1000</f>
        <v>309.83100000000002</v>
      </c>
      <c r="C42" s="41">
        <f>PGL_Supplies!V8/1000</f>
        <v>302.14600000000002</v>
      </c>
      <c r="D42" s="41">
        <f>PGL_Supplies!V9/1000</f>
        <v>302.14600000000002</v>
      </c>
      <c r="E42" s="41">
        <f>PGL_Supplies!V10/1000</f>
        <v>302.14600000000002</v>
      </c>
      <c r="F42" s="41">
        <f>PGL_Supplies!V11/1000</f>
        <v>302.14600000000002</v>
      </c>
      <c r="G42" s="41">
        <f>PGL_Supplies!V12/1000</f>
        <v>302.14600000000002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36958</v>
      </c>
      <c r="C44" s="91">
        <f t="shared" si="0"/>
        <v>36959</v>
      </c>
      <c r="D44" s="91">
        <f t="shared" si="0"/>
        <v>36960</v>
      </c>
      <c r="E44" s="91">
        <f t="shared" si="0"/>
        <v>36961</v>
      </c>
      <c r="F44" s="91">
        <f t="shared" si="0"/>
        <v>36962</v>
      </c>
      <c r="G44" s="91">
        <f t="shared" si="0"/>
        <v>36963</v>
      </c>
      <c r="H44" s="14"/>
      <c r="I44" s="15"/>
    </row>
    <row r="45" spans="1:9" ht="15">
      <c r="A45" s="15" t="s">
        <v>56</v>
      </c>
      <c r="B45" s="41">
        <f ca="1">NSG_6_Day_Report!D6</f>
        <v>178</v>
      </c>
      <c r="C45" s="41">
        <f ca="1">NSG_6_Day_Report!E6</f>
        <v>174</v>
      </c>
      <c r="D45" s="41">
        <f ca="1">NSG_6_Day_Report!F6</f>
        <v>145</v>
      </c>
      <c r="E45" s="41">
        <f ca="1">NSG_6_Day_Report!G6</f>
        <v>142</v>
      </c>
      <c r="F45" s="41">
        <f ca="1">NSG_6_Day_Report!H6</f>
        <v>139</v>
      </c>
      <c r="G45" s="41">
        <f ca="1">NSG_6_Day_Report!I6</f>
        <v>137</v>
      </c>
      <c r="H45" s="14"/>
      <c r="I45" s="15"/>
    </row>
    <row r="46" spans="1:9" ht="15">
      <c r="A46" s="42" t="s">
        <v>301</v>
      </c>
      <c r="B46" s="41">
        <f ca="1">NSG_6_Day_Report!D19</f>
        <v>178</v>
      </c>
      <c r="C46" s="41">
        <f ca="1">NSG_6_Day_Report!E19</f>
        <v>174</v>
      </c>
      <c r="D46" s="41">
        <f ca="1">NSG_6_Day_Report!F19</f>
        <v>145</v>
      </c>
      <c r="E46" s="41">
        <f ca="1">NSG_6_Day_Report!G19</f>
        <v>142</v>
      </c>
      <c r="F46" s="41">
        <f ca="1">NSG_6_Day_Report!H19</f>
        <v>139</v>
      </c>
      <c r="G46" s="41">
        <f ca="1">NSG_6_Day_Report!I19</f>
        <v>137</v>
      </c>
      <c r="H46" s="14"/>
      <c r="I46" s="15"/>
    </row>
    <row r="47" spans="1:9" ht="15">
      <c r="A47" s="42" t="s">
        <v>109</v>
      </c>
      <c r="B47" s="41">
        <f>SUM(NSG_Supplies!P7:R7)/1000</f>
        <v>123.657</v>
      </c>
      <c r="C47" s="41">
        <f>SUM(NSG_Supplies!P8:R8)/1000</f>
        <v>123.827</v>
      </c>
      <c r="D47" s="41">
        <f>SUM(NSG_Supplies!P9:R9)/1000</f>
        <v>123.827</v>
      </c>
      <c r="E47" s="41">
        <f>SUM(NSG_Supplies!P10:R10)/1000</f>
        <v>123.827</v>
      </c>
      <c r="F47" s="41">
        <f>SUM(NSG_Supplies!P11:R11)/1000</f>
        <v>123.827</v>
      </c>
      <c r="G47" s="41">
        <f>SUM(NSG_Supplies!P12:R12)/1000</f>
        <v>123.827</v>
      </c>
      <c r="H47" s="14"/>
      <c r="I47" s="15"/>
    </row>
    <row r="48" spans="1:9" ht="15">
      <c r="A48" s="42" t="s">
        <v>302</v>
      </c>
      <c r="B48" s="41">
        <f>SUM(NSG_Supplies!I7:M7)/1000</f>
        <v>50</v>
      </c>
      <c r="C48" s="41">
        <f>SUM(NSG_Supplies!I8:M8)/1000</f>
        <v>40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33.648000000000003</v>
      </c>
      <c r="C50" s="41">
        <f>NSG_Supplies!S8/1000</f>
        <v>33.817999999999998</v>
      </c>
      <c r="D50" s="41">
        <f>NSG_Supplies!S9/1000</f>
        <v>33.817999999999998</v>
      </c>
      <c r="E50" s="41">
        <f>NSG_Supplies!S10/1000</f>
        <v>33.817999999999998</v>
      </c>
      <c r="F50" s="41">
        <f>NSG_Supplies!S11/1000</f>
        <v>33.817999999999998</v>
      </c>
      <c r="G50" s="41">
        <f>NSG_Supplies!S12/1000</f>
        <v>33.817999999999998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36958</v>
      </c>
      <c r="C52" s="91">
        <f t="shared" si="1"/>
        <v>36959</v>
      </c>
      <c r="D52" s="91">
        <f t="shared" si="1"/>
        <v>36960</v>
      </c>
      <c r="E52" s="91">
        <f t="shared" si="1"/>
        <v>36961</v>
      </c>
      <c r="F52" s="91">
        <f t="shared" si="1"/>
        <v>36962</v>
      </c>
      <c r="G52" s="91">
        <f t="shared" si="1"/>
        <v>36963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activeCell="B17" sqref="B17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Friday</v>
      </c>
      <c r="C4" s="1144" t="str">
        <f>Six_Day_Summary!A15</f>
        <v>Saturday</v>
      </c>
      <c r="D4" s="1144" t="str">
        <f>Six_Day_Summary!A20</f>
        <v>Sunday</v>
      </c>
      <c r="E4" s="1144" t="str">
        <f>Six_Day_Summary!A25</f>
        <v>Monday</v>
      </c>
      <c r="F4" s="1145" t="str">
        <f>Six_Day_Summary!A30</f>
        <v>Tuesday</v>
      </c>
      <c r="G4" s="100"/>
    </row>
    <row r="5" spans="1:8">
      <c r="A5" s="103" t="s">
        <v>312</v>
      </c>
      <c r="B5" s="1146">
        <f>Weather_Input!A6</f>
        <v>36959</v>
      </c>
      <c r="C5" s="1147">
        <f>Weather_Input!A7</f>
        <v>36960</v>
      </c>
      <c r="D5" s="1147">
        <f>Weather_Input!A8</f>
        <v>36961</v>
      </c>
      <c r="E5" s="1147">
        <f>Weather_Input!A9</f>
        <v>36962</v>
      </c>
      <c r="F5" s="1148">
        <f>Weather_Input!A10</f>
        <v>36963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358.108</v>
      </c>
      <c r="C6" s="1149">
        <f>PGL_Supplies!AC9/1000+PGL_Supplies!L9/1000-PGL_Requirements!O9/1000+C15-PGL_Requirements!T9/1000</f>
        <v>358.108</v>
      </c>
      <c r="D6" s="1149">
        <f>PGL_Supplies!AC10/1000+PGL_Supplies!L10/1000-PGL_Requirements!O10/1000+D15-PGL_Requirements!T10/1000</f>
        <v>358.108</v>
      </c>
      <c r="E6" s="1149">
        <f>PGL_Supplies!AC11/1000+PGL_Supplies!L11/1000-PGL_Requirements!O11/1000+E15-PGL_Requirements!T11/1000</f>
        <v>358.108</v>
      </c>
      <c r="F6" s="1150">
        <f>PGL_Supplies!AC12/1000+PGL_Supplies!L12/1000-PGL_Requirements!O12/1000+F15-PGL_Requirements!T12/1000</f>
        <v>358.108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Friday</v>
      </c>
      <c r="C21" s="1159" t="str">
        <f t="shared" si="0"/>
        <v>Saturday</v>
      </c>
      <c r="D21" s="1159" t="str">
        <f t="shared" si="0"/>
        <v>Sunday</v>
      </c>
      <c r="E21" s="1159" t="str">
        <f t="shared" si="0"/>
        <v>Monday</v>
      </c>
      <c r="F21" s="1160" t="str">
        <f t="shared" si="0"/>
        <v>Tuesday</v>
      </c>
      <c r="G21" s="100"/>
    </row>
    <row r="22" spans="1:7">
      <c r="A22" s="107" t="s">
        <v>312</v>
      </c>
      <c r="B22" s="1161">
        <f t="shared" si="0"/>
        <v>36959</v>
      </c>
      <c r="C22" s="1161">
        <f t="shared" si="0"/>
        <v>36960</v>
      </c>
      <c r="D22" s="1161">
        <f t="shared" si="0"/>
        <v>36961</v>
      </c>
      <c r="E22" s="1161">
        <f t="shared" si="0"/>
        <v>36962</v>
      </c>
      <c r="F22" s="1162">
        <f t="shared" si="0"/>
        <v>36963</v>
      </c>
      <c r="G22" s="100"/>
    </row>
    <row r="23" spans="1:7">
      <c r="A23" s="100" t="s">
        <v>313</v>
      </c>
      <c r="B23" s="1155">
        <f>NSG_Supplies!R8/1000+NSG_Supplies!F8/1000-NSG_Requirements!H8/1000</f>
        <v>103.827</v>
      </c>
      <c r="C23" s="1155">
        <f>NSG_Supplies!R9/1000+NSG_Supplies!F9/1000-NSG_Requirements!H9/1000</f>
        <v>103.827</v>
      </c>
      <c r="D23" s="1155">
        <f>NSG_Supplies!R10/1000+NSG_Supplies!F10/1000-NSG_Requirements!H10/1000</f>
        <v>103.827</v>
      </c>
      <c r="E23" s="1155">
        <f>NSG_Supplies!R12/1000+NSG_Supplies!F11/1000-NSG_Requirements!H11/1000</f>
        <v>103.827</v>
      </c>
      <c r="F23" s="1150">
        <f>NSG_Supplies!R12/1000+NSG_Supplies!F12/1000-NSG_Requirements!H12/1000</f>
        <v>103.827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36959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40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40</v>
      </c>
      <c r="D10" s="438"/>
      <c r="E10" s="440">
        <f>AVERAGE(C10/24)</f>
        <v>1.6666666666666667</v>
      </c>
      <c r="F10" s="172" t="s">
        <v>450</v>
      </c>
      <c r="G10" s="154">
        <f>PGL_Supplies!AB8/1000</f>
        <v>236.78200000000001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324.41199999999998</v>
      </c>
      <c r="D11" s="790"/>
      <c r="E11" s="1132"/>
      <c r="F11" s="435" t="s">
        <v>379</v>
      </c>
      <c r="G11" s="447">
        <f>G8+G10</f>
        <v>236.78200000000001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324.41199999999998</v>
      </c>
      <c r="D14" s="438"/>
      <c r="E14" s="440">
        <f>AVERAGE(C14/24)</f>
        <v>13.517166666666666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55</v>
      </c>
      <c r="D15" s="60"/>
      <c r="E15" s="161"/>
      <c r="F15" s="783" t="s">
        <v>564</v>
      </c>
      <c r="G15" s="447">
        <f>G8+G10</f>
        <v>236.78200000000001</v>
      </c>
      <c r="H15" s="438"/>
      <c r="I15" s="440">
        <f>AVERAGE(G15/24)</f>
        <v>9.8659166666666671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55</v>
      </c>
      <c r="D20" s="441" t="s">
        <v>11</v>
      </c>
      <c r="E20" s="440">
        <f>AVERAGE(C20/24)</f>
        <v>2.2916666666666665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148.762</v>
      </c>
      <c r="D21" s="154" t="s">
        <v>11</v>
      </c>
      <c r="E21" s="161"/>
      <c r="F21" s="172" t="s">
        <v>109</v>
      </c>
      <c r="G21" s="154">
        <f>PGL_Supplies!AD8/1000</f>
        <v>161.054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148.762</v>
      </c>
      <c r="D22" s="434"/>
      <c r="E22" s="436"/>
      <c r="F22" s="435" t="s">
        <v>379</v>
      </c>
      <c r="G22" s="447">
        <f>G21</f>
        <v>161.054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148.762</v>
      </c>
      <c r="D25" s="438"/>
      <c r="E25" s="440">
        <f>AVERAGE(C25/24)</f>
        <v>6.1984166666666667</v>
      </c>
      <c r="F25" s="552" t="s">
        <v>556</v>
      </c>
      <c r="G25" s="906">
        <f>G22+G23-H24+G20</f>
        <v>161.054</v>
      </c>
      <c r="H25" s="430"/>
      <c r="I25" s="907">
        <f>AVERAGE(G25/24)</f>
        <v>6.7105833333333331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2" workbookViewId="0">
      <selection activeCell="C57" sqref="C57"/>
    </sheetView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36959</v>
      </c>
      <c r="I1" s="933"/>
      <c r="J1" s="935"/>
      <c r="K1" s="935"/>
    </row>
    <row r="2" spans="1:22" ht="16.5" customHeight="1">
      <c r="A2" s="953" t="s">
        <v>688</v>
      </c>
      <c r="C2" s="1048">
        <v>282</v>
      </c>
      <c r="F2" s="1049">
        <v>260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174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55</v>
      </c>
      <c r="B11" s="1053"/>
      <c r="H11" s="955">
        <f>NSG_Supplies!U8/1000</f>
        <v>0</v>
      </c>
      <c r="K11" s="936" t="s">
        <v>693</v>
      </c>
      <c r="L11" s="961">
        <f>SUM(K4+K17+K19+H11+H9-L9)</f>
        <v>-10.173000000000002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324.41199999999998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40</v>
      </c>
      <c r="N17" s="955"/>
    </row>
    <row r="18" spans="1:17" ht="15" customHeight="1">
      <c r="A18" s="941"/>
      <c r="C18" s="1054">
        <v>473</v>
      </c>
      <c r="D18" s="1056"/>
      <c r="E18" s="1056"/>
      <c r="F18" s="1049">
        <v>473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103.827</v>
      </c>
      <c r="N19" s="1059"/>
    </row>
    <row r="20" spans="1:17" ht="17.25" customHeight="1">
      <c r="A20" s="955">
        <f>Billy_Sheet!G15</f>
        <v>236.78200000000001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148.762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161.054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1040</v>
      </c>
      <c r="L26" s="933" t="s">
        <v>692</v>
      </c>
      <c r="M26" s="955">
        <f>NSG_Deliveries!C6/1000</f>
        <v>174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680.00999999999988</v>
      </c>
      <c r="L28" s="936" t="s">
        <v>746</v>
      </c>
      <c r="M28" s="961">
        <f>SUM(J2+K17+K19+H11+H9-M26)</f>
        <v>-10.173000000000002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36958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358.108</v>
      </c>
    </row>
    <row r="30" spans="1:17" ht="10.5" customHeight="1">
      <c r="A30" s="938"/>
      <c r="B30" s="955"/>
      <c r="C30" s="936"/>
      <c r="D30" s="955"/>
      <c r="F30" s="1114">
        <f>PGL_Requirements!A8</f>
        <v>36959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-1.8820000000000618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495</v>
      </c>
      <c r="F38" s="1054">
        <v>693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930.00999999999988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680.00999999999988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300</v>
      </c>
      <c r="E45" s="1069"/>
      <c r="F45" s="1070">
        <v>6.7000000000000004E-2</v>
      </c>
      <c r="G45" s="1071">
        <f>(C45-D45)*F45</f>
        <v>-9.7149999999999999</v>
      </c>
      <c r="H45" s="1071">
        <f>(D45-B45)*F45</f>
        <v>18.760000000000002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583</v>
      </c>
      <c r="E46" s="1069"/>
      <c r="F46" s="1070">
        <v>0.13900000000000001</v>
      </c>
      <c r="G46" s="1071">
        <f>(C46-D46)*F46</f>
        <v>-59.492000000000004</v>
      </c>
      <c r="H46" s="1071">
        <f>(D46-B46)*F46</f>
        <v>78.257000000000005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311</v>
      </c>
      <c r="E47" s="1069"/>
      <c r="F47" s="1070">
        <v>0.14099999999999999</v>
      </c>
      <c r="G47" s="1071">
        <f>(C47-D47)*F47</f>
        <v>26.648999999999997</v>
      </c>
      <c r="H47" s="1071">
        <f>(D47-B47)*F47</f>
        <v>8.6009999999999991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484</v>
      </c>
      <c r="E48" s="1069"/>
      <c r="F48" s="1070">
        <v>0.161</v>
      </c>
      <c r="G48" s="1071">
        <f>(C48-D48)*F48</f>
        <v>50.876000000000005</v>
      </c>
      <c r="H48" s="1071">
        <f>(D48-B48)*F48</f>
        <v>13.524000000000001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8.3179999999999978</v>
      </c>
      <c r="H49" s="1071">
        <f>SUM(H45:H48)</f>
        <v>119.14200000000001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36958</v>
      </c>
      <c r="B5" s="11">
        <v>34</v>
      </c>
      <c r="C5" s="49">
        <v>26</v>
      </c>
      <c r="D5" s="49">
        <v>12</v>
      </c>
      <c r="E5" s="11" t="s">
        <v>787</v>
      </c>
      <c r="F5" s="11">
        <v>273</v>
      </c>
      <c r="G5" s="11">
        <v>5358</v>
      </c>
      <c r="H5" s="11">
        <v>34</v>
      </c>
      <c r="I5" s="912" t="s">
        <v>794</v>
      </c>
      <c r="J5" s="1194" t="s">
        <v>795</v>
      </c>
      <c r="K5" s="11">
        <v>3</v>
      </c>
      <c r="L5" s="11">
        <v>1</v>
      </c>
      <c r="N5" s="15" t="str">
        <f>I5&amp;" "&amp;I5</f>
        <v xml:space="preserve">MOSTLY CLOUDY… WITH A CHANCE OF SNOW FLURRIES IN THE MORNING. HIGH IN  MOSTLY CLOUDY… WITH A CHANCE OF SNOW FLURRIES IN THE MORNING. HIGH IN </v>
      </c>
      <c r="AE5" s="15">
        <v>1</v>
      </c>
      <c r="AH5" s="15" t="s">
        <v>34</v>
      </c>
    </row>
    <row r="6" spans="1:34" ht="16.5" customHeight="1">
      <c r="A6" s="88">
        <f>A5+1</f>
        <v>36959</v>
      </c>
      <c r="B6" s="11">
        <v>39</v>
      </c>
      <c r="C6" s="49">
        <v>23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12" t="s">
        <v>796</v>
      </c>
      <c r="J6" s="912" t="s">
        <v>797</v>
      </c>
      <c r="K6" s="11">
        <v>4</v>
      </c>
      <c r="L6" s="11" t="s">
        <v>634</v>
      </c>
      <c r="N6" s="15" t="str">
        <f>I6&amp;" "&amp;J6</f>
        <v>CLOUDY AND COLD . HIGHS IN THE MIDDLE 30S. AND COLDER AT NIGHT .. LOWS IN  THE MIDDLE 20S.</v>
      </c>
      <c r="AE6" s="15">
        <v>1</v>
      </c>
      <c r="AH6" s="15" t="s">
        <v>35</v>
      </c>
    </row>
    <row r="7" spans="1:34" ht="16.5" customHeight="1">
      <c r="A7" s="88">
        <f>A6+1</f>
        <v>36960</v>
      </c>
      <c r="B7" s="11">
        <v>45</v>
      </c>
      <c r="C7" s="49">
        <v>33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2" t="s">
        <v>798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CLOUDY WITH HIGHS IN THE LOW 40S.  </v>
      </c>
    </row>
    <row r="8" spans="1:34" ht="16.5" customHeight="1">
      <c r="A8" s="88">
        <f>A7+1</f>
        <v>36961</v>
      </c>
      <c r="B8" s="11">
        <v>45</v>
      </c>
      <c r="C8" s="49">
        <v>34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800</v>
      </c>
      <c r="K8" s="11">
        <v>2</v>
      </c>
      <c r="L8" s="11">
        <v>0</v>
      </c>
      <c r="N8" s="15" t="str">
        <f>I8&amp;" "&amp;J8</f>
        <v>CLOUDY WITH A CHANE OF RAIN EARLY. LOW IN THE MIDDLE 30S. HIGH IN THE  LOW 40S.</v>
      </c>
    </row>
    <row r="9" spans="1:34" ht="16.5" customHeight="1">
      <c r="A9" s="88">
        <f>A8+1</f>
        <v>36962</v>
      </c>
      <c r="B9" s="11">
        <v>48</v>
      </c>
      <c r="C9" s="49">
        <v>33</v>
      </c>
      <c r="D9" s="49">
        <v>14</v>
      </c>
      <c r="E9" s="11" t="s">
        <v>11</v>
      </c>
      <c r="F9" s="11" t="s">
        <v>11</v>
      </c>
      <c r="G9" s="11"/>
      <c r="H9" s="11" t="s">
        <v>11</v>
      </c>
      <c r="I9" s="1194" t="s">
        <v>801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  A  CHANCE  OF   RAIN  HIGH IN THE MIDDLE 40S. LOW IN THE MIDDLE 30S AT NIGHT.  </v>
      </c>
    </row>
    <row r="10" spans="1:34" ht="16.5" customHeight="1">
      <c r="A10" s="88">
        <f>A9+1</f>
        <v>36963</v>
      </c>
      <c r="B10" s="11">
        <v>48</v>
      </c>
      <c r="C10" s="49">
        <v>33</v>
      </c>
      <c r="D10" s="49">
        <v>14</v>
      </c>
      <c r="E10" s="11" t="s">
        <v>11</v>
      </c>
      <c r="F10" s="11" t="s">
        <v>11</v>
      </c>
      <c r="G10" s="11"/>
      <c r="H10" s="11" t="s">
        <v>11</v>
      </c>
      <c r="I10" s="1194" t="s">
        <v>801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36958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324.56799999999998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324.56799999999998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55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20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146.643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111.199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10.97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265.88900000000001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267.22999999999996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219.327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26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36958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103.657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104.63499999999999</v>
      </c>
      <c r="C27" s="148"/>
      <c r="D27" s="241" t="s">
        <v>355</v>
      </c>
      <c r="E27" s="221">
        <f>SUM(E18:E26)-SUM(F18:F26)</f>
        <v>50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6" workbookViewId="0">
      <selection activeCell="B6" sqref="B6:S6"/>
    </sheetView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36958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304687</v>
      </c>
      <c r="O6" s="204">
        <v>0</v>
      </c>
      <c r="P6" s="204">
        <v>34138113</v>
      </c>
      <c r="Q6" s="204">
        <v>15045098</v>
      </c>
      <c r="R6" s="204">
        <v>19093015</v>
      </c>
      <c r="S6" s="204">
        <v>0</v>
      </c>
    </row>
    <row r="7" spans="1:19">
      <c r="A7" s="4">
        <f>B1</f>
        <v>36958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381342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34519455</v>
      </c>
      <c r="Q7">
        <f>IF(O7&gt;0,Q6+O7,Q6)</f>
        <v>15045098</v>
      </c>
      <c r="R7">
        <f>IF(P7&gt;Q7,P7-Q7,0)</f>
        <v>19474357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36958</v>
      </c>
      <c r="B5" s="1">
        <f>(Weather_Input!B5+Weather_Input!C5)/2</f>
        <v>30</v>
      </c>
      <c r="C5" s="913">
        <v>1050000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36959</v>
      </c>
      <c r="B6" s="1">
        <f>(Weather_Input!B6+Weather_Input!C6)/2</f>
        <v>31</v>
      </c>
      <c r="C6" s="913">
        <v>1040000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36960</v>
      </c>
      <c r="B7" s="932">
        <f>(Weather_Input!B7+Weather_Input!C7)/2</f>
        <v>39</v>
      </c>
      <c r="C7" s="913">
        <v>900000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36961</v>
      </c>
      <c r="B8" s="932">
        <f>(Weather_Input!B8+Weather_Input!C8)/2</f>
        <v>39.5</v>
      </c>
      <c r="C8" s="913">
        <v>875000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36962</v>
      </c>
      <c r="B9" s="932">
        <f>(Weather_Input!B9+Weather_Input!C9)/2</f>
        <v>40.5</v>
      </c>
      <c r="C9" s="913">
        <v>860000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36963</v>
      </c>
      <c r="B10" s="932">
        <f>(Weather_Input!B10+Weather_Input!C10)/2</f>
        <v>40.5</v>
      </c>
      <c r="C10" s="913">
        <v>855000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36958</v>
      </c>
      <c r="B5" s="1">
        <f>(Weather_Input!B5+Weather_Input!C5)/2</f>
        <v>30</v>
      </c>
      <c r="C5" s="913">
        <v>178000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36959</v>
      </c>
      <c r="B6" s="1">
        <f>(Weather_Input!B6+Weather_Input!C6)/2</f>
        <v>31</v>
      </c>
      <c r="C6" s="913">
        <v>174000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36960</v>
      </c>
      <c r="B7" s="932">
        <f>(Weather_Input!B7+Weather_Input!C7)/2</f>
        <v>39</v>
      </c>
      <c r="C7" s="913">
        <v>145000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36961</v>
      </c>
      <c r="B8" s="932">
        <f>(Weather_Input!B8+Weather_Input!C8)/2</f>
        <v>39.5</v>
      </c>
      <c r="C8" s="913">
        <v>142000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36962</v>
      </c>
      <c r="B9" s="932">
        <f>(Weather_Input!B9+Weather_Input!C9)/2</f>
        <v>40.5</v>
      </c>
      <c r="C9" s="913">
        <v>139000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36963</v>
      </c>
      <c r="B10" s="932">
        <f>(Weather_Input!B10+Weather_Input!C10)/2</f>
        <v>40.5</v>
      </c>
      <c r="C10" s="913">
        <v>137000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H1" zoomScale="75" workbookViewId="0">
      <selection activeCell="O7" sqref="O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36958</v>
      </c>
      <c r="B7" s="922">
        <v>0</v>
      </c>
      <c r="C7" s="923">
        <v>0</v>
      </c>
      <c r="D7" s="626">
        <v>0</v>
      </c>
      <c r="E7" s="626">
        <v>0</v>
      </c>
      <c r="F7" s="922">
        <v>0</v>
      </c>
      <c r="G7" s="922">
        <v>40000</v>
      </c>
      <c r="H7" s="924">
        <v>0</v>
      </c>
      <c r="I7" s="625">
        <v>5000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10970</v>
      </c>
      <c r="P7" s="626">
        <v>0</v>
      </c>
      <c r="Q7" s="628">
        <f t="shared" ref="Q7:Q12" si="0">P7*0.015</f>
        <v>0</v>
      </c>
      <c r="R7" s="626">
        <v>660</v>
      </c>
      <c r="S7" s="626">
        <v>0</v>
      </c>
      <c r="T7" s="626">
        <v>0</v>
      </c>
      <c r="U7" s="625">
        <v>20000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36958</v>
      </c>
    </row>
    <row r="8" spans="1:89" s="1" customFormat="1" ht="13.2">
      <c r="A8" s="834">
        <f>A7+1</f>
        <v>36959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36959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36960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36960</v>
      </c>
      <c r="AN9" s="625"/>
    </row>
    <row r="10" spans="1:89" s="1" customFormat="1" ht="13.2">
      <c r="A10" s="834">
        <f>A9+1</f>
        <v>36961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36961</v>
      </c>
    </row>
    <row r="11" spans="1:89" s="1" customFormat="1" ht="13.2">
      <c r="A11" s="834">
        <f>A10+1</f>
        <v>36962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36962</v>
      </c>
    </row>
    <row r="12" spans="1:89" s="1" customFormat="1" ht="13.2">
      <c r="A12" s="834">
        <f>A11+1</f>
        <v>36963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B7" sqref="B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36958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1000</v>
      </c>
      <c r="I7" s="626">
        <v>3000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309831</v>
      </c>
      <c r="W7" s="627">
        <v>0</v>
      </c>
      <c r="X7" s="625">
        <v>0</v>
      </c>
      <c r="Y7" s="925">
        <v>324568</v>
      </c>
      <c r="Z7" s="627">
        <v>55000</v>
      </c>
      <c r="AA7" s="1">
        <v>146643</v>
      </c>
      <c r="AB7" s="625">
        <v>219327</v>
      </c>
      <c r="AC7" s="625">
        <v>265889</v>
      </c>
      <c r="AD7" s="625">
        <v>111199</v>
      </c>
      <c r="AE7" s="925">
        <v>0</v>
      </c>
      <c r="AF7" s="51">
        <f>Weather_Input!A5</f>
        <v>36958</v>
      </c>
      <c r="AI7" s="625"/>
      <c r="AJ7" s="625"/>
      <c r="AK7" s="625"/>
    </row>
    <row r="8" spans="1:37">
      <c r="A8" s="834">
        <f>A7+1</f>
        <v>36959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302146</v>
      </c>
      <c r="W8" s="627">
        <v>0</v>
      </c>
      <c r="X8" s="625">
        <v>0</v>
      </c>
      <c r="Y8" s="925">
        <v>324412</v>
      </c>
      <c r="Z8" s="627">
        <v>55000</v>
      </c>
      <c r="AA8" s="1">
        <v>148762</v>
      </c>
      <c r="AB8" s="625">
        <v>236782</v>
      </c>
      <c r="AC8" s="625">
        <v>358108</v>
      </c>
      <c r="AD8" s="625">
        <v>161054</v>
      </c>
      <c r="AE8" s="925">
        <v>0</v>
      </c>
      <c r="AF8" s="834">
        <f>AF7+1</f>
        <v>36959</v>
      </c>
      <c r="AI8" s="625"/>
      <c r="AJ8" s="625"/>
      <c r="AK8" s="625"/>
    </row>
    <row r="9" spans="1:37" s="625" customFormat="1">
      <c r="A9" s="834">
        <f>A8+1</f>
        <v>36960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302146</v>
      </c>
      <c r="W9" s="627">
        <v>0</v>
      </c>
      <c r="X9" s="625">
        <v>0</v>
      </c>
      <c r="Y9" s="925">
        <v>324412</v>
      </c>
      <c r="Z9" s="627">
        <v>55000</v>
      </c>
      <c r="AA9" s="1">
        <v>148762</v>
      </c>
      <c r="AB9" s="625">
        <v>236782</v>
      </c>
      <c r="AC9" s="625">
        <v>358108</v>
      </c>
      <c r="AD9" s="625">
        <v>161054</v>
      </c>
      <c r="AE9" s="925">
        <v>0</v>
      </c>
      <c r="AF9" s="834">
        <f>AF8+1</f>
        <v>36960</v>
      </c>
    </row>
    <row r="10" spans="1:37">
      <c r="A10" s="834">
        <f>A9+1</f>
        <v>36961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302146</v>
      </c>
      <c r="W10" s="627">
        <v>0</v>
      </c>
      <c r="X10" s="625">
        <v>0</v>
      </c>
      <c r="Y10" s="925">
        <v>324412</v>
      </c>
      <c r="Z10" s="627">
        <v>55000</v>
      </c>
      <c r="AA10" s="1">
        <v>148762</v>
      </c>
      <c r="AB10" s="625">
        <v>236782</v>
      </c>
      <c r="AC10" s="625">
        <v>358108</v>
      </c>
      <c r="AD10" s="625">
        <v>161054</v>
      </c>
      <c r="AE10" s="925">
        <v>0</v>
      </c>
      <c r="AF10" s="834">
        <f>AF9+1</f>
        <v>36961</v>
      </c>
      <c r="AI10" s="625"/>
      <c r="AJ10" s="625"/>
      <c r="AK10" s="625"/>
    </row>
    <row r="11" spans="1:37">
      <c r="A11" s="834">
        <f>A10+1</f>
        <v>36962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302146</v>
      </c>
      <c r="W11" s="627">
        <v>0</v>
      </c>
      <c r="X11" s="625">
        <v>0</v>
      </c>
      <c r="Y11" s="925">
        <v>324412</v>
      </c>
      <c r="Z11" s="627">
        <v>55000</v>
      </c>
      <c r="AA11" s="1">
        <v>148762</v>
      </c>
      <c r="AB11" s="625">
        <v>236782</v>
      </c>
      <c r="AC11" s="625">
        <v>358108</v>
      </c>
      <c r="AD11" s="625">
        <v>161054</v>
      </c>
      <c r="AE11" s="925">
        <v>0</v>
      </c>
      <c r="AF11" s="834">
        <f>AF10+1</f>
        <v>36962</v>
      </c>
    </row>
    <row r="12" spans="1:37">
      <c r="A12" s="834">
        <f>A11+1</f>
        <v>36963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302146</v>
      </c>
      <c r="W12" s="627">
        <v>0</v>
      </c>
      <c r="X12" s="625">
        <v>0</v>
      </c>
      <c r="Y12" s="925">
        <v>324412</v>
      </c>
      <c r="Z12" s="627">
        <v>55000</v>
      </c>
      <c r="AA12" s="1">
        <v>148762</v>
      </c>
      <c r="AB12" s="625">
        <v>236782</v>
      </c>
      <c r="AC12" s="625">
        <v>358108</v>
      </c>
      <c r="AD12" s="625">
        <v>161054</v>
      </c>
      <c r="AE12" s="925">
        <v>0</v>
      </c>
      <c r="AF12" s="834">
        <f>AF11+1</f>
        <v>36963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7" sqref="H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36958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36958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36959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36959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36960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36960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36961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36961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36962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36962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36963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36963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7" sqref="F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36958</v>
      </c>
      <c r="B7" s="628">
        <v>0</v>
      </c>
      <c r="C7" s="629">
        <v>0</v>
      </c>
      <c r="D7" s="628">
        <v>0</v>
      </c>
      <c r="E7" s="628">
        <v>0</v>
      </c>
      <c r="F7" s="628">
        <v>4340</v>
      </c>
      <c r="G7" s="628">
        <f>(R7+S7+C7+PGL_Requirements!Y7+PGL_Requirements!Z7-NSG_Requirements!C7)*0.05</f>
        <v>6865.25</v>
      </c>
      <c r="H7" s="629">
        <v>0</v>
      </c>
      <c r="I7" s="628">
        <v>0</v>
      </c>
      <c r="J7" s="628">
        <v>0</v>
      </c>
      <c r="K7" s="628">
        <v>0</v>
      </c>
      <c r="L7" s="628">
        <v>50000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103657</v>
      </c>
      <c r="S7" s="628">
        <v>33648</v>
      </c>
      <c r="T7" s="628">
        <v>0</v>
      </c>
      <c r="U7" s="628">
        <v>0</v>
      </c>
      <c r="V7" s="834">
        <f>Weather_Input!A5</f>
        <v>36958</v>
      </c>
      <c r="W7" s="625"/>
      <c r="X7" s="625"/>
    </row>
    <row r="8" spans="1:24">
      <c r="A8" s="834">
        <f>A7+1</f>
        <v>36959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6882.25</v>
      </c>
      <c r="H8" s="629">
        <v>0</v>
      </c>
      <c r="I8" s="628">
        <v>0</v>
      </c>
      <c r="J8" s="628">
        <v>0</v>
      </c>
      <c r="K8" s="628">
        <v>0</v>
      </c>
      <c r="L8" s="628">
        <v>40000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103827</v>
      </c>
      <c r="S8" s="628">
        <v>33818</v>
      </c>
      <c r="T8" s="628">
        <v>0</v>
      </c>
      <c r="U8" s="628">
        <v>0</v>
      </c>
      <c r="V8" s="834">
        <f>V7+1</f>
        <v>36959</v>
      </c>
      <c r="W8" s="625"/>
      <c r="X8" s="625"/>
    </row>
    <row r="9" spans="1:24">
      <c r="A9" s="834">
        <f>A8+1</f>
        <v>36960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6882.25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103827</v>
      </c>
      <c r="S9" s="628">
        <v>33818</v>
      </c>
      <c r="T9" s="628">
        <v>0</v>
      </c>
      <c r="U9" s="628">
        <v>0</v>
      </c>
      <c r="V9" s="834">
        <f>V8+1</f>
        <v>36960</v>
      </c>
      <c r="W9" s="625"/>
      <c r="X9" s="625"/>
    </row>
    <row r="10" spans="1:24">
      <c r="A10" s="834">
        <f>A9+1</f>
        <v>36961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6882.25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103827</v>
      </c>
      <c r="S10" s="628">
        <v>33818</v>
      </c>
      <c r="T10" s="628">
        <v>0</v>
      </c>
      <c r="U10" s="628">
        <v>0</v>
      </c>
      <c r="V10" s="834">
        <f>V9+1</f>
        <v>36961</v>
      </c>
      <c r="W10" s="625"/>
      <c r="X10" s="625"/>
    </row>
    <row r="11" spans="1:24">
      <c r="A11" s="834">
        <f>A10+1</f>
        <v>36962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6882.25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103827</v>
      </c>
      <c r="S11" s="628">
        <v>33818</v>
      </c>
      <c r="T11" s="628">
        <v>0</v>
      </c>
      <c r="U11" s="628">
        <v>0</v>
      </c>
      <c r="V11" s="834">
        <f>V10+1</f>
        <v>36962</v>
      </c>
      <c r="W11" s="625"/>
      <c r="X11" s="625"/>
    </row>
    <row r="12" spans="1:24">
      <c r="A12" s="834">
        <f>A11+1</f>
        <v>36963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6882.25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103827</v>
      </c>
      <c r="S12" s="628">
        <v>33818</v>
      </c>
      <c r="T12" s="628">
        <v>0</v>
      </c>
      <c r="U12" s="628">
        <v>0</v>
      </c>
      <c r="V12" s="834">
        <f>V11+1</f>
        <v>36963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THU</v>
      </c>
      <c r="I1" s="839">
        <f>D4</f>
        <v>36958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THU</v>
      </c>
      <c r="E3" s="844" t="str">
        <f t="shared" si="0"/>
        <v>FRI</v>
      </c>
      <c r="F3" s="844" t="str">
        <f t="shared" si="0"/>
        <v>SAT</v>
      </c>
      <c r="G3" s="844" t="str">
        <f t="shared" si="0"/>
        <v>SUN</v>
      </c>
      <c r="H3" s="844" t="str">
        <f t="shared" si="0"/>
        <v>MON</v>
      </c>
      <c r="I3" s="845" t="str">
        <f t="shared" si="0"/>
        <v>TUE</v>
      </c>
    </row>
    <row r="4" spans="1:256" ht="16.2" thickBot="1">
      <c r="A4" s="846"/>
      <c r="B4" s="847"/>
      <c r="C4" s="847"/>
      <c r="D4" s="466">
        <f>Weather_Input!A5</f>
        <v>36958</v>
      </c>
      <c r="E4" s="466">
        <f>Weather_Input!A6</f>
        <v>36959</v>
      </c>
      <c r="F4" s="466">
        <f>Weather_Input!A7</f>
        <v>36960</v>
      </c>
      <c r="G4" s="466">
        <f>Weather_Input!A8</f>
        <v>36961</v>
      </c>
      <c r="H4" s="466">
        <f>Weather_Input!A9</f>
        <v>36962</v>
      </c>
      <c r="I4" s="467">
        <f>Weather_Input!A10</f>
        <v>36963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34/26/30</v>
      </c>
      <c r="E5" s="468" t="str">
        <f>TEXT(Weather_Input!B6,"0")&amp;"/"&amp;TEXT(Weather_Input!C6,"0") &amp; "/" &amp; TEXT((Weather_Input!B6+Weather_Input!C6)/2,"0")</f>
        <v>39/23/31</v>
      </c>
      <c r="F5" s="468" t="str">
        <f>TEXT(Weather_Input!B7,"0")&amp;"/"&amp;TEXT(Weather_Input!C7,"0") &amp; "/" &amp; TEXT((Weather_Input!B7+Weather_Input!C7)/2,"0")</f>
        <v>45/33/39</v>
      </c>
      <c r="G5" s="468" t="str">
        <f>TEXT(Weather_Input!B8,"0")&amp;"/"&amp;TEXT(Weather_Input!C8,"0") &amp; "/" &amp; TEXT((Weather_Input!B8+Weather_Input!C8)/2,"0")</f>
        <v>45/34/40</v>
      </c>
      <c r="H5" s="468" t="str">
        <f>TEXT(Weather_Input!B9,"0")&amp;"/"&amp;TEXT(Weather_Input!C9,"0") &amp; "/" &amp; TEXT((Weather_Input!B9+Weather_Input!C9)/2,"0")</f>
        <v>48/33/41</v>
      </c>
      <c r="I5" s="469" t="str">
        <f>TEXT(Weather_Input!B10,"0")&amp;"/"&amp;TEXT(Weather_Input!C10,"0") &amp; "/" &amp; TEXT((Weather_Input!B10+Weather_Input!C10)/2,"0")</f>
        <v>48/33/41</v>
      </c>
    </row>
    <row r="6" spans="1:256">
      <c r="A6" s="853" t="s">
        <v>139</v>
      </c>
      <c r="B6" s="841"/>
      <c r="C6" s="841"/>
      <c r="D6" s="468">
        <f>PGL_Deliveries!C5/1000</f>
        <v>1050</v>
      </c>
      <c r="E6" s="468">
        <f>PGL_Deliveries!C6/1000</f>
        <v>1040</v>
      </c>
      <c r="F6" s="468">
        <f>PGL_Deliveries!C7/1000</f>
        <v>900</v>
      </c>
      <c r="G6" s="468">
        <f>PGL_Deliveries!C8/1000</f>
        <v>875</v>
      </c>
      <c r="H6" s="468">
        <f>PGL_Deliveries!C9/1000</f>
        <v>860</v>
      </c>
      <c r="I6" s="469">
        <f>PGL_Deliveries!C10/1000</f>
        <v>855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5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20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10.97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40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1126.6300000000001</v>
      </c>
      <c r="E30" s="472">
        <f t="shared" si="1"/>
        <v>1294.4100000000001</v>
      </c>
      <c r="F30" s="472">
        <f t="shared" si="1"/>
        <v>1154.4100000000001</v>
      </c>
      <c r="G30" s="472">
        <f t="shared" si="1"/>
        <v>1129.4100000000001</v>
      </c>
      <c r="H30" s="472">
        <f t="shared" si="1"/>
        <v>1114.4100000000001</v>
      </c>
      <c r="I30" s="1177">
        <f t="shared" si="1"/>
        <v>1109.4100000000001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324.56799999999998</v>
      </c>
      <c r="E47" s="468">
        <f>PGL_Supplies!Y8/1000</f>
        <v>324.41199999999998</v>
      </c>
      <c r="F47" s="468">
        <f>PGL_Supplies!Y9/1000</f>
        <v>324.41199999999998</v>
      </c>
      <c r="G47" s="468">
        <f>PGL_Supplies!Y10/1000</f>
        <v>324.41199999999998</v>
      </c>
      <c r="H47" s="468">
        <f>PGL_Supplies!Y11/1000</f>
        <v>324.41199999999998</v>
      </c>
      <c r="I47" s="469">
        <f>PGL_Supplies!Y12/1000</f>
        <v>324.41199999999998</v>
      </c>
    </row>
    <row r="48" spans="1:9">
      <c r="A48" s="853"/>
      <c r="B48" s="841" t="s">
        <v>143</v>
      </c>
      <c r="C48" s="854"/>
      <c r="D48" s="468">
        <f>PGL_Supplies!Z7/1000</f>
        <v>55</v>
      </c>
      <c r="E48" s="468">
        <f>PGL_Supplies!Z8/1000</f>
        <v>55</v>
      </c>
      <c r="F48" s="468">
        <f>PGL_Supplies!Z9/1000</f>
        <v>55</v>
      </c>
      <c r="G48" s="468">
        <f>PGL_Supplies!Z10/1000</f>
        <v>55</v>
      </c>
      <c r="H48" s="468">
        <f>PGL_Supplies!Z11/1000</f>
        <v>55</v>
      </c>
      <c r="I48" s="469">
        <f>PGL_Supplies!Z12/1000</f>
        <v>55</v>
      </c>
    </row>
    <row r="49" spans="1:10">
      <c r="A49" s="853"/>
      <c r="B49" s="841" t="s">
        <v>147</v>
      </c>
      <c r="C49" s="854"/>
      <c r="D49" s="468">
        <f>PGL_Supplies!AA7/1000</f>
        <v>146.643</v>
      </c>
      <c r="E49" s="468">
        <f>PGL_Supplies!AA8/1000</f>
        <v>148.762</v>
      </c>
      <c r="F49" s="468">
        <f>PGL_Supplies!AA9/1000</f>
        <v>148.762</v>
      </c>
      <c r="G49" s="468">
        <f>PGL_Supplies!AA10/1000</f>
        <v>148.762</v>
      </c>
      <c r="H49" s="468">
        <f>PGL_Supplies!AA11/1000</f>
        <v>148.762</v>
      </c>
      <c r="I49" s="469">
        <f>PGL_Supplies!AA12/1000</f>
        <v>148.762</v>
      </c>
    </row>
    <row r="50" spans="1:10">
      <c r="A50" s="853"/>
      <c r="B50" s="841" t="s">
        <v>421</v>
      </c>
      <c r="C50" s="854"/>
      <c r="D50" s="468">
        <f>PGL_Supplies!AB7/1000</f>
        <v>219.327</v>
      </c>
      <c r="E50" s="468">
        <f>PGL_Supplies!AB8/1000</f>
        <v>236.78200000000001</v>
      </c>
      <c r="F50" s="468">
        <f>PGL_Supplies!AB9/1000</f>
        <v>236.78200000000001</v>
      </c>
      <c r="G50" s="468">
        <f>PGL_Supplies!AB10/1000</f>
        <v>236.78200000000001</v>
      </c>
      <c r="H50" s="468">
        <f>PGL_Supplies!AB11/1000</f>
        <v>236.78200000000001</v>
      </c>
      <c r="I50" s="469">
        <f>PGL_Supplies!AB12/1000</f>
        <v>236.78200000000001</v>
      </c>
    </row>
    <row r="51" spans="1:10">
      <c r="A51" s="853"/>
      <c r="B51" s="841" t="s">
        <v>141</v>
      </c>
      <c r="C51" s="841"/>
      <c r="D51" s="468">
        <f>PGL_Supplies!AC7/1000</f>
        <v>265.88900000000001</v>
      </c>
      <c r="E51" s="468">
        <f>PGL_Supplies!AC8/1000</f>
        <v>358.108</v>
      </c>
      <c r="F51" s="468">
        <f>PGL_Supplies!AC9/1000</f>
        <v>358.108</v>
      </c>
      <c r="G51" s="468">
        <f>PGL_Supplies!AC10/1000</f>
        <v>358.108</v>
      </c>
      <c r="H51" s="468">
        <f>PGL_Supplies!AC11/1000</f>
        <v>358.108</v>
      </c>
      <c r="I51" s="469">
        <f>PGL_Supplies!AC12/1000</f>
        <v>358.108</v>
      </c>
    </row>
    <row r="52" spans="1:10">
      <c r="A52" s="853"/>
      <c r="B52" s="841" t="s">
        <v>142</v>
      </c>
      <c r="C52" s="841"/>
      <c r="D52" s="468">
        <f>PGL_Supplies!AD7/1000</f>
        <v>111.199</v>
      </c>
      <c r="E52" s="468">
        <f>PGL_Supplies!AD8/1000</f>
        <v>161.054</v>
      </c>
      <c r="F52" s="468">
        <f>PGL_Supplies!AD9/1000</f>
        <v>161.054</v>
      </c>
      <c r="G52" s="468">
        <f>PGL_Supplies!AD10/1000</f>
        <v>161.054</v>
      </c>
      <c r="H52" s="468">
        <f>PGL_Supplies!AD11/1000</f>
        <v>161.054</v>
      </c>
      <c r="I52" s="469">
        <f>PGL_Supplies!AD12/1000</f>
        <v>161.054</v>
      </c>
    </row>
    <row r="53" spans="1:10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1126.626</v>
      </c>
      <c r="E61" s="478">
        <f t="shared" si="2"/>
        <v>1288.1180000000002</v>
      </c>
      <c r="F61" s="478">
        <f t="shared" si="2"/>
        <v>1288.1180000000002</v>
      </c>
      <c r="G61" s="478">
        <f t="shared" si="2"/>
        <v>1288.1180000000002</v>
      </c>
      <c r="H61" s="478">
        <f t="shared" si="2"/>
        <v>1288.1180000000002</v>
      </c>
      <c r="I61" s="1179">
        <f t="shared" si="2"/>
        <v>1288.1180000000002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133.70800000000008</v>
      </c>
      <c r="G62" s="479">
        <f t="shared" si="3"/>
        <v>158.70800000000008</v>
      </c>
      <c r="H62" s="479">
        <f t="shared" si="3"/>
        <v>173.70800000000008</v>
      </c>
      <c r="I62" s="1180">
        <f t="shared" si="3"/>
        <v>178.70800000000008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4.0000000001327862E-3</v>
      </c>
      <c r="E63" s="480">
        <f t="shared" si="4"/>
        <v>6.2919999999999163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309.83100000000002</v>
      </c>
      <c r="E64" s="1170">
        <f>PGL_Supplies!V8/1000</f>
        <v>302.14600000000002</v>
      </c>
      <c r="F64" s="1170">
        <f>PGL_Supplies!V9/1000</f>
        <v>302.14600000000002</v>
      </c>
      <c r="G64" s="1170">
        <f>PGL_Supplies!V10/1000</f>
        <v>302.14600000000002</v>
      </c>
      <c r="H64" s="1170">
        <f>PGL_Supplies!V11/1000</f>
        <v>302.14600000000002</v>
      </c>
      <c r="I64" s="1171">
        <f>PGL_Supplies!V12/1000</f>
        <v>302.14600000000002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2001-03-09T10:26:02Z</cp:lastPrinted>
  <dcterms:created xsi:type="dcterms:W3CDTF">1997-07-16T16:14:22Z</dcterms:created>
  <dcterms:modified xsi:type="dcterms:W3CDTF">2023-09-10T11:13:58Z</dcterms:modified>
</cp:coreProperties>
</file>