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<sst xmlns="http://schemas.openxmlformats.org/spreadsheetml/2006/main" count="2149" uniqueCount="800">
  <si>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</si>
  <si>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</si>
  <si>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</si>
  <si>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</si>
  <si>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</si>
  <si>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</si>
  <si>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</si>
  <si>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</si>
  <si>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</si>
  <si>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</si>
  <si>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</si>
  <si>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</si>
  <si>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</si>
  <si>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</si>
  <si>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</si>
  <si>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</si>
  <si>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</si>
  <si>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</si>
  <si>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</si>
  <si>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</si>
  <si>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</si>
  <si>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</si>
  <si>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</si>
  <si>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</si>
  <si>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</si>
  <si>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</si>
  <si>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</si>
  <si>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</si>
  <si>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</si>
  <si>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</si>
  <si>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</si>
  <si>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</si>
  <si>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</si>
  <si>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</si>
  <si>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</si>
  <si>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</si>
  <si>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</si>
  <si>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</si>
  <si>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</si>
  <si>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</si>
  <si>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</si>
  <si>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</si>
  <si>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</si>
  <si>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</si>
  <si>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</si>
  <si>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</si>
  <si>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</si>
  <si>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</si>
  <si>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</si>
  <si>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</si>
  <si>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</si>
  <si>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</si>
  <si>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</si>
  <si>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</si>
  <si>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</si>
  <si>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</si>
  <si>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</si>
  <si>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</si>
  <si>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</si>
  <si>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</si>
  <si>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</si>
  <si>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</si>
  <si>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</si>
  <si>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</si>
  <si>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</si>
  <si>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</si>
  <si>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</si>
  <si>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</si>
  <si>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</si>
  <si>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</si>
  <si>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</si>
  <si>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</si>
  <si>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</si>
  <si>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</si>
  <si>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</si>
  <si>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</si>
  <si>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</si>
  <si>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</si>
  <si>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</si>
  <si>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</si>
  <si>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</si>
  <si>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</si>
  <si>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</si>
  <si>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</si>
  <si>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</si>
  <si>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</si>
  <si>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</si>
  <si>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</si>
  <si>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</si>
  <si>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</si>
  <si>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</si>
  <si>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</si>
  <si>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</si>
  <si>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</si>
  <si>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</si>
  <si>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</si>
  <si>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</si>
  <si>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</si>
  <si>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</si>
  <si>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</si>
  <si>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</si>
  <si>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</si>
  <si>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</si>
  <si>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</si>
  <si>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</si>
  <si>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</si>
  <si>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</si>
  <si>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</si>
  <si>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</si>
  <si>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</si>
  <si>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</si>
  <si>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</si>
  <si>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</si>
  <si>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</si>
  <si>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</si>
  <si>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</si>
  <si>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</si>
  <si>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</si>
  <si>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</si>
  <si>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</si>
  <si>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</si>
  <si>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</si>
  <si>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</si>
  <si>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</si>
  <si>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</si>
  <si>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</si>
  <si>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</si>
  <si>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</si>
  <si>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</si>
  <si>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</si>
  <si>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</si>
  <si>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</si>
  <si>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</si>
  <si>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</si>
  <si>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</si>
  <si>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</si>
  <si>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</si>
  <si>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</si>
  <si>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</si>
  <si>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</si>
  <si>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</si>
  <si>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</si>
  <si>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</si>
  <si>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</si>
  <si>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</si>
  <si>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</si>
  <si>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</si>
  <si>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</si>
  <si>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</si>
  <si>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</si>
  <si>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</si>
  <si>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</si>
  <si>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</si>
  <si>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</si>
  <si>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</si>
  <si>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</si>
  <si>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</si>
  <si>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</si>
  <si>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</si>
  <si>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</si>
  <si>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</si>
  <si>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</si>
  <si>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</si>
  <si>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</si>
  <si>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</si>
  <si>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</si>
  <si>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</si>
  <si>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</si>
  <si>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</si>
  <si>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</si>
  <si>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</si>
  <si>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</si>
  <si>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</si>
  <si>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</si>
  <si>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</si>
  <si>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</si>
  <si>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</si>
  <si>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</si>
  <si>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</si>
  <si>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</si>
  <si>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</si>
  <si>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</si>
  <si>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</si>
  <si>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</si>
  <si>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</si>
  <si>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</si>
  <si>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</si>
  <si>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</si>
  <si>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</si>
  <si>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</si>
  <si>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</si>
  <si>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</si>
  <si>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</si>
  <si>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</si>
  <si>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</si>
  <si>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</si>
  <si>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</si>
  <si>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</si>
  <si>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</si>
  <si>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</si>
  <si>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</si>
  <si>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</si>
  <si>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</si>
  <si>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</si>
  <si>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</si>
  <si>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</si>
  <si>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</si>
  <si>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</si>
  <si>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</si>
  <si>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</si>
  <si>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</si>
  <si>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</si>
  <si>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</si>
  <si>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</si>
  <si>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</si>
  <si>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</si>
  <si>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</si>
  <si>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</si>
  <si>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</si>
  <si>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</si>
  <si>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</si>
  <si>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</si>
  <si>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</si>
  <si>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</si>
  <si>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</si>
  <si>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</si>
  <si>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</si>
  <si>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</si>
  <si>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</si>
  <si>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</si>
  <si>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</si>
  <si>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</si>
  <si>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</si>
  <si>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</si>
  <si>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</si>
  <si>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</si>
  <si>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</si>
  <si>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</si>
  <si>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</si>
  <si>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</si>
  <si>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</si>
  <si>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</si>
  <si>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</si>
  <si>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</si>
  <si>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</si>
  <si>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</si>
  <si>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</si>
  <si>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</si>
  <si>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</si>
  <si>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</si>
  <si>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</si>
  <si>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</si>
  <si>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</si>
  <si>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</si>
  <si>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</si>
  <si>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</si>
  <si>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</si>
  <si>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</si>
  <si>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</si>
  <si>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</si>
  <si>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</si>
  <si>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</si>
  <si>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</si>
  <si>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</si>
  <si>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</si>
  <si>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</si>
  <si>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</si>
  <si>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</si>
  <si>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</si>
  <si>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</si>
  <si>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</si>
  <si>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</si>
  <si>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</si>
  <si>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</si>
  <si>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</si>
  <si>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</si>
  <si>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</si>
  <si>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</si>
  <si>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</si>
  <si>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</si>
  <si>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</si>
  <si>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</si>
  <si>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</si>
  <si>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</si>
  <si>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</si>
  <si>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</si>
  <si>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</si>
  <si>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</si>
  <si>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</si>
  <si>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</si>
  <si>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</si>
  <si>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</si>
  <si>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</si>
  <si>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</si>
  <si>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</si>
  <si>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</si>
  <si>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</si>
  <si>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</si>
  <si>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</si>
  <si>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</si>
  <si>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</si>
  <si>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</si>
  <si>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</si>
  <si>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</si>
  <si>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</si>
  <si>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</si>
  <si>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</si>
  <si>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</si>
  <si>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</si>
  <si>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</si>
  <si>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</si>
  <si>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</si>
  <si>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</si>
  <si>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</si>
  <si>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</si>
  <si>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</si>
  <si>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</si>
  <si>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</si>
  <si>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</si>
  <si>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</si>
  <si>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</si>
  <si>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</si>
  <si>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</si>
  <si>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</si>
  <si>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</si>
  <si>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</si>
  <si>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</si>
  <si>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</si>
  <si>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</si>
  <si>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</si>
  <si>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</si>
  <si>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</si>
  <si>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</si>
  <si>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</si>
  <si>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</si>
  <si>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</si>
  <si>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</si>
  <si>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</si>
  <si>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</si>
  <si>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</si>
  <si>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</si>
  <si>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</si>
  <si>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</si>
  <si>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</si>
  <si>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</si>
  <si>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</si>
  <si>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</si>
  <si>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</si>
  <si>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</si>
  <si>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</si>
  <si>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</si>
  <si>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</si>
  <si>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</si>
  <si>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</si>
  <si>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</si>
  <si>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</si>
  <si>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</si>
  <si>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</si>
  <si>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</si>
  <si>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</si>
  <si>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</si>
  <si>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</si>
  <si>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</si>
  <si>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</si>
  <si>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</si>
  <si>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</si>
  <si>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</si>
  <si>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</si>
  <si>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</si>
  <si>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</si>
  <si>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</si>
  <si>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</si>
  <si>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</si>
  <si>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</si>
  <si>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</si>
  <si>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</si>
  <si>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</si>
  <si>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</si>
  <si>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</si>
  <si>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</si>
  <si>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</si>
  <si>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</si>
  <si>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</si>
  <si>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</si>
  <si>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</si>
  <si>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</si>
  <si>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</si>
  <si>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</si>
  <si>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</si>
  <si>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</si>
  <si>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</si>
  <si>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</si>
  <si>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</si>
  <si>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</si>
  <si>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</si>
  <si>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</si>
  <si>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</si>
  <si>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</si>
  <si>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</si>
  <si>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</si>
  <si>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</si>
  <si>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</si>
  <si>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</si>
  <si>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</si>
  <si>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</si>
  <si>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</si>
  <si>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</si>
  <si>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</si>
  <si>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</si>
  <si>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</si>
  <si>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</si>
  <si>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</si>
  <si>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</si>
  <si>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</si>
  <si>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</si>
  <si>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</si>
  <si>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</si>
  <si>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</si>
  <si>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</si>
  <si>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</si>
  <si>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</si>
  <si>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</si>
  <si>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</si>
  <si>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</si>
  <si>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</si>
  <si>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</si>
  <si>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</si>
  <si>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</si>
  <si>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</si>
  <si>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</si>
  <si>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</si>
  <si>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</si>
  <si>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</si>
  <si>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</si>
  <si>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</si>
  <si>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</si>
  <si>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</si>
  <si>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</si>
  <si>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</si>
  <si>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</si>
  <si>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</si>
  <si>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</si>
  <si>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</si>
  <si>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</si>
  <si>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</si>
  <si>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</si>
  <si>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</si>
  <si>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</si>
  <si>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</si>
  <si>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</si>
  <si>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</si>
  <si>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</si>
  <si>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</si>
  <si>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</si>
  <si>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</si>
  <si>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</si>
  <si>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</si>
  <si>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</si>
  <si>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</si>
  <si>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</si>
  <si>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</si>
  <si>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</si>
  <si>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</si>
  <si>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</si>
  <si>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</si>
  <si>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</si>
  <si>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</si>
  <si>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</si>
  <si>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</si>
  <si>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</si>
  <si>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</si>
  <si>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</si>
  <si>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</si>
  <si>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</si>
  <si>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</si>
  <si>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</si>
  <si>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</si>
  <si>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</si>
  <si>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</si>
  <si>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</si>
  <si>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</si>
  <si>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</si>
  <si>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</si>
  <si>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</si>
  <si>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</si>
  <si>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</si>
  <si>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</si>
  <si>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</si>
  <si>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</si>
  <si>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</si>
  <si>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</si>
  <si>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</si>
  <si>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</si>
  <si>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</si>
  <si>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</si>
  <si>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</si>
  <si>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</si>
  <si>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</si>
  <si>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</si>
  <si>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</si>
  <si>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</si>
  <si>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</si>
  <si>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</si>
  <si>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</si>
  <si>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</si>
  <si>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</si>
  <si>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</si>
  <si>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</si>
  <si>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</si>
  <si>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</si>
  <si>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</si>
  <si>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</si>
  <si>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</si>
  <si>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</si>
  <si>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</si>
  <si>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</si>
  <si>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</si>
  <si>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</si>
  <si>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</si>
  <si>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</si>
  <si>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</si>
  <si>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</si>
  <si>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</si>
  <si>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</si>
  <si>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</si>
  <si>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</si>
  <si>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</si>
  <si>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</si>
  <si>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</si>
  <si>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</si>
  <si>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</si>
  <si>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</si>
  <si>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</si>
  <si>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</si>
  <si>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</si>
  <si>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</si>
  <si>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</si>
  <si>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</si>
  <si>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</si>
  <si>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</si>
  <si>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</si>
  <si>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</si>
  <si>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</si>
  <si>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</si>
  <si>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</si>
  <si>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</si>
  <si>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</si>
  <si>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</si>
  <si>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</si>
  <si>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</si>
  <si>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</si>
  <si>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</si>
  <si>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</si>
  <si>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</si>
  <si>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</si>
  <si>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</si>
  <si>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</si>
  <si>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</si>
  <si>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</si>
  <si>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</si>
  <si>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</si>
  <si>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</si>
  <si>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</si>
  <si>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</si>
  <si>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</si>
  <si>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</si>
  <si>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</si>
  <si>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</si>
  <si>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</si>
  <si>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</si>
  <si>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</si>
  <si>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</si>
  <si>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</si>
  <si>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</si>
  <si>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</si>
  <si>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</si>
  <si>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</si>
  <si>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</si>
  <si>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</si>
  <si>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</si>
  <si>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</si>
  <si>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</si>
  <si>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</si>
  <si>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</si>
  <si>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</si>
  <si>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</si>
  <si>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</si>
  <si>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</si>
  <si>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</si>
  <si>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</si>
  <si>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</si>
  <si>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</si>
  <si>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</si>
  <si>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</si>
  <si>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</si>
  <si>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</si>
  <si>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</si>
  <si>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</si>
  <si>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</si>
  <si>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</si>
  <si>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</si>
  <si>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</si>
  <si>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</si>
  <si>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</si>
  <si>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</si>
  <si>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</si>
  <si>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</si>
  <si>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</si>
  <si>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</si>
  <si>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</si>
  <si>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</si>
  <si>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</si>
  <si>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</si>
  <si>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</si>
  <si>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</si>
  <si>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</si>
  <si>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</si>
  <si>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</si>
  <si>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</si>
  <si>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</si>
  <si>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</si>
  <si>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</si>
  <si>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</si>
  <si>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</si>
  <si>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</si>
  <si>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</si>
  <si>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</si>
  <si>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</si>
  <si>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</si>
  <si>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</si>
  <si>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</si>
  <si>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</si>
  <si>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</si>
  <si>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</si>
  <si>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</si>
  <si>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</si>
  <si>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</si>
  <si>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</si>
  <si>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</si>
  <si>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</si>
  <si>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</si>
  <si>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</si>
  <si>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</si>
  <si>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</si>
  <si>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</si>
  <si>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</si>
  <si>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</si>
  <si>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</si>
  <si>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</si>
  <si>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</si>
  <si>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</si>
  <si>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</si>
  <si>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</si>
  <si>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</si>
  <si>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</si>
  <si>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</si>
  <si>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</si>
  <si>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</si>
  <si>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</si>
  <si>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</si>
  <si>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</si>
  <si>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</si>
  <si>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</si>
  <si>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</si>
  <si>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</si>
  <si>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</si>
  <si>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</si>
  <si>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</si>
  <si>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</si>
  <si>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</si>
  <si>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</si>
  <si>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</si>
  <si>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</si>
  <si>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</si>
  <si>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</si>
  <si>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</si>
  <si>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</si>
  <si>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</si>
  <si>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</si>
  <si>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</si>
  <si>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</si>
  <si>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</si>
  <si>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</si>
  <si>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</si>
  <si>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</si>
  <si>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</si>
  <si>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</si>
  <si>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</si>
  <si>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</si>
  <si>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</si>
  <si>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</si>
  <si>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</si>
  <si>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</si>
  <si>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</si>
  <si>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</si>
  <si>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</si>
  <si>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</si>
  <si>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</si>
  <si>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</si>
  <si>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</si>
  <si>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</si>
  <si>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</si>
  <si>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</si>
  <si>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</si>
  <si>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</si>
  <si>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</si>
  <si>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</si>
  <si>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</si>
  <si>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</si>
  <si>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</si>
  <si>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</si>
  <si>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</si>
  <si>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</si>
  <si>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</si>
  <si>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</si>
  <si>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</si>
  <si>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</si>
  <si>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</si>
  <si>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</si>
  <si>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</si>
  <si>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</si>
  <si>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</si>
  <si>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</si>
  <si>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</si>
  <si>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</si>
  <si>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</si>
  <si>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</si>
  <si>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</si>
  <si>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</si>
  <si>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</si>
  <si>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</si>
  <si>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</si>
  <si>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</si>
  <si>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</si>
  <si>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</si>
  <si>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</si>
  <si>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</si>
  <si>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</si>
  <si>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</si>
  <si>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</si>
  <si>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</si>
  <si>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</si>
  <si>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</si>
  <si>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</si>
  <si>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</si>
  <si>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</si>
  <si>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</si>
  <si>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</si>
  <si>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</si>
  <si>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</si>
  <si>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</si>
  <si>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</si>
  <si>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</si>
  <si>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</si>
  <si>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</si>
  <si>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</si>
  <si>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</si>
  <si>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</si>
  <si>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</si>
  <si>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</si>
  <si>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</si>
  <si>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</si>
  <si>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</si>
  <si>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</si>
  <si>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</si>
  <si>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</si>
  <si>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</si>
  <si>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</si>
  <si>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</si>
  <si>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</si>
  <si>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</si>
  <si>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</si>
  <si>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</si>
  <si>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</si>
  <si>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</si>
  <si>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</si>
  <si>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</si>
  <si>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</si>
  <si>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</si>
  <si>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</si>
  <si>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</si>
  <si>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</si>
  <si>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</si>
  <si>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</si>
  <si>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</si>
  <si>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</si>
  <si>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</si>
  <si>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N/A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</si>
  <si>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</si>
  <si>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</si>
  <si>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</si>
  <si>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</si>
  <si>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</si>
  <si>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</si>
  <si>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 xml:space="preserve">   PARTLY  CLOUDY</t>
  </si>
  <si>
    <t xml:space="preserve">   PARTLY   SUNNY</t>
  </si>
  <si>
    <t xml:space="preserve">   BECOMING CLOUDY.    WINDS NW 10 TO 15 MPH</t>
  </si>
  <si>
    <t xml:space="preserve">   CLOUDY... WITH  A   30%   CHANCE  OF  LIGHT  SNOW  OR FLURRIES.  </t>
  </si>
  <si>
    <t xml:space="preserve">  A  CHANCE  OF   RAIN   OR  SNOW</t>
  </si>
  <si>
    <t xml:space="preserve">  A  CHANCE  OF   RAIN  OR 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</si>
</sst>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5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quotePrefix="1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2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5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5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203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204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205" name="Day_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206" name="Day_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207" name="Day_5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8208" name="Day_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45720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026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33528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220980</xdr:rowOff>
    </xdr:from>
    <xdr:to>
      <xdr:col>2</xdr:col>
      <xdr:colOff>655320</xdr:colOff>
      <xdr:row>9</xdr:row>
      <xdr:rowOff>220980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23900" y="211074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33528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205740</xdr:colOff>
      <xdr:row>17</xdr:row>
      <xdr:rowOff>182880</xdr:rowOff>
    </xdr:from>
    <xdr:to>
      <xdr:col>5</xdr:col>
      <xdr:colOff>175260</xdr:colOff>
      <xdr:row>18</xdr:row>
      <xdr:rowOff>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07948828" flipH="1" flipV="1">
          <a:off x="2933700" y="4084320"/>
          <a:ext cx="762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99060</xdr:rowOff>
    </xdr:from>
    <xdr:to>
      <xdr:col>8</xdr:col>
      <xdr:colOff>739140</xdr:colOff>
      <xdr:row>10</xdr:row>
      <xdr:rowOff>114300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69180" y="1988820"/>
          <a:ext cx="739140" cy="24384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13" t="s">
        <v>638</v>
      </c>
      <c r="B1" s="813" t="s">
        <v>11</v>
      </c>
    </row>
    <row r="2" spans="1:88">
      <c r="A2" s="1113" t="s">
        <v>11</v>
      </c>
      <c r="B2" t="s">
        <v>11</v>
      </c>
    </row>
    <row r="3" spans="1:88" ht="15.6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792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>
      <selection sqref="A1:I42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WED</v>
      </c>
      <c r="I1" s="881">
        <f>D4</f>
        <v>36957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WED</v>
      </c>
      <c r="E3" s="844" t="str">
        <f t="shared" si="0"/>
        <v>THU</v>
      </c>
      <c r="F3" s="844" t="str">
        <f t="shared" si="0"/>
        <v>FRI</v>
      </c>
      <c r="G3" s="844" t="str">
        <f t="shared" si="0"/>
        <v>SAT</v>
      </c>
      <c r="H3" s="844" t="str">
        <f t="shared" si="0"/>
        <v>SUN</v>
      </c>
      <c r="I3" s="845" t="str">
        <f t="shared" si="0"/>
        <v>MON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36957</v>
      </c>
      <c r="E4" s="848">
        <f>Weather_Input!A6</f>
        <v>36958</v>
      </c>
      <c r="F4" s="848">
        <f>Weather_Input!A7</f>
        <v>36959</v>
      </c>
      <c r="G4" s="848">
        <f>Weather_Input!A8</f>
        <v>36960</v>
      </c>
      <c r="H4" s="848">
        <f>Weather_Input!A9</f>
        <v>36961</v>
      </c>
      <c r="I4" s="849">
        <f>Weather_Input!A10</f>
        <v>36962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44/27/36</v>
      </c>
      <c r="E5" s="882" t="str">
        <f>TEXT(Weather_Input!B6,"0")&amp;"/"&amp;TEXT(Weather_Input!C6,"0") &amp; "/" &amp; TEXT((Weather_Input!B6+Weather_Input!C6)/2,"0")</f>
        <v>34/22/28</v>
      </c>
      <c r="F5" s="882" t="str">
        <f>TEXT(Weather_Input!B7,"0")&amp;"/"&amp;TEXT(Weather_Input!C7,"0") &amp; "/" &amp; TEXT((Weather_Input!B7+Weather_Input!C7)/2,"0")</f>
        <v>35/22/29</v>
      </c>
      <c r="G5" s="882" t="str">
        <f>TEXT(Weather_Input!B8,"0")&amp;"/"&amp;TEXT(Weather_Input!C8,"0") &amp; "/" &amp; TEXT((Weather_Input!B8+Weather_Input!C8)/2,"0")</f>
        <v>43/28/36</v>
      </c>
      <c r="H5" s="882" t="str">
        <f>TEXT(Weather_Input!B9,"0")&amp;"/"&amp;TEXT(Weather_Input!C9,"0") &amp; "/" &amp; TEXT((Weather_Input!B9+Weather_Input!C9)/2,"0")</f>
        <v>45/31/38</v>
      </c>
      <c r="I5" s="883" t="str">
        <f>TEXT(Weather_Input!B10,"0")&amp;"/"&amp;TEXT(Weather_Input!C10,"0") &amp; "/" &amp; TEXT((Weather_Input!B10+Weather_Input!C10)/2,"0")</f>
        <v>45/31/38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152</v>
      </c>
      <c r="E6" s="851">
        <f ca="1">VLOOKUP(E4,NSG_Sendouts,CELL("Col",NSG_Deliveries!C6),FALSE)/1000</f>
        <v>168</v>
      </c>
      <c r="F6" s="851">
        <f ca="1">VLOOKUP(F4,NSG_Sendouts,CELL("Col",NSG_Deliveries!C7),FALSE)/1000</f>
        <v>166</v>
      </c>
      <c r="G6" s="851">
        <f ca="1">VLOOKUP(G4,NSG_Sendouts,CELL("Col",NSG_Deliveries!C8),FALSE)/1000</f>
        <v>146</v>
      </c>
      <c r="H6" s="851">
        <f ca="1">VLOOKUP(H4,NSG_Sendouts,CELL("Col",NSG_Deliveries!C9),FALSE)/1000</f>
        <v>138</v>
      </c>
      <c r="I6" s="856">
        <f ca="1">VLOOKUP(I4,NSG_Sendouts,CELL("Col",NSG_Deliveries!C10),FALSE)/1000</f>
        <v>135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5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17.63</v>
      </c>
      <c r="E13" s="851">
        <f>NSG_Requirements!H8/1000</f>
        <v>0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174.63</v>
      </c>
      <c r="E19" s="860">
        <f t="shared" ca="1" si="1"/>
        <v>168</v>
      </c>
      <c r="F19" s="860">
        <f t="shared" ca="1" si="1"/>
        <v>166</v>
      </c>
      <c r="G19" s="860">
        <f t="shared" ca="1" si="1"/>
        <v>146</v>
      </c>
      <c r="H19" s="860">
        <f t="shared" ca="1" si="1"/>
        <v>138</v>
      </c>
      <c r="I19" s="861">
        <f t="shared" ca="1" si="1"/>
        <v>135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51</v>
      </c>
      <c r="E23" s="851">
        <f>NSG_Supplies!L8/1000</f>
        <v>50</v>
      </c>
      <c r="F23" s="851">
        <f>NSG_Supplies!L9/1000</f>
        <v>20</v>
      </c>
      <c r="G23" s="851">
        <f>NSG_Supplies!L10/1000</f>
        <v>20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0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0</v>
      </c>
      <c r="E25" s="851">
        <f>NSG_Supplies!F8/1000</f>
        <v>0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103.63200000000001</v>
      </c>
      <c r="E32" s="851">
        <f>NSG_Supplies!R8/1000</f>
        <v>103.657</v>
      </c>
      <c r="F32" s="851">
        <f>NSG_Supplies!R9/1000</f>
        <v>103.657</v>
      </c>
      <c r="G32" s="851">
        <f>NSG_Supplies!R10/1000</f>
        <v>103.657</v>
      </c>
      <c r="H32" s="851">
        <f>NSG_Supplies!R11/1000</f>
        <v>103.657</v>
      </c>
      <c r="I32" s="852">
        <f>NSG_Supplies!R12/1000</f>
        <v>103.657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174.63200000000001</v>
      </c>
      <c r="E37" s="891">
        <f t="shared" si="2"/>
        <v>173.65699999999998</v>
      </c>
      <c r="F37" s="891">
        <f t="shared" si="2"/>
        <v>143.65699999999998</v>
      </c>
      <c r="G37" s="891">
        <f t="shared" si="2"/>
        <v>143.65699999999998</v>
      </c>
      <c r="H37" s="891">
        <f t="shared" si="2"/>
        <v>143.65699999999998</v>
      </c>
      <c r="I37" s="892">
        <f t="shared" si="2"/>
        <v>143.65699999999998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2.0000000000095497E-3</v>
      </c>
      <c r="E38" s="895">
        <f t="shared" ca="1" si="3"/>
        <v>5.6569999999999823</v>
      </c>
      <c r="F38" s="895">
        <f t="shared" ca="1" si="3"/>
        <v>0</v>
      </c>
      <c r="G38" s="895">
        <f t="shared" ca="1" si="3"/>
        <v>0</v>
      </c>
      <c r="H38" s="895">
        <f t="shared" ca="1" si="3"/>
        <v>5.6569999999999823</v>
      </c>
      <c r="I38" s="896">
        <f t="shared" ca="1" si="3"/>
        <v>8.6569999999999823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0</v>
      </c>
      <c r="E39" s="877">
        <f t="shared" ca="1" si="4"/>
        <v>0</v>
      </c>
      <c r="F39" s="877">
        <f t="shared" ca="1" si="4"/>
        <v>22.343000000000018</v>
      </c>
      <c r="G39" s="877">
        <f t="shared" ca="1" si="4"/>
        <v>2.3430000000000177</v>
      </c>
      <c r="H39" s="877">
        <f t="shared" ca="1" si="4"/>
        <v>0</v>
      </c>
      <c r="I39" s="878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33.622999999999998</v>
      </c>
      <c r="E40" s="1175">
        <f>NSG_Supplies!S8/1000</f>
        <v>33.622999999999998</v>
      </c>
      <c r="F40" s="1175">
        <f>NSG_Supplies!S9/1000</f>
        <v>33.622999999999998</v>
      </c>
      <c r="G40" s="1175">
        <f>NSG_Supplies!S10/1000</f>
        <v>33.622999999999998</v>
      </c>
      <c r="H40" s="1175">
        <f>NSG_Supplies!S11/1000</f>
        <v>33.622999999999998</v>
      </c>
      <c r="I40" s="1176">
        <f>NSG_Supplies!S12/1000</f>
        <v>33.622999999999998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10</v>
      </c>
      <c r="E42" s="902">
        <f>Weather_Input!D6</f>
        <v>14</v>
      </c>
      <c r="F42" s="902">
        <f>Weather_Input!D7</f>
        <v>10</v>
      </c>
      <c r="G42" s="903"/>
      <c r="H42" s="898"/>
      <c r="I42" s="898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/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8" t="s">
        <v>11</v>
      </c>
      <c r="B1" s="589"/>
      <c r="C1" s="589"/>
      <c r="D1" s="589"/>
      <c r="E1" s="590" t="s">
        <v>173</v>
      </c>
      <c r="F1" s="591">
        <f>Weather_Input!A5</f>
        <v>36957</v>
      </c>
      <c r="G1" s="771" t="str">
        <f>CHOOSE(WEEKDAY(F1),"SUN","MON","TUE","WED","THU","FRI","SAT")</f>
        <v>WED</v>
      </c>
      <c r="H1" s="593" t="s">
        <v>258</v>
      </c>
      <c r="I1" s="594"/>
    </row>
    <row r="2" spans="1:9" ht="15.6">
      <c r="A2" s="258" t="s">
        <v>11</v>
      </c>
      <c r="B2" s="610" t="s">
        <v>697</v>
      </c>
      <c r="C2" s="963" t="s">
        <v>11</v>
      </c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6">
      <c r="A4" s="258" t="s">
        <v>11</v>
      </c>
      <c r="B4" s="964">
        <f>Weather_Input!B5</f>
        <v>44</v>
      </c>
      <c r="C4" s="965">
        <f>Weather_Input!C5</f>
        <v>27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6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6">
      <c r="A6" s="262" t="s">
        <v>424</v>
      </c>
      <c r="B6" s="1165" t="s">
        <v>11</v>
      </c>
      <c r="C6" s="968">
        <f>PGL_Deliveries!C5/1000</f>
        <v>955</v>
      </c>
      <c r="D6" s="1165" t="s">
        <v>11</v>
      </c>
      <c r="E6" s="269"/>
      <c r="F6" s="603"/>
      <c r="G6" s="269"/>
      <c r="H6" s="603"/>
      <c r="I6" s="267"/>
    </row>
    <row r="7" spans="1:9" ht="15.6" thickBot="1">
      <c r="A7" s="249" t="s">
        <v>778</v>
      </c>
      <c r="B7" s="1166"/>
      <c r="C7" s="1138">
        <f>PGL_Requirements!I7/1000</f>
        <v>0</v>
      </c>
      <c r="D7" s="122"/>
      <c r="E7" s="122"/>
      <c r="F7" s="1166"/>
      <c r="G7" s="1167"/>
      <c r="H7" s="122"/>
      <c r="I7" s="118"/>
    </row>
    <row r="8" spans="1:9" ht="16.2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257.91199999999998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70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-0.66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136.73500000000001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261.98899999999998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3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101.2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0</v>
      </c>
      <c r="D17" s="621"/>
      <c r="E17" s="269"/>
      <c r="F17" s="603"/>
      <c r="G17" s="269" t="s">
        <v>11</v>
      </c>
      <c r="H17" s="603"/>
      <c r="I17" s="267"/>
    </row>
    <row r="18" spans="1:12" ht="15.6" thickBot="1">
      <c r="A18" s="292" t="s">
        <v>573</v>
      </c>
      <c r="B18" s="616" t="s">
        <v>11</v>
      </c>
      <c r="C18" s="1138">
        <f>PGL_Requirements!G7/1000</f>
        <v>97.5</v>
      </c>
      <c r="D18" s="602"/>
      <c r="E18" s="269"/>
      <c r="F18" s="603"/>
      <c r="G18" s="269"/>
      <c r="H18" s="603"/>
      <c r="I18" s="267"/>
    </row>
    <row r="19" spans="1:12" ht="16.2" thickBot="1">
      <c r="A19" s="617" t="s">
        <v>706</v>
      </c>
      <c r="B19" s="618" t="s">
        <v>11</v>
      </c>
      <c r="C19" s="512">
        <f>SUM(C9:C17)-C18</f>
        <v>732.67599999999993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2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222.32400000000007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2" thickBot="1">
      <c r="A24" s="494" t="s">
        <v>432</v>
      </c>
      <c r="B24" s="974" t="s">
        <v>11</v>
      </c>
      <c r="C24" s="975">
        <f>+B56</f>
        <v>0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6.8" thickTop="1" thickBot="1">
      <c r="A25" s="638" t="s">
        <v>433</v>
      </c>
      <c r="B25" s="979" t="s">
        <v>11</v>
      </c>
      <c r="C25" s="980">
        <f>SUM(C22:C24)</f>
        <v>222.32400000000007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6" thickTop="1">
      <c r="A26" s="332" t="s">
        <v>743</v>
      </c>
      <c r="B26" s="983"/>
      <c r="C26" s="972">
        <f>SUM(-PGL_Supplies!M7/1000)</f>
        <v>0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54.4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0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-276.72300000000001</v>
      </c>
      <c r="D29" s="987" t="s">
        <v>11</v>
      </c>
      <c r="E29" s="986">
        <f>-PGL_Supplies!AC7/1000</f>
        <v>-276.72300000000001</v>
      </c>
      <c r="F29" s="307"/>
      <c r="G29" s="986">
        <f>-PGL_Supplies!AC7/1000</f>
        <v>-276.72300000000001</v>
      </c>
      <c r="H29" s="515"/>
      <c r="I29" s="988">
        <f>-PGL_Supplies!AC7/1000</f>
        <v>-276.72300000000001</v>
      </c>
      <c r="L29" s="1104"/>
    </row>
    <row r="30" spans="1:12" ht="16.2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0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6" thickBot="1">
      <c r="A33" s="1135" t="s">
        <v>4</v>
      </c>
      <c r="B33" s="324">
        <f>PGL_Supplies!Y7/1000</f>
        <v>257.91199999999998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2" thickBot="1">
      <c r="A34" s="560" t="s">
        <v>448</v>
      </c>
      <c r="B34" s="1126">
        <f>+B33+B32-B31</f>
        <v>257.91199999999998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2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0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6" thickBot="1">
      <c r="A40" s="639" t="s">
        <v>704</v>
      </c>
      <c r="B40" s="324">
        <f>PGL_Supplies!Z7/1000</f>
        <v>70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2" thickBot="1">
      <c r="A41" s="560" t="s">
        <v>448</v>
      </c>
      <c r="B41" s="567">
        <f>B40+B37-B36-B38+B39</f>
        <v>70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2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137.73500000000001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6" thickBot="1">
      <c r="A45" s="425" t="s">
        <v>451</v>
      </c>
      <c r="B45" s="1000">
        <f>PGL_Requirements!D7/1000</f>
        <v>1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2" thickBot="1">
      <c r="A46" s="425" t="s">
        <v>452</v>
      </c>
      <c r="B46" s="324">
        <f>PGL_Supplies!D7/1000</f>
        <v>0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2" thickBot="1">
      <c r="A47" s="560" t="s">
        <v>448</v>
      </c>
      <c r="B47" s="1001">
        <f>B43+B44-B45+B46</f>
        <v>136.73500000000001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2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0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6" thickBot="1">
      <c r="A50" s="425" t="s">
        <v>453</v>
      </c>
      <c r="B50" s="324">
        <f>PGL_Supplies!M7/1000</f>
        <v>0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6" thickBot="1">
      <c r="A51" s="425" t="s">
        <v>454</v>
      </c>
      <c r="B51" s="324">
        <f>SUM(PGL_Requirements!B7/1000)</f>
        <v>0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2" thickBot="1">
      <c r="A52" s="425" t="s">
        <v>455</v>
      </c>
      <c r="B52" s="324">
        <f>PGL_Supplies!H7/1000</f>
        <v>0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0.66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2" thickBot="1">
      <c r="A54" s="425" t="s">
        <v>749</v>
      </c>
      <c r="B54" s="324">
        <f>PGL_Requirements!Q7/1000</f>
        <v>0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2" thickBot="1">
      <c r="A55" s="519" t="s">
        <v>457</v>
      </c>
      <c r="B55" s="520">
        <f>-B49+B50+B52+B56+B57-B53-B51</f>
        <v>-0.66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</v>
      </c>
    </row>
    <row r="56" spans="1:9">
      <c r="A56" s="332" t="s">
        <v>218</v>
      </c>
      <c r="B56" s="324">
        <v>0</v>
      </c>
      <c r="C56" s="524"/>
      <c r="D56" s="524"/>
      <c r="E56" s="525"/>
      <c r="F56" s="370" t="s">
        <v>486</v>
      </c>
      <c r="G56" s="545"/>
      <c r="H56" s="1007">
        <f>PGL_Supplies!E7/1000</f>
        <v>0</v>
      </c>
      <c r="I56" s="1008" t="s">
        <v>11</v>
      </c>
    </row>
    <row r="57" spans="1:9" ht="15.6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261.98899999999998</v>
      </c>
      <c r="I57" s="1008" t="s">
        <v>11</v>
      </c>
    </row>
    <row r="58" spans="1:9" ht="16.2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6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2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261.98899999999998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6" thickBot="1">
      <c r="A62" s="425" t="s">
        <v>109</v>
      </c>
      <c r="B62" s="1018">
        <f>PGL_Supplies!AD7/1000</f>
        <v>101.2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261.98899999999998</v>
      </c>
    </row>
    <row r="63" spans="1:9" ht="16.2" thickBot="1">
      <c r="A63" s="800" t="s">
        <v>565</v>
      </c>
      <c r="B63" s="1020">
        <f>+B62+B61-B60+B59</f>
        <v>101.2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6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789</v>
      </c>
      <c r="G64" s="434"/>
      <c r="H64" s="1118"/>
      <c r="I64" s="1012"/>
    </row>
    <row r="65" spans="1:9" ht="15.6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2" thickBot="1">
      <c r="A66" s="1191" t="s">
        <v>791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2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2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2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2" thickBot="1">
      <c r="A70" s="1190" t="s">
        <v>790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WED</v>
      </c>
      <c r="G1" s="1084">
        <f>Weather_Input!A5</f>
        <v>36957</v>
      </c>
      <c r="H1" s="590" t="s">
        <v>258</v>
      </c>
      <c r="I1" s="594"/>
    </row>
    <row r="2" spans="1:9" ht="20.399999999999999">
      <c r="A2" s="643" t="s">
        <v>11</v>
      </c>
      <c r="B2" s="794" t="s">
        <v>561</v>
      </c>
      <c r="C2" s="954" t="s">
        <v>11</v>
      </c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1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44</v>
      </c>
      <c r="C4" s="759">
        <f>Weather_Input!C5</f>
        <v>27</v>
      </c>
      <c r="D4" s="653"/>
      <c r="E4" s="654"/>
      <c r="F4" s="653"/>
      <c r="G4" s="654"/>
      <c r="H4" s="655"/>
      <c r="I4" s="656"/>
    </row>
    <row r="5" spans="1:9" ht="23.4" thickBot="1">
      <c r="A5" s="657" t="s">
        <v>139</v>
      </c>
      <c r="B5" s="658"/>
      <c r="C5" s="659">
        <f>NSG_Deliveries!C5/1000</f>
        <v>152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3.4" thickBot="1">
      <c r="A7" s="667" t="s">
        <v>86</v>
      </c>
      <c r="B7" s="658"/>
      <c r="C7" s="764">
        <f>C5-C9-C11-C12</f>
        <v>86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15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2.8">
      <c r="A11" s="671" t="s">
        <v>503</v>
      </c>
      <c r="B11" s="672"/>
      <c r="C11" s="673">
        <f>B38</f>
        <v>51</v>
      </c>
      <c r="D11" s="674"/>
      <c r="E11" s="675"/>
      <c r="F11" s="674"/>
      <c r="G11" s="674" t="s">
        <v>11</v>
      </c>
      <c r="H11" s="676"/>
      <c r="I11" s="677"/>
    </row>
    <row r="12" spans="1:9" ht="22.8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3.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.6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3.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.6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3.4" thickBot="1">
      <c r="A19" s="704" t="s">
        <v>433</v>
      </c>
      <c r="B19" s="705"/>
      <c r="C19" s="706">
        <f>C7+C12</f>
        <v>86</v>
      </c>
      <c r="D19" s="707"/>
      <c r="E19" s="708"/>
      <c r="F19" s="707"/>
      <c r="G19" s="707" t="s">
        <v>11</v>
      </c>
      <c r="H19" s="705"/>
      <c r="I19" s="709"/>
    </row>
    <row r="20" spans="1:9" ht="20.399999999999999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399999999999999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399999999999999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399999999999999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10" t="s">
        <v>441</v>
      </c>
      <c r="B24" s="718"/>
      <c r="C24" s="712">
        <f>NSG_Requirements!H7/1000</f>
        <v>17.63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399999999999999">
      <c r="A25" s="710" t="s">
        <v>442</v>
      </c>
      <c r="B25" s="715"/>
      <c r="C25" s="712">
        <f>-NSG_Supplies!F7/1000</f>
        <v>0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399999999999999">
      <c r="A26" s="710" t="s">
        <v>197</v>
      </c>
      <c r="B26" s="718"/>
      <c r="C26" s="712">
        <f>-NSG_Supplies!R7/1000</f>
        <v>-103.63200000000001</v>
      </c>
      <c r="D26" s="719"/>
      <c r="E26" s="712">
        <f>-NSG_Supplies!R7/1000</f>
        <v>-103.63200000000001</v>
      </c>
      <c r="F26" s="719"/>
      <c r="G26" s="712">
        <f>-NSG_Supplies!R7/1000</f>
        <v>-103.63200000000001</v>
      </c>
      <c r="H26" s="718"/>
      <c r="I26" s="777">
        <f>-NSG_Supplies!R7/1000</f>
        <v>-103.63200000000001</v>
      </c>
    </row>
    <row r="27" spans="1:9" ht="20.399999999999999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3.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1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399999999999999">
      <c r="A31" s="785" t="s">
        <v>538</v>
      </c>
      <c r="B31" s="760">
        <f>NSG_Supplies!L7/1000+PGL_Requirements!V7/1000</f>
        <v>51</v>
      </c>
      <c r="C31" s="719"/>
      <c r="D31" s="737"/>
      <c r="E31" s="720"/>
      <c r="F31" s="644"/>
      <c r="G31" s="716"/>
      <c r="H31" s="716"/>
      <c r="I31" s="735"/>
    </row>
    <row r="32" spans="1:9" ht="20.399999999999999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399999999999999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399999999999999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399999999999999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399999999999999">
      <c r="A36" s="785" t="s">
        <v>522</v>
      </c>
      <c r="B36" s="762">
        <f>NSG_Supplies!B7/1000</f>
        <v>0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.6" thickBot="1">
      <c r="A38" s="742" t="s">
        <v>510</v>
      </c>
      <c r="B38" s="763">
        <f>-B30+B31+B32-B33-B34-B35+B36+B37</f>
        <v>51</v>
      </c>
      <c r="C38" s="644"/>
      <c r="D38" s="743"/>
      <c r="E38" s="744"/>
      <c r="F38" s="644"/>
      <c r="G38" s="716"/>
      <c r="H38" s="716"/>
      <c r="I38" s="735"/>
    </row>
    <row r="39" spans="1:9" ht="23.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399999999999999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399999999999999">
      <c r="A41" s="710" t="s">
        <v>512</v>
      </c>
      <c r="B41" s="823">
        <f>NSG_Requirements!J7/1000</f>
        <v>5</v>
      </c>
      <c r="C41" s="719"/>
      <c r="D41" s="737"/>
      <c r="E41" s="720"/>
      <c r="F41" s="644"/>
      <c r="G41" s="716"/>
      <c r="H41" s="716"/>
      <c r="I41" s="735"/>
    </row>
    <row r="42" spans="1:9" ht="20.399999999999999">
      <c r="A42" s="710" t="s">
        <v>513</v>
      </c>
      <c r="B42" s="824">
        <f>NSG_Supplies!E7/1000</f>
        <v>0</v>
      </c>
      <c r="C42" s="644"/>
      <c r="D42" s="747"/>
      <c r="E42" s="748"/>
      <c r="F42" s="644"/>
      <c r="G42" s="716"/>
      <c r="H42" s="716"/>
      <c r="I42" s="735"/>
    </row>
    <row r="43" spans="1:9" ht="20.399999999999999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399999999999999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.6" thickBot="1">
      <c r="A46" s="742" t="s">
        <v>510</v>
      </c>
      <c r="B46" s="825">
        <f>B45+B42-B41</f>
        <v>15</v>
      </c>
      <c r="C46" s="750"/>
      <c r="D46" s="749"/>
      <c r="E46" s="751"/>
      <c r="F46" s="644"/>
      <c r="G46" s="716"/>
      <c r="H46" s="716"/>
      <c r="I46" s="735"/>
    </row>
    <row r="47" spans="1:9" ht="23.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399999999999999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399999999999999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399999999999999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3.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399999999999999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.6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36957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44</v>
      </c>
      <c r="C5" s="266">
        <f>Weather_Input!C5</f>
        <v>27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955</v>
      </c>
      <c r="C8" s="274">
        <f>NSG_Deliveries!C5/1000</f>
        <v>152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70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434.017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3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359.11199999999997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0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97.5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-768.62899999999991</v>
      </c>
      <c r="C18" s="289">
        <f>-I63</f>
        <v>-51</v>
      </c>
      <c r="D18" s="290" t="s">
        <v>11</v>
      </c>
      <c r="E18" s="289">
        <f>-I63</f>
        <v>-51</v>
      </c>
      <c r="F18" s="290" t="s">
        <v>11</v>
      </c>
      <c r="G18" s="289">
        <f>-I63</f>
        <v>-51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186.37100000000009</v>
      </c>
      <c r="C20" s="295">
        <f>C8+C18+C19</f>
        <v>101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0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186.37100000000009</v>
      </c>
      <c r="C23" s="301">
        <f>C20</f>
        <v>101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0.66</v>
      </c>
      <c r="C27" s="310">
        <f>NSG_Requirements!P7/1000</f>
        <v>0</v>
      </c>
      <c r="D27" s="310">
        <f>PGL_Requirements!R7/1000</f>
        <v>0.66</v>
      </c>
      <c r="E27" s="310">
        <f>NSG_Requirements!P7/1000</f>
        <v>0</v>
      </c>
      <c r="F27" s="310">
        <f>PGL_Requirements!R7/1000</f>
        <v>0.66</v>
      </c>
      <c r="G27" s="310">
        <f>NSG_Requirements!P7/1000</f>
        <v>0</v>
      </c>
      <c r="H27" s="311">
        <f>+B27</f>
        <v>0.66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-276.72300000000001</v>
      </c>
      <c r="C32" s="315">
        <f>-NSG_Supplies!R7/1000</f>
        <v>-103.63200000000001</v>
      </c>
      <c r="D32" s="315">
        <f>B32</f>
        <v>-276.72300000000001</v>
      </c>
      <c r="E32" s="315">
        <f>C32</f>
        <v>-103.63200000000001</v>
      </c>
      <c r="F32" s="315">
        <f>B32</f>
        <v>-276.72300000000001</v>
      </c>
      <c r="G32" s="315">
        <f>C32</f>
        <v>-103.63200000000001</v>
      </c>
      <c r="H32" s="320">
        <f>B32</f>
        <v>-276.72300000000001</v>
      </c>
      <c r="I32" s="321">
        <f>C32</f>
        <v>-103.63200000000001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-33.622999999999998</v>
      </c>
      <c r="D33" s="315">
        <f>B33</f>
        <v>0</v>
      </c>
      <c r="E33" s="315">
        <f>C33</f>
        <v>-33.622999999999998</v>
      </c>
      <c r="F33" s="315">
        <f>B33</f>
        <v>0</v>
      </c>
      <c r="G33" s="315">
        <f>C33</f>
        <v>-33.622999999999998</v>
      </c>
      <c r="H33" s="320">
        <f>B33</f>
        <v>0</v>
      </c>
      <c r="I33" s="321">
        <f>C33</f>
        <v>-33.622999999999998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54.4</v>
      </c>
      <c r="C35" s="310">
        <f>NSG_Requirements!H7/1000</f>
        <v>17.63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0</v>
      </c>
      <c r="C36" s="315">
        <f>-NSG_Supplies!F7/1000</f>
        <v>0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0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0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0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0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0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0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296.28199999999998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137.73500000000001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434.017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70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0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0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51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70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51</v>
      </c>
    </row>
    <row r="64" spans="1:9" ht="17.100000000000001" customHeight="1" thickBot="1">
      <c r="A64" s="425" t="s">
        <v>394</v>
      </c>
      <c r="B64" s="324">
        <f>PGL_Supplies!Y7/1000</f>
        <v>257.91199999999998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101.2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359.11199999999997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WED</v>
      </c>
      <c r="H73" s="406">
        <f>Weather_Input!A5</f>
        <v>36957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6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6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2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2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124.4</v>
      </c>
      <c r="D97" s="603"/>
      <c r="E97" s="615">
        <f>+C97</f>
        <v>124.4</v>
      </c>
      <c r="F97" s="603"/>
      <c r="G97" s="615">
        <f>+C97</f>
        <v>124.4</v>
      </c>
      <c r="H97" s="603"/>
      <c r="I97" s="285">
        <f>+C97</f>
        <v>124.4</v>
      </c>
    </row>
    <row r="98" spans="1:9" ht="15">
      <c r="A98" s="494" t="s">
        <v>60</v>
      </c>
      <c r="B98" s="282" t="s">
        <v>11</v>
      </c>
      <c r="C98" s="624">
        <f>B149</f>
        <v>0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-565.98299999999995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359.11199999999997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97.5</v>
      </c>
      <c r="D103" s="621"/>
      <c r="E103" s="269"/>
      <c r="F103" s="603"/>
      <c r="G103" s="269"/>
      <c r="H103" s="603"/>
      <c r="I103" s="267"/>
    </row>
    <row r="104" spans="1:9" ht="15.6" thickBot="1">
      <c r="A104" s="292" t="s">
        <v>110</v>
      </c>
      <c r="B104" s="616" t="s">
        <v>11</v>
      </c>
      <c r="C104" s="624">
        <f>PGL_Supplies!B7/1000</f>
        <v>0</v>
      </c>
      <c r="D104" s="602"/>
      <c r="E104" s="269"/>
      <c r="F104" s="603"/>
      <c r="G104" s="269"/>
      <c r="H104" s="603"/>
      <c r="I104" s="267"/>
    </row>
    <row r="105" spans="1:9" ht="16.2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2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6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2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6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6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-70</v>
      </c>
      <c r="C116" s="419">
        <f>-NSG_Supplies!W7/1000</f>
        <v>0</v>
      </c>
      <c r="D116" s="315">
        <f>-PGL_Supplies!Z7/1000</f>
        <v>-70</v>
      </c>
      <c r="E116" s="315">
        <f>-NSG_Supplies!W7/1000</f>
        <v>0</v>
      </c>
      <c r="F116" s="315">
        <f>-PGL_Supplies!Z7/1000</f>
        <v>-70</v>
      </c>
      <c r="G116" s="315">
        <f>-NSG_Supplies!W7/1000</f>
        <v>0</v>
      </c>
      <c r="H116" s="320">
        <f>-PGL_Supplies!Z7/1000</f>
        <v>-70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-137.73500000000001</v>
      </c>
      <c r="C117" s="315">
        <f>-NSG_Supplies!X7/1000</f>
        <v>0</v>
      </c>
      <c r="D117" s="315">
        <f>-PGL_Supplies!AA7/1000</f>
        <v>-137.73500000000001</v>
      </c>
      <c r="E117" s="315">
        <f>-NSG_Supplies!X7/1000</f>
        <v>0</v>
      </c>
      <c r="F117" s="315">
        <f>-PGL_Supplies!AA7/1000</f>
        <v>-137.73500000000001</v>
      </c>
      <c r="G117" s="315">
        <f>-NSG_Supplies!X7/1000</f>
        <v>0</v>
      </c>
      <c r="H117" s="320">
        <f>-PGL_Supplies!AA7/1000</f>
        <v>-137.73500000000001</v>
      </c>
      <c r="I117" s="321">
        <f>-NSG_Supplies!X7/1000</f>
        <v>0</v>
      </c>
    </row>
    <row r="118" spans="1:9" ht="15.6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6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6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-33.622999999999998</v>
      </c>
      <c r="D123" s="313"/>
      <c r="E123" s="313"/>
      <c r="F123" s="313"/>
      <c r="G123" s="313"/>
      <c r="H123" s="317"/>
      <c r="I123" s="318"/>
    </row>
    <row r="124" spans="1:9" ht="16.2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0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54.4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0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70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6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2" thickBot="1">
      <c r="A133" s="560" t="s">
        <v>448</v>
      </c>
      <c r="B133" s="567">
        <f>B126+B127+B130+B131+B132-B125-B128-B129</f>
        <v>124.4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6.2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137.73500000000001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1000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6" thickBot="1">
      <c r="A140" s="425" t="s">
        <v>394</v>
      </c>
      <c r="B140" s="324">
        <f>PGL_Supplies!V7/1000</f>
        <v>296.28199999999998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2" thickBot="1">
      <c r="A141" s="560" t="s">
        <v>448</v>
      </c>
      <c r="B141" s="562">
        <f>-B135+B136+B137-B138+B139+B140</f>
        <v>-565.98299999999995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2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0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0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6" thickBot="1">
      <c r="A145" s="425" t="s">
        <v>454</v>
      </c>
      <c r="B145" s="324">
        <f>PGL_Requirements!B7/1000</f>
        <v>0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6" thickBot="1">
      <c r="A146" s="425" t="s">
        <v>455</v>
      </c>
      <c r="B146" s="324">
        <f>PGL_Supplies!H7/1000</f>
        <v>0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2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6" thickBot="1">
      <c r="A148" s="425" t="s">
        <v>456</v>
      </c>
      <c r="B148" s="324">
        <f>PGL_Requirements!Q7/1000</f>
        <v>0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2" thickBot="1">
      <c r="A149" s="519" t="s">
        <v>457</v>
      </c>
      <c r="B149" s="520">
        <f>B144+B146</f>
        <v>0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6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2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6.2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6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6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6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2" thickBot="1">
      <c r="A159" s="425" t="s">
        <v>109</v>
      </c>
      <c r="B159" s="324">
        <f>PGL_Supplies!AD7/1000</f>
        <v>101.2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6" thickBot="1">
      <c r="A160" s="425" t="s">
        <v>394</v>
      </c>
      <c r="B160" s="612">
        <f>PGL_Supplies!Y7/1000</f>
        <v>257.91199999999998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2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2" thickBot="1">
      <c r="A162" s="399" t="s">
        <v>457</v>
      </c>
      <c r="B162" s="613">
        <f>B154+B156+B158+B159+B160-B153-B155-B157-B161</f>
        <v>359.11199999999997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6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36958.20289375</v>
      </c>
      <c r="F22" s="164" t="s">
        <v>272</v>
      </c>
      <c r="G22" s="191">
        <f ca="1">NOW()</f>
        <v>36958.20289375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6" thickBot="1"/>
    <row r="26" spans="1:9" ht="15.6" thickBot="1">
      <c r="B26" s="209" t="s">
        <v>11</v>
      </c>
      <c r="C26" s="164" t="s">
        <v>276</v>
      </c>
    </row>
    <row r="27" spans="1:9" ht="15.6" thickBot="1">
      <c r="B27" s="209" t="s">
        <v>11</v>
      </c>
      <c r="C27" s="164" t="s">
        <v>277</v>
      </c>
    </row>
    <row r="28" spans="1:9" ht="15.6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15000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36958.20289375</v>
      </c>
      <c r="F22" s="164" t="s">
        <v>272</v>
      </c>
      <c r="G22" s="191">
        <f ca="1">NOW()</f>
        <v>36958.20289375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6" thickBot="1"/>
    <row r="26" spans="2:9" ht="15.6" thickBot="1">
      <c r="B26" s="209" t="s">
        <v>11</v>
      </c>
      <c r="C26" s="164" t="s">
        <v>276</v>
      </c>
    </row>
    <row r="27" spans="2:9" ht="15.6" thickBot="1">
      <c r="B27" s="209" t="s">
        <v>11</v>
      </c>
      <c r="C27" s="164" t="s">
        <v>277</v>
      </c>
    </row>
    <row r="28" spans="2:9" ht="15.6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Wednesday</v>
      </c>
      <c r="B5" s="21">
        <f>Weather_Input!A5</f>
        <v>36957</v>
      </c>
      <c r="C5" s="15"/>
      <c r="D5" s="22" t="s">
        <v>290</v>
      </c>
      <c r="E5" s="23">
        <f>Weather_Input!B5</f>
        <v>44</v>
      </c>
      <c r="F5" s="24" t="s">
        <v>291</v>
      </c>
      <c r="G5" s="25">
        <f>Weather_Input!H5</f>
        <v>32</v>
      </c>
      <c r="H5" s="26" t="s">
        <v>292</v>
      </c>
      <c r="I5" s="27">
        <f ca="1">G5-(VLOOKUP(B5,DD_Normal_Data,CELL("Col",B6),FALSE))</f>
        <v>1</v>
      </c>
    </row>
    <row r="6" spans="1:109" ht="15">
      <c r="A6" s="18"/>
      <c r="B6" s="21"/>
      <c r="C6" s="15"/>
      <c r="D6" s="22" t="s">
        <v>176</v>
      </c>
      <c r="E6" s="23">
        <f>Weather_Input!C5</f>
        <v>27</v>
      </c>
      <c r="F6" s="24" t="s">
        <v>293</v>
      </c>
      <c r="G6" s="25">
        <f>Weather_Input!F5</f>
        <v>239</v>
      </c>
      <c r="H6" s="26" t="s">
        <v>294</v>
      </c>
      <c r="I6" s="27">
        <f ca="1">G6-(VLOOKUP(B5,DD_Normal_Data,CELL("Col",C7),FALSE))</f>
        <v>16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35.5</v>
      </c>
      <c r="F7" s="24" t="s">
        <v>296</v>
      </c>
      <c r="G7" s="25">
        <f>Weather_Input!G5</f>
        <v>5324</v>
      </c>
      <c r="H7" s="26" t="s">
        <v>296</v>
      </c>
      <c r="I7" s="123">
        <f ca="1">G7-(VLOOKUP(B5,DD_Normal_Data,CELL("Col",D4),FALSE))</f>
        <v>306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   PARTLY   SUNNY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 BECOMING CLOUDY.    WINDS NW 10 TO 15 MPH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Thursday</v>
      </c>
      <c r="B10" s="21">
        <f>Weather_Input!A6</f>
        <v>36958</v>
      </c>
      <c r="C10" s="15"/>
      <c r="D10" s="153" t="s">
        <v>290</v>
      </c>
      <c r="E10" s="23">
        <f>Weather_Input!B6</f>
        <v>34</v>
      </c>
      <c r="F10" s="24" t="s">
        <v>291</v>
      </c>
      <c r="G10" s="25">
        <f>IF(E12&lt;65,65-(Weather_Input!B6+Weather_Input!C6)/2,0)</f>
        <v>37</v>
      </c>
      <c r="H10" s="26" t="s">
        <v>292</v>
      </c>
      <c r="I10" s="27">
        <f ca="1">G10-(VLOOKUP(B10,DD_Normal_Data,CELL("Col",B11),FALSE))</f>
        <v>7</v>
      </c>
    </row>
    <row r="11" spans="1:109" ht="15">
      <c r="A11" s="18"/>
      <c r="B11" s="21"/>
      <c r="C11" s="15"/>
      <c r="D11" s="22" t="s">
        <v>176</v>
      </c>
      <c r="E11" s="23">
        <f>Weather_Input!C6</f>
        <v>22</v>
      </c>
      <c r="F11" s="24" t="s">
        <v>293</v>
      </c>
      <c r="G11" s="25">
        <f>IF(DAY(B10)=1,G10,G6+G10)</f>
        <v>276</v>
      </c>
      <c r="H11" s="30" t="s">
        <v>294</v>
      </c>
      <c r="I11" s="27">
        <f ca="1">G11-(VLOOKUP(B10,DD_Normal_Data,CELL("Col",C12),FALSE))</f>
        <v>23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28</v>
      </c>
      <c r="F12" s="24" t="s">
        <v>296</v>
      </c>
      <c r="G12" s="25">
        <f>IF(AND(DAY(B10)=1,MONTH(B10)=8),G10,G7+G10)</f>
        <v>5361</v>
      </c>
      <c r="H12" s="26" t="s">
        <v>296</v>
      </c>
      <c r="I12" s="27">
        <f ca="1">G12-(VLOOKUP(B10,DD_Normal_Data,CELL("Col",D9),FALSE))</f>
        <v>313</v>
      </c>
    </row>
    <row r="13" spans="1:109" ht="15">
      <c r="A13" s="18"/>
      <c r="B13" s="21"/>
      <c r="C13" s="15"/>
      <c r="D13" s="32" t="str">
        <f>IF(Weather_Input!I6=""," ",Weather_Input!I6)</f>
        <v xml:space="preserve">   CLOUDY... WITH  A   30%   CHANCE  OF  LIGHT  SNOW  OR FLURRIES. 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Friday</v>
      </c>
      <c r="B15" s="21">
        <f>Weather_Input!A7</f>
        <v>36959</v>
      </c>
      <c r="C15" s="15"/>
      <c r="D15" s="22" t="s">
        <v>290</v>
      </c>
      <c r="E15" s="23">
        <f>Weather_Input!B7</f>
        <v>35</v>
      </c>
      <c r="F15" s="24" t="s">
        <v>291</v>
      </c>
      <c r="G15" s="25">
        <f>IF(E17&lt;65,65-(Weather_Input!B7+Weather_Input!C7)/2,0)</f>
        <v>36.5</v>
      </c>
      <c r="H15" s="26" t="s">
        <v>292</v>
      </c>
      <c r="I15" s="27">
        <f ca="1">G15-(VLOOKUP(B15,DD_Normal_Data,CELL("Col",B16),FALSE))</f>
        <v>6.5</v>
      </c>
    </row>
    <row r="16" spans="1:109" ht="15">
      <c r="A16" s="18"/>
      <c r="B16" s="20"/>
      <c r="C16" s="15"/>
      <c r="D16" s="22" t="s">
        <v>176</v>
      </c>
      <c r="E16" s="23">
        <f>Weather_Input!C7</f>
        <v>22</v>
      </c>
      <c r="F16" s="24" t="s">
        <v>293</v>
      </c>
      <c r="G16" s="25">
        <f>IF(DAY(B15)=1,G15,G11+G15)</f>
        <v>312.5</v>
      </c>
      <c r="H16" s="30" t="s">
        <v>294</v>
      </c>
      <c r="I16" s="27">
        <f ca="1">G16-(VLOOKUP(B15,DD_Normal_Data,CELL("Col",C17),FALSE))</f>
        <v>29.5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28.5</v>
      </c>
      <c r="F17" s="24" t="s">
        <v>296</v>
      </c>
      <c r="G17" s="25">
        <f>IF(AND(DAY(B15)=1,MONTH(B15)=8),G15,G12+G15)</f>
        <v>5397.5</v>
      </c>
      <c r="H17" s="26" t="s">
        <v>296</v>
      </c>
      <c r="I17" s="27">
        <f ca="1">G17-(VLOOKUP(B15,DD_Normal_Data,CELL("Col",D14),FALSE))</f>
        <v>319.5</v>
      </c>
    </row>
    <row r="18" spans="1:109" ht="15">
      <c r="A18" s="18"/>
      <c r="B18" s="20"/>
      <c r="C18" s="15"/>
      <c r="D18" s="32" t="str">
        <f>IF(Weather_Input!I7=""," ",Weather_Input!I7)</f>
        <v xml:space="preserve">   PARTLY  CLOUDY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Saturday</v>
      </c>
      <c r="B20" s="21">
        <f>Weather_Input!A8</f>
        <v>36960</v>
      </c>
      <c r="C20" s="15"/>
      <c r="D20" s="22" t="s">
        <v>290</v>
      </c>
      <c r="E20" s="23">
        <f>Weather_Input!B8</f>
        <v>43</v>
      </c>
      <c r="F20" s="24" t="s">
        <v>291</v>
      </c>
      <c r="G20" s="25">
        <f>IF(E22&lt;65,65-(Weather_Input!B8+Weather_Input!C8)/2,0)</f>
        <v>29.5</v>
      </c>
      <c r="H20" s="26" t="s">
        <v>292</v>
      </c>
      <c r="I20" s="27">
        <f ca="1">G20-(VLOOKUP(B20,DD_Normal_Data,CELL("Col",B21),FALSE))</f>
        <v>-0.5</v>
      </c>
    </row>
    <row r="21" spans="1:109" ht="15">
      <c r="A21" s="18"/>
      <c r="B21" s="21"/>
      <c r="C21" s="15"/>
      <c r="D21" s="22" t="s">
        <v>176</v>
      </c>
      <c r="E21" s="23">
        <f>Weather_Input!C8</f>
        <v>28</v>
      </c>
      <c r="F21" s="24" t="s">
        <v>293</v>
      </c>
      <c r="G21" s="25">
        <f>IF(DAY(B20)=1,G20,G16+G20)</f>
        <v>342</v>
      </c>
      <c r="H21" s="30" t="s">
        <v>294</v>
      </c>
      <c r="I21" s="27">
        <f ca="1">G21-(VLOOKUP(B20,DD_Normal_Data,CELL("Col",C22),FALSE))</f>
        <v>29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35.5</v>
      </c>
      <c r="F22" s="24" t="s">
        <v>296</v>
      </c>
      <c r="G22" s="25">
        <f>IF(AND(DAY(B20)=1,MONTH(B20)=8),G20,G17+G20)</f>
        <v>5427</v>
      </c>
      <c r="H22" s="26" t="s">
        <v>296</v>
      </c>
      <c r="I22" s="27">
        <f ca="1">G22-(VLOOKUP(B20,DD_Normal_Data,CELL("Col",D19),FALSE))</f>
        <v>319</v>
      </c>
    </row>
    <row r="23" spans="1:109" ht="15">
      <c r="A23" s="18"/>
      <c r="B23" s="21"/>
      <c r="C23" s="15"/>
      <c r="D23" s="32" t="str">
        <f>IF(Weather_Input!I8=""," ",Weather_Input!I8)</f>
        <v xml:space="preserve">  A  CHANCE  OF   RAIN   OR  SNOW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Sunday</v>
      </c>
      <c r="B25" s="21">
        <f>Weather_Input!A9</f>
        <v>36961</v>
      </c>
      <c r="C25" s="15"/>
      <c r="D25" s="22" t="s">
        <v>290</v>
      </c>
      <c r="E25" s="23">
        <f>Weather_Input!B9</f>
        <v>45</v>
      </c>
      <c r="F25" s="24" t="s">
        <v>291</v>
      </c>
      <c r="G25" s="25">
        <f>IF(E27&lt;65,65-(Weather_Input!B9+Weather_Input!C9)/2,0)</f>
        <v>27</v>
      </c>
      <c r="H25" s="26" t="s">
        <v>292</v>
      </c>
      <c r="I25" s="27">
        <f ca="1">G25-(VLOOKUP(B25,DD_Normal_Data,CELL("Col",B26),FALSE))</f>
        <v>-3</v>
      </c>
    </row>
    <row r="26" spans="1:109" ht="15">
      <c r="A26" s="18"/>
      <c r="B26" s="21"/>
      <c r="C26" s="15"/>
      <c r="D26" s="22" t="s">
        <v>176</v>
      </c>
      <c r="E26" s="23">
        <f>Weather_Input!C9</f>
        <v>31</v>
      </c>
      <c r="F26" s="24" t="s">
        <v>293</v>
      </c>
      <c r="G26" s="25">
        <f>IF(DAY(B25)=1,G25,G21+G25)</f>
        <v>369</v>
      </c>
      <c r="H26" s="30" t="s">
        <v>294</v>
      </c>
      <c r="I26" s="27">
        <f ca="1">G26-(VLOOKUP(B25,DD_Normal_Data,CELL("Col",C27),FALSE))</f>
        <v>26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38</v>
      </c>
      <c r="F27" s="24" t="s">
        <v>296</v>
      </c>
      <c r="G27" s="25">
        <f>IF(AND(DAY(B25)=1,MONTH(B25)=8),G25,G22+G25)</f>
        <v>5454</v>
      </c>
      <c r="H27" s="26" t="s">
        <v>296</v>
      </c>
      <c r="I27" s="27">
        <f ca="1">G27-(VLOOKUP(B25,DD_Normal_Data,CELL("Col",D24),FALSE))</f>
        <v>316</v>
      </c>
    </row>
    <row r="28" spans="1:109" ht="15">
      <c r="A28" s="18"/>
      <c r="B28" s="20"/>
      <c r="C28" s="15"/>
      <c r="D28" s="32" t="str">
        <f>IF(Weather_Input!I9=""," ",Weather_Input!I9)</f>
        <v xml:space="preserve">  A  CHANCE  OF   RAIN  OR  SNOW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Monday</v>
      </c>
      <c r="B30" s="21">
        <f>Weather_Input!A10</f>
        <v>36962</v>
      </c>
      <c r="C30" s="15"/>
      <c r="D30" s="22" t="s">
        <v>290</v>
      </c>
      <c r="E30" s="23">
        <f>Weather_Input!B10</f>
        <v>45</v>
      </c>
      <c r="F30" s="24" t="s">
        <v>291</v>
      </c>
      <c r="G30" s="25">
        <f>IF(E32&lt;65,65-(Weather_Input!B10+Weather_Input!C10)/2,0)</f>
        <v>27</v>
      </c>
      <c r="H30" s="26" t="s">
        <v>292</v>
      </c>
      <c r="I30" s="27">
        <f ca="1">G30-(VLOOKUP(B30,DD_Normal_Data,CELL("Col",B31),FALSE))</f>
        <v>-2</v>
      </c>
    </row>
    <row r="31" spans="1:109" ht="15">
      <c r="A31" s="15"/>
      <c r="B31" s="15"/>
      <c r="C31" s="15"/>
      <c r="D31" s="22" t="s">
        <v>176</v>
      </c>
      <c r="E31" s="23">
        <f>Weather_Input!C10</f>
        <v>31</v>
      </c>
      <c r="F31" s="24" t="s">
        <v>293</v>
      </c>
      <c r="G31" s="25">
        <f>IF(DAY(B30)=1,G30,G26+G30)</f>
        <v>396</v>
      </c>
      <c r="H31" s="30" t="s">
        <v>294</v>
      </c>
      <c r="I31" s="27">
        <f ca="1">G31-(VLOOKUP(B30,DD_Normal_Data,CELL("Col",C32),FALSE))</f>
        <v>24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38</v>
      </c>
      <c r="F32" s="24" t="s">
        <v>296</v>
      </c>
      <c r="G32" s="25">
        <f>IF(AND(DAY(B30)=1,MONTH(B30)=8),G30,G27+G30)</f>
        <v>5481</v>
      </c>
      <c r="H32" s="26" t="s">
        <v>296</v>
      </c>
      <c r="I32" s="27">
        <f ca="1">G32-(VLOOKUP(B30,DD_Normal_Data,CELL("Col",D29),FALSE))</f>
        <v>314</v>
      </c>
    </row>
    <row r="33" spans="1:9" ht="15">
      <c r="A33" s="15"/>
      <c r="B33" s="34"/>
      <c r="C33" s="15"/>
      <c r="D33" s="32" t="str">
        <f>IF(Weather_Input!I10=""," ",Weather_Input!I10)</f>
        <v xml:space="preserve">  A  CHANCE  OF   RAIN  OR  SNOW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36957</v>
      </c>
      <c r="C36" s="91">
        <f>B10</f>
        <v>36958</v>
      </c>
      <c r="D36" s="91">
        <f>B15</f>
        <v>36959</v>
      </c>
      <c r="E36" s="91">
        <f xml:space="preserve">       B20</f>
        <v>36960</v>
      </c>
      <c r="F36" s="91">
        <f>B25</f>
        <v>36961</v>
      </c>
      <c r="G36" s="91">
        <f>B30</f>
        <v>36962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955</v>
      </c>
      <c r="C37" s="41">
        <f ca="1">(VLOOKUP(C36,PGL_Sendouts,(CELL("COL",PGL_Deliveries!C7))))/1000</f>
        <v>1045</v>
      </c>
      <c r="D37" s="41">
        <f ca="1">(VLOOKUP(D36,PGL_Sendouts,(CELL("COL",PGL_Deliveries!C8))))/1000</f>
        <v>1040</v>
      </c>
      <c r="E37" s="41">
        <f ca="1">(VLOOKUP(E36,PGL_Sendouts,(CELL("COL",PGL_Deliveries!C9))))/1000</f>
        <v>930</v>
      </c>
      <c r="F37" s="41">
        <f ca="1">(VLOOKUP(F36,PGL_Sendouts,(CELL("COL",PGL_Deliveries!C10))))/1000</f>
        <v>870</v>
      </c>
      <c r="G37" s="41">
        <f ca="1">(VLOOKUP(G36,PGL_Sendouts,(CELL("COL",PGL_Deliveries!C10))))/1000</f>
        <v>855</v>
      </c>
      <c r="H37" s="14"/>
      <c r="I37" s="15"/>
    </row>
    <row r="38" spans="1:9" ht="15">
      <c r="A38" s="15" t="s">
        <v>301</v>
      </c>
      <c r="B38" s="41">
        <f>PGL_6_Day_Report!D30</f>
        <v>1108.56</v>
      </c>
      <c r="C38" s="41">
        <f>PGL_6_Day_Report!E30</f>
        <v>1070.6600000000001</v>
      </c>
      <c r="D38" s="41">
        <f>PGL_6_Day_Report!F30</f>
        <v>1294.4100000000001</v>
      </c>
      <c r="E38" s="41">
        <f>PGL_6_Day_Report!G30</f>
        <v>1184.4100000000001</v>
      </c>
      <c r="F38" s="41">
        <f>PGL_6_Day_Report!H30</f>
        <v>1124.4100000000001</v>
      </c>
      <c r="G38" s="41">
        <f>PGL_6_Day_Report!I30</f>
        <v>1109.4100000000001</v>
      </c>
      <c r="H38" s="14"/>
      <c r="I38" s="15"/>
    </row>
    <row r="39" spans="1:9" ht="15">
      <c r="A39" s="42" t="s">
        <v>109</v>
      </c>
      <c r="B39" s="41">
        <f>SUM(PGL_Supplies!Z7:AE7)/1000</f>
        <v>847.64700000000005</v>
      </c>
      <c r="C39" s="41">
        <f>SUM(PGL_Supplies!Z8:AE8)/1000</f>
        <v>798.05799999999999</v>
      </c>
      <c r="D39" s="41">
        <f>SUM(PGL_Supplies!Z9:AE9)/1000</f>
        <v>798.05799999999999</v>
      </c>
      <c r="E39" s="41">
        <f>SUM(PGL_Supplies!Z10:AE10)/1000</f>
        <v>798.05799999999999</v>
      </c>
      <c r="F39" s="41">
        <f>SUM(PGL_Supplies!Z11:AE11)/1000</f>
        <v>798.05799999999999</v>
      </c>
      <c r="G39" s="41">
        <f>SUM(PGL_Supplies!Z12:AE12)/1000</f>
        <v>798.05799999999999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0.66</v>
      </c>
      <c r="C41" s="41">
        <f>SUM(PGL_Requirements!R7:U7)/1000</f>
        <v>0.66</v>
      </c>
      <c r="D41" s="41">
        <f>SUM(PGL_Requirements!R7:U7)/1000</f>
        <v>0.66</v>
      </c>
      <c r="E41" s="41">
        <f>SUM(PGL_Requirements!R7:U7)/1000</f>
        <v>0.66</v>
      </c>
      <c r="F41" s="41">
        <f>SUM(PGL_Requirements!R7:U7)/1000</f>
        <v>0.66</v>
      </c>
      <c r="G41" s="41">
        <f>SUM(PGL_Requirements!R7:U7)/1000</f>
        <v>0.66</v>
      </c>
      <c r="H41" s="14"/>
      <c r="I41" s="15"/>
    </row>
    <row r="42" spans="1:9" ht="15">
      <c r="A42" s="15" t="s">
        <v>132</v>
      </c>
      <c r="B42" s="41">
        <f>PGL_Supplies!V7/1000</f>
        <v>296.28199999999998</v>
      </c>
      <c r="C42" s="41">
        <f>PGL_Supplies!V8/1000</f>
        <v>296.28199999999998</v>
      </c>
      <c r="D42" s="41">
        <f>PGL_Supplies!V9/1000</f>
        <v>296.28199999999998</v>
      </c>
      <c r="E42" s="41">
        <f>PGL_Supplies!V10/1000</f>
        <v>296.28199999999998</v>
      </c>
      <c r="F42" s="41">
        <f>PGL_Supplies!V11/1000</f>
        <v>296.28199999999998</v>
      </c>
      <c r="G42" s="41">
        <f>PGL_Supplies!V12/1000</f>
        <v>296.28199999999998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36957</v>
      </c>
      <c r="C44" s="91">
        <f t="shared" si="0"/>
        <v>36958</v>
      </c>
      <c r="D44" s="91">
        <f t="shared" si="0"/>
        <v>36959</v>
      </c>
      <c r="E44" s="91">
        <f t="shared" si="0"/>
        <v>36960</v>
      </c>
      <c r="F44" s="91">
        <f t="shared" si="0"/>
        <v>36961</v>
      </c>
      <c r="G44" s="91">
        <f t="shared" si="0"/>
        <v>36962</v>
      </c>
      <c r="H44" s="14"/>
      <c r="I44" s="15"/>
    </row>
    <row r="45" spans="1:9" ht="15">
      <c r="A45" s="15" t="s">
        <v>56</v>
      </c>
      <c r="B45" s="41">
        <f ca="1">NSG_6_Day_Report!D6</f>
        <v>152</v>
      </c>
      <c r="C45" s="41">
        <f ca="1">NSG_6_Day_Report!E6</f>
        <v>168</v>
      </c>
      <c r="D45" s="41">
        <f ca="1">NSG_6_Day_Report!F6</f>
        <v>166</v>
      </c>
      <c r="E45" s="41">
        <f ca="1">NSG_6_Day_Report!G6</f>
        <v>146</v>
      </c>
      <c r="F45" s="41">
        <f ca="1">NSG_6_Day_Report!H6</f>
        <v>138</v>
      </c>
      <c r="G45" s="41">
        <f ca="1">NSG_6_Day_Report!I6</f>
        <v>135</v>
      </c>
      <c r="H45" s="14"/>
      <c r="I45" s="15"/>
    </row>
    <row r="46" spans="1:9" ht="15">
      <c r="A46" s="42" t="s">
        <v>301</v>
      </c>
      <c r="B46" s="41">
        <f ca="1">NSG_6_Day_Report!D19</f>
        <v>174.63</v>
      </c>
      <c r="C46" s="41">
        <f ca="1">NSG_6_Day_Report!E19</f>
        <v>168</v>
      </c>
      <c r="D46" s="41">
        <f ca="1">NSG_6_Day_Report!F19</f>
        <v>166</v>
      </c>
      <c r="E46" s="41">
        <f ca="1">NSG_6_Day_Report!G19</f>
        <v>146</v>
      </c>
      <c r="F46" s="41">
        <f ca="1">NSG_6_Day_Report!H19</f>
        <v>138</v>
      </c>
      <c r="G46" s="41">
        <f ca="1">NSG_6_Day_Report!I19</f>
        <v>135</v>
      </c>
      <c r="H46" s="14"/>
      <c r="I46" s="15"/>
    </row>
    <row r="47" spans="1:9" ht="15">
      <c r="A47" s="42" t="s">
        <v>109</v>
      </c>
      <c r="B47" s="41">
        <f>SUM(NSG_Supplies!P7:R7)/1000</f>
        <v>123.63200000000001</v>
      </c>
      <c r="C47" s="41">
        <f>SUM(NSG_Supplies!P8:R8)/1000</f>
        <v>123.657</v>
      </c>
      <c r="D47" s="41">
        <f>SUM(NSG_Supplies!P9:R9)/1000</f>
        <v>123.657</v>
      </c>
      <c r="E47" s="41">
        <f>SUM(NSG_Supplies!P10:R10)/1000</f>
        <v>123.657</v>
      </c>
      <c r="F47" s="41">
        <f>SUM(NSG_Supplies!P11:R11)/1000</f>
        <v>123.657</v>
      </c>
      <c r="G47" s="41">
        <f>SUM(NSG_Supplies!P12:R12)/1000</f>
        <v>123.657</v>
      </c>
      <c r="H47" s="14"/>
      <c r="I47" s="15"/>
    </row>
    <row r="48" spans="1:9" ht="15">
      <c r="A48" s="42" t="s">
        <v>302</v>
      </c>
      <c r="B48" s="41">
        <f>SUM(NSG_Supplies!I7:M7)/1000</f>
        <v>51</v>
      </c>
      <c r="C48" s="41">
        <f>SUM(NSG_Supplies!I8:M8)/1000</f>
        <v>50</v>
      </c>
      <c r="D48" s="41">
        <f>SUM(NSG_Supplies!I9:M9)/1000</f>
        <v>20</v>
      </c>
      <c r="E48" s="41">
        <f>SUM(NSG_Supplies!I10:M10)/1000</f>
        <v>20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33.622999999999998</v>
      </c>
      <c r="C50" s="41">
        <f>NSG_Supplies!S8/1000</f>
        <v>33.622999999999998</v>
      </c>
      <c r="D50" s="41">
        <f>NSG_Supplies!S9/1000</f>
        <v>33.622999999999998</v>
      </c>
      <c r="E50" s="41">
        <f>NSG_Supplies!S10/1000</f>
        <v>33.622999999999998</v>
      </c>
      <c r="F50" s="41">
        <f>NSG_Supplies!S11/1000</f>
        <v>33.622999999999998</v>
      </c>
      <c r="G50" s="41">
        <f>NSG_Supplies!S12/1000</f>
        <v>33.622999999999998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36957</v>
      </c>
      <c r="C52" s="91">
        <f t="shared" si="1"/>
        <v>36958</v>
      </c>
      <c r="D52" s="91">
        <f t="shared" si="1"/>
        <v>36959</v>
      </c>
      <c r="E52" s="91">
        <f t="shared" si="1"/>
        <v>36960</v>
      </c>
      <c r="F52" s="91">
        <f t="shared" si="1"/>
        <v>36961</v>
      </c>
      <c r="G52" s="91">
        <f t="shared" si="1"/>
        <v>36962</v>
      </c>
      <c r="H52" s="14"/>
      <c r="I52" s="15"/>
    </row>
    <row r="53" spans="1:9" ht="15">
      <c r="A53" s="94" t="s">
        <v>305</v>
      </c>
      <c r="B53" s="41">
        <f>PGL_Requirements!P7/1000</f>
        <v>0</v>
      </c>
      <c r="C53" s="41">
        <f>PGL_Requirements!P8/1000</f>
        <v>0</v>
      </c>
      <c r="D53" s="41">
        <f>PGL_Requirements!P9/1000</f>
        <v>250</v>
      </c>
      <c r="E53" s="41">
        <f>PGL_Requirements!P10/1000</f>
        <v>250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60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42"/>
    </row>
    <row r="3" spans="1:8" ht="16.2" thickBot="1">
      <c r="A3" s="98" t="s">
        <v>311</v>
      </c>
    </row>
    <row r="4" spans="1:8">
      <c r="A4" s="99"/>
      <c r="B4" s="1143" t="str">
        <f>Six_Day_Summary!A10</f>
        <v>Thursday</v>
      </c>
      <c r="C4" s="1144" t="str">
        <f>Six_Day_Summary!A15</f>
        <v>Friday</v>
      </c>
      <c r="D4" s="1144" t="str">
        <f>Six_Day_Summary!A20</f>
        <v>Saturday</v>
      </c>
      <c r="E4" s="1144" t="str">
        <f>Six_Day_Summary!A25</f>
        <v>Sunday</v>
      </c>
      <c r="F4" s="1145" t="str">
        <f>Six_Day_Summary!A30</f>
        <v>Monday</v>
      </c>
      <c r="G4" s="100"/>
    </row>
    <row r="5" spans="1:8">
      <c r="A5" s="103" t="s">
        <v>312</v>
      </c>
      <c r="B5" s="1146">
        <f>Weather_Input!A6</f>
        <v>36958</v>
      </c>
      <c r="C5" s="1147">
        <f>Weather_Input!A7</f>
        <v>36959</v>
      </c>
      <c r="D5" s="1147">
        <f>Weather_Input!A8</f>
        <v>36960</v>
      </c>
      <c r="E5" s="1147">
        <f>Weather_Input!A9</f>
        <v>36961</v>
      </c>
      <c r="F5" s="1148">
        <f>Weather_Input!A10</f>
        <v>36962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265.88900000000001</v>
      </c>
      <c r="C6" s="1149">
        <f>PGL_Supplies!AC9/1000+PGL_Supplies!L9/1000-PGL_Requirements!O9/1000+C15-PGL_Requirements!T9/1000</f>
        <v>265.88900000000001</v>
      </c>
      <c r="D6" s="1149">
        <f>PGL_Supplies!AC10/1000+PGL_Supplies!L10/1000-PGL_Requirements!O10/1000+D15-PGL_Requirements!T10/1000</f>
        <v>265.88900000000001</v>
      </c>
      <c r="E6" s="1149">
        <f>PGL_Supplies!AC11/1000+PGL_Supplies!L11/1000-PGL_Requirements!O11/1000+E15-PGL_Requirements!T11/1000</f>
        <v>265.88900000000001</v>
      </c>
      <c r="F6" s="1150">
        <f>PGL_Supplies!AC12/1000+PGL_Supplies!L12/1000-PGL_Requirements!O12/1000+F15-PGL_Requirements!T12/1000</f>
        <v>265.88900000000001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100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6" thickBot="1">
      <c r="A17" s="102" t="s">
        <v>542</v>
      </c>
      <c r="B17" s="1156">
        <v>100</v>
      </c>
      <c r="C17" s="1157"/>
      <c r="D17" s="1157"/>
      <c r="E17" s="1157"/>
      <c r="F17" s="1158"/>
      <c r="G17" s="100"/>
    </row>
    <row r="20" spans="1:7" ht="16.2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Thursday</v>
      </c>
      <c r="C21" s="1159" t="str">
        <f t="shared" si="0"/>
        <v>Friday</v>
      </c>
      <c r="D21" s="1159" t="str">
        <f t="shared" si="0"/>
        <v>Saturday</v>
      </c>
      <c r="E21" s="1159" t="str">
        <f t="shared" si="0"/>
        <v>Sunday</v>
      </c>
      <c r="F21" s="1160" t="str">
        <f t="shared" si="0"/>
        <v>Monday</v>
      </c>
      <c r="G21" s="100"/>
    </row>
    <row r="22" spans="1:7">
      <c r="A22" s="107" t="s">
        <v>312</v>
      </c>
      <c r="B22" s="1161">
        <f t="shared" si="0"/>
        <v>36958</v>
      </c>
      <c r="C22" s="1161">
        <f t="shared" si="0"/>
        <v>36959</v>
      </c>
      <c r="D22" s="1161">
        <f t="shared" si="0"/>
        <v>36960</v>
      </c>
      <c r="E22" s="1161">
        <f t="shared" si="0"/>
        <v>36961</v>
      </c>
      <c r="F22" s="1162">
        <f t="shared" si="0"/>
        <v>36962</v>
      </c>
      <c r="G22" s="100"/>
    </row>
    <row r="23" spans="1:7">
      <c r="A23" s="100" t="s">
        <v>313</v>
      </c>
      <c r="B23" s="1155">
        <f>NSG_Supplies!R8/1000+NSG_Supplies!F8/1000-NSG_Requirements!H8/1000</f>
        <v>103.657</v>
      </c>
      <c r="C23" s="1155">
        <f>NSG_Supplies!R9/1000+NSG_Supplies!F9/1000-NSG_Requirements!H9/1000</f>
        <v>103.657</v>
      </c>
      <c r="D23" s="1155">
        <f>NSG_Supplies!R10/1000+NSG_Supplies!F10/1000-NSG_Requirements!H10/1000</f>
        <v>103.657</v>
      </c>
      <c r="E23" s="1155">
        <f>NSG_Supplies!R12/1000+NSG_Supplies!F11/1000-NSG_Requirements!H11/1000</f>
        <v>103.657</v>
      </c>
      <c r="F23" s="1150">
        <f>NSG_Supplies!R12/1000+NSG_Supplies!F12/1000-NSG_Requirements!H12/1000</f>
        <v>103.657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6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5"/>
      <c r="B1" s="811" t="s">
        <v>382</v>
      </c>
      <c r="C1" s="910">
        <f>Weather_Input!A6</f>
        <v>36958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0</v>
      </c>
      <c r="I4" s="176">
        <f>AVERAGE(H4/1.025)</f>
        <v>0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0</v>
      </c>
      <c r="H5" s="168"/>
      <c r="I5" s="1021">
        <f>AVERAGE(G5/1.025)</f>
        <v>0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788</v>
      </c>
      <c r="G6" s="909">
        <f>AVERAGE(G5/24)</f>
        <v>0</v>
      </c>
      <c r="H6" s="430"/>
      <c r="I6" s="1082"/>
    </row>
    <row r="7" spans="1:11" ht="15.75" customHeight="1">
      <c r="B7" s="172" t="s">
        <v>374</v>
      </c>
      <c r="C7" s="154">
        <f>NSG_Supplies!L8/1000</f>
        <v>50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50</v>
      </c>
      <c r="D10" s="438"/>
      <c r="E10" s="440">
        <f>AVERAGE(C10/24)</f>
        <v>2.0833333333333335</v>
      </c>
      <c r="F10" s="172" t="s">
        <v>450</v>
      </c>
      <c r="G10" s="154">
        <f>PGL_Supplies!AB8/1000</f>
        <v>219.327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324.56799999999998</v>
      </c>
      <c r="D11" s="790"/>
      <c r="E11" s="1132"/>
      <c r="F11" s="435" t="s">
        <v>379</v>
      </c>
      <c r="G11" s="447">
        <f>G8+G10</f>
        <v>219.327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324.56799999999998</v>
      </c>
      <c r="D14" s="438"/>
      <c r="E14" s="440">
        <f>AVERAGE(C14/24)</f>
        <v>13.523666666666665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55</v>
      </c>
      <c r="D15" s="60"/>
      <c r="E15" s="161"/>
      <c r="F15" s="783" t="s">
        <v>564</v>
      </c>
      <c r="G15" s="447">
        <f>G8+G10</f>
        <v>219.327</v>
      </c>
      <c r="H15" s="438"/>
      <c r="I15" s="440">
        <f>AVERAGE(G15/24)</f>
        <v>9.1386249999999993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55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5</v>
      </c>
      <c r="I19" s="443"/>
    </row>
    <row r="20" spans="1:9" ht="15.75" customHeight="1" thickTop="1" thickBot="1">
      <c r="B20" s="437" t="s">
        <v>559</v>
      </c>
      <c r="C20" s="448">
        <f>C17+C18-D19</f>
        <v>55</v>
      </c>
      <c r="D20" s="441" t="s">
        <v>11</v>
      </c>
      <c r="E20" s="440">
        <f>AVERAGE(C20/24)</f>
        <v>2.2916666666666665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146.643</v>
      </c>
      <c r="D21" s="154" t="s">
        <v>11</v>
      </c>
      <c r="E21" s="161"/>
      <c r="F21" s="172" t="s">
        <v>109</v>
      </c>
      <c r="G21" s="154">
        <f>PGL_Supplies!AD8/1000</f>
        <v>111.199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146.643</v>
      </c>
      <c r="D22" s="434"/>
      <c r="E22" s="436"/>
      <c r="F22" s="435" t="s">
        <v>379</v>
      </c>
      <c r="G22" s="447">
        <f>G21</f>
        <v>111.199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146.643</v>
      </c>
      <c r="D25" s="438"/>
      <c r="E25" s="440">
        <f>AVERAGE(C25/24)</f>
        <v>6.110125</v>
      </c>
      <c r="F25" s="552" t="s">
        <v>556</v>
      </c>
      <c r="G25" s="906">
        <f>G22+G23-H24+G20</f>
        <v>111.199</v>
      </c>
      <c r="H25" s="430"/>
      <c r="I25" s="907">
        <f>AVERAGE(G25/24)</f>
        <v>4.6332916666666666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1047" customWidth="1"/>
    <col min="2" max="2" width="8.08984375" style="1047" customWidth="1"/>
    <col min="3" max="3" width="7.90625" style="1047" customWidth="1"/>
    <col min="4" max="4" width="5.90625" style="1047" customWidth="1"/>
    <col min="5" max="5" width="4.453125" style="1047" customWidth="1"/>
    <col min="6" max="6" width="5.1796875" style="1047" customWidth="1"/>
    <col min="7" max="7" width="9" style="1047" customWidth="1"/>
    <col min="8" max="11" width="8.90625" style="1047"/>
    <col min="12" max="12" width="14.90625" style="1047" customWidth="1"/>
    <col min="13" max="13" width="5.6328125" style="1047" customWidth="1"/>
    <col min="14" max="16384" width="8.90625" style="1047"/>
  </cols>
  <sheetData>
    <row r="1" spans="1:22" ht="20.399999999999999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36958</v>
      </c>
      <c r="I1" s="933"/>
      <c r="J1" s="935"/>
      <c r="K1" s="935"/>
    </row>
    <row r="2" spans="1:22" ht="16.5" customHeight="1">
      <c r="A2" s="953" t="s">
        <v>688</v>
      </c>
      <c r="C2" s="1048">
        <v>221</v>
      </c>
      <c r="F2" s="1049">
        <v>29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" customHeight="1">
      <c r="A9" s="955">
        <f>PGL_Supplies!I8/1000</f>
        <v>3</v>
      </c>
      <c r="H9" s="955">
        <v>0</v>
      </c>
      <c r="I9" s="1053"/>
      <c r="K9" s="933" t="s">
        <v>692</v>
      </c>
      <c r="L9" s="955">
        <f>NSG_Deliveries!C6/1000</f>
        <v>168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" customHeight="1">
      <c r="A11" s="955">
        <f>Billy_Sheet!C20</f>
        <v>55</v>
      </c>
      <c r="B11" s="1053"/>
      <c r="H11" s="955">
        <f>NSG_Supplies!U8/1000</f>
        <v>0</v>
      </c>
      <c r="K11" s="936" t="s">
        <v>693</v>
      </c>
      <c r="L11" s="961">
        <f>SUM(K4+K17+K19+H11+H9-L9)</f>
        <v>5.6569999999999823</v>
      </c>
      <c r="N11" s="936"/>
      <c r="O11" s="961"/>
      <c r="U11" s="935"/>
      <c r="V11" s="949"/>
    </row>
    <row r="12" spans="1:22" ht="14.4" customHeight="1">
      <c r="A12" s="933" t="s">
        <v>754</v>
      </c>
      <c r="H12" s="955"/>
      <c r="U12" s="935"/>
      <c r="V12" s="955"/>
    </row>
    <row r="13" spans="1:22" ht="14.4" customHeight="1">
      <c r="A13" s="1051">
        <f>PGL_Supplies!Y8/1000</f>
        <v>324.56799999999998</v>
      </c>
      <c r="H13" s="955"/>
      <c r="U13" s="935"/>
      <c r="V13" s="955"/>
    </row>
    <row r="14" spans="1:22" ht="14.4" customHeight="1">
      <c r="H14" s="955"/>
      <c r="U14" s="935"/>
      <c r="V14" s="955"/>
    </row>
    <row r="15" spans="1:22" ht="15.6" customHeight="1">
      <c r="B15" s="1047" t="s">
        <v>11</v>
      </c>
      <c r="C15" s="1054">
        <v>410</v>
      </c>
      <c r="F15" s="1054">
        <v>84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50</v>
      </c>
      <c r="N17" s="955"/>
    </row>
    <row r="18" spans="1:17" ht="15" customHeight="1">
      <c r="A18" s="941"/>
      <c r="C18" s="1054">
        <v>458</v>
      </c>
      <c r="D18" s="1056"/>
      <c r="E18" s="1056"/>
      <c r="F18" s="1049">
        <v>84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103.657</v>
      </c>
      <c r="N19" s="1059"/>
    </row>
    <row r="20" spans="1:17" ht="17.25" customHeight="1">
      <c r="A20" s="955">
        <f>Billy_Sheet!G15</f>
        <v>219.327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146.643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111.199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1045</v>
      </c>
      <c r="L26" s="933" t="s">
        <v>692</v>
      </c>
      <c r="M26" s="955">
        <f>NSG_Deliveries!C6/1000</f>
        <v>168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859.73699999999997</v>
      </c>
      <c r="L28" s="936" t="s">
        <v>746</v>
      </c>
      <c r="M28" s="961">
        <f>SUM(J2+K17+K19+H11+H9-M26)</f>
        <v>5.6569999999999823</v>
      </c>
      <c r="N28" s="961"/>
    </row>
    <row r="29" spans="1:17">
      <c r="A29" s="955">
        <f>PGL_Supplies!M8/1000</f>
        <v>0</v>
      </c>
      <c r="B29" s="955"/>
      <c r="C29" s="936"/>
      <c r="D29" s="1062"/>
      <c r="F29" s="1114">
        <f>PGL_Requirements!A7</f>
        <v>36957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265.88900000000001</v>
      </c>
    </row>
    <row r="30" spans="1:17" ht="10.5" customHeight="1">
      <c r="A30" s="938"/>
      <c r="B30" s="955"/>
      <c r="C30" s="936"/>
      <c r="D30" s="955"/>
      <c r="F30" s="1114">
        <f>PGL_Requirements!A8</f>
        <v>36958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80.625999999999976</v>
      </c>
    </row>
    <row r="32" spans="1:17">
      <c r="A32" s="955">
        <f>PGL_Supplies!H8/1000</f>
        <v>0</v>
      </c>
      <c r="G32" s="955">
        <f>PGL_Requirements!P8/1000</f>
        <v>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603</v>
      </c>
      <c r="F38" s="1054">
        <v>145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859.73699999999997</v>
      </c>
      <c r="B40" s="949"/>
      <c r="C40" s="948"/>
      <c r="D40" s="949"/>
      <c r="E40" s="949"/>
      <c r="F40" s="1064"/>
      <c r="G40" s="1064">
        <f>SUM(G30:G35)</f>
        <v>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859.73699999999997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20</v>
      </c>
      <c r="C45" s="1067">
        <v>155</v>
      </c>
      <c r="D45" s="1068">
        <f>SUM(F2+F15)/2</f>
        <v>56.5</v>
      </c>
      <c r="E45" s="1069"/>
      <c r="F45" s="1070">
        <v>6.7000000000000004E-2</v>
      </c>
      <c r="G45" s="1071">
        <f>(C45-D45)*F45</f>
        <v>6.5995000000000008</v>
      </c>
      <c r="H45" s="1071">
        <f>(D45-B45)*F45</f>
        <v>2.4455</v>
      </c>
      <c r="I45" s="955"/>
      <c r="J45" s="1072"/>
    </row>
    <row r="46" spans="1:11">
      <c r="A46" s="935" t="s">
        <v>673</v>
      </c>
      <c r="B46" s="1073">
        <v>20</v>
      </c>
      <c r="C46" s="1067">
        <v>155</v>
      </c>
      <c r="D46" s="1068">
        <f>SUM(F18+F38)/2</f>
        <v>114.5</v>
      </c>
      <c r="E46" s="1069"/>
      <c r="F46" s="1070">
        <v>0.13900000000000001</v>
      </c>
      <c r="G46" s="1071">
        <f>(C46-D46)*F46</f>
        <v>5.6295000000000002</v>
      </c>
      <c r="H46" s="1071">
        <f>(D46-B46)*F46</f>
        <v>13.1355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315.5</v>
      </c>
      <c r="E47" s="1069"/>
      <c r="F47" s="1070">
        <v>0.14099999999999999</v>
      </c>
      <c r="G47" s="1071">
        <f>(C47-D47)*F47</f>
        <v>26.014499999999998</v>
      </c>
      <c r="H47" s="1071">
        <f>(D47-B47)*F47</f>
        <v>9.2354999999999983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530.5</v>
      </c>
      <c r="E48" s="1069"/>
      <c r="F48" s="1070">
        <v>0.161</v>
      </c>
      <c r="G48" s="1071">
        <f>(C48-D48)*F48</f>
        <v>43.389499999999998</v>
      </c>
      <c r="H48" s="1071">
        <f>(D48-B48)*F48</f>
        <v>21.0105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81.632999999999996</v>
      </c>
      <c r="H49" s="1071">
        <f>SUM(H45:H48)</f>
        <v>45.826999999999998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B5" sqref="B5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36957</v>
      </c>
      <c r="B5" s="11">
        <v>44</v>
      </c>
      <c r="C5" s="49">
        <v>27</v>
      </c>
      <c r="D5" s="49">
        <v>10</v>
      </c>
      <c r="E5" s="11" t="s">
        <v>787</v>
      </c>
      <c r="F5" s="11">
        <v>239</v>
      </c>
      <c r="G5" s="11">
        <v>5324</v>
      </c>
      <c r="H5" s="11">
        <v>32</v>
      </c>
      <c r="I5" s="1194" t="s">
        <v>795</v>
      </c>
      <c r="J5" s="1194" t="s">
        <v>796</v>
      </c>
      <c r="K5" s="11">
        <v>2</v>
      </c>
      <c r="L5" s="11">
        <v>1</v>
      </c>
      <c r="N5" s="15" t="str">
        <f>I5&amp;" "&amp;I5</f>
        <v xml:space="preserve">   PARTLY   SUNNY    PARTLY   SUNNY</v>
      </c>
      <c r="AE5" s="15">
        <v>1</v>
      </c>
      <c r="AH5" s="15" t="s">
        <v>34</v>
      </c>
    </row>
    <row r="6" spans="1:34" ht="16.5" customHeight="1">
      <c r="A6" s="88">
        <f>A5+1</f>
        <v>36958</v>
      </c>
      <c r="B6" s="11">
        <v>34</v>
      </c>
      <c r="C6" s="49">
        <v>22</v>
      </c>
      <c r="D6" s="49">
        <v>14</v>
      </c>
      <c r="E6" s="11" t="s">
        <v>11</v>
      </c>
      <c r="F6" s="11" t="s">
        <v>11</v>
      </c>
      <c r="G6" s="11"/>
      <c r="H6" s="11" t="s">
        <v>11</v>
      </c>
      <c r="I6" s="1194" t="s">
        <v>797</v>
      </c>
      <c r="J6" s="912" t="s">
        <v>11</v>
      </c>
      <c r="K6" s="11">
        <v>3</v>
      </c>
      <c r="L6" s="11" t="s">
        <v>634</v>
      </c>
      <c r="N6" s="15" t="str">
        <f>I6&amp;" "&amp;J6</f>
        <v xml:space="preserve">   CLOUDY... WITH  A   30%   CHANCE  OF  LIGHT  SNOW  OR FLURRIES.    </v>
      </c>
      <c r="AE6" s="15">
        <v>1</v>
      </c>
      <c r="AH6" s="15" t="s">
        <v>35</v>
      </c>
    </row>
    <row r="7" spans="1:34" ht="16.5" customHeight="1">
      <c r="A7" s="88">
        <f>A6+1</f>
        <v>36959</v>
      </c>
      <c r="B7" s="11">
        <v>35</v>
      </c>
      <c r="C7" s="49">
        <v>22</v>
      </c>
      <c r="D7" s="49">
        <v>10</v>
      </c>
      <c r="E7" s="11" t="s">
        <v>11</v>
      </c>
      <c r="F7" s="11" t="s">
        <v>11</v>
      </c>
      <c r="G7" s="11"/>
      <c r="H7" s="11" t="s">
        <v>11</v>
      </c>
      <c r="I7" s="1194" t="s">
        <v>794</v>
      </c>
      <c r="J7" s="912" t="s">
        <v>11</v>
      </c>
      <c r="K7" s="11">
        <v>2</v>
      </c>
      <c r="L7" s="11" t="s">
        <v>22</v>
      </c>
      <c r="N7" s="15" t="str">
        <f>I7&amp;" "&amp;J7</f>
        <v xml:space="preserve">   PARTLY  CLOUDY  </v>
      </c>
    </row>
    <row r="8" spans="1:34" ht="16.5" customHeight="1">
      <c r="A8" s="88">
        <f>A7+1</f>
        <v>36960</v>
      </c>
      <c r="B8" s="11">
        <v>43</v>
      </c>
      <c r="C8" s="49">
        <v>28</v>
      </c>
      <c r="D8" s="49">
        <v>10</v>
      </c>
      <c r="E8" s="11" t="s">
        <v>11</v>
      </c>
      <c r="F8" s="11" t="s">
        <v>11</v>
      </c>
      <c r="G8" s="11"/>
      <c r="H8" s="11" t="s">
        <v>11</v>
      </c>
      <c r="I8" s="1194" t="s">
        <v>798</v>
      </c>
      <c r="J8" s="912" t="s">
        <v>11</v>
      </c>
      <c r="K8" s="11">
        <v>3</v>
      </c>
      <c r="L8" s="11">
        <v>0</v>
      </c>
      <c r="N8" s="15" t="str">
        <f>I8&amp;" "&amp;J8</f>
        <v xml:space="preserve">  A  CHANCE  OF   RAIN   OR  SNOW  </v>
      </c>
    </row>
    <row r="9" spans="1:34" ht="16.5" customHeight="1">
      <c r="A9" s="88">
        <f>A8+1</f>
        <v>36961</v>
      </c>
      <c r="B9" s="11">
        <v>45</v>
      </c>
      <c r="C9" s="49">
        <v>31</v>
      </c>
      <c r="D9" s="49">
        <v>10</v>
      </c>
      <c r="E9" s="11" t="s">
        <v>11</v>
      </c>
      <c r="F9" s="11" t="s">
        <v>11</v>
      </c>
      <c r="G9" s="11"/>
      <c r="H9" s="11" t="s">
        <v>11</v>
      </c>
      <c r="I9" s="1194" t="s">
        <v>799</v>
      </c>
      <c r="J9" s="912" t="s">
        <v>11</v>
      </c>
      <c r="K9" s="11">
        <v>5</v>
      </c>
      <c r="L9" s="11">
        <v>0</v>
      </c>
      <c r="M9" s="89"/>
      <c r="N9" s="15" t="str">
        <f>I10&amp;" "&amp;J9</f>
        <v xml:space="preserve">  A  CHANCE  OF   RAIN  OR  SNOW  </v>
      </c>
    </row>
    <row r="10" spans="1:34" ht="16.5" customHeight="1">
      <c r="A10" s="88">
        <f>A9+1</f>
        <v>36962</v>
      </c>
      <c r="B10" s="11">
        <v>45</v>
      </c>
      <c r="C10" s="49">
        <v>31</v>
      </c>
      <c r="D10" s="49">
        <v>10</v>
      </c>
      <c r="E10" s="11" t="s">
        <v>11</v>
      </c>
      <c r="F10" s="11" t="s">
        <v>11</v>
      </c>
      <c r="G10" s="11"/>
      <c r="H10" s="11" t="s">
        <v>11</v>
      </c>
      <c r="I10" s="1194" t="s">
        <v>799</v>
      </c>
      <c r="J10" s="912" t="s">
        <v>11</v>
      </c>
      <c r="K10" s="11">
        <v>5</v>
      </c>
      <c r="L10" s="11" t="s">
        <v>419</v>
      </c>
    </row>
    <row r="11" spans="1:34" ht="16.5" customHeight="1">
      <c r="G11"/>
    </row>
    <row r="12" spans="1:34" ht="15.6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4" t="s">
        <v>580</v>
      </c>
      <c r="B2" s="186">
        <f>PGL_Deliveries!U5/1000</f>
        <v>4.1950000000000003</v>
      </c>
      <c r="C2" s="60"/>
      <c r="D2" s="121" t="s">
        <v>325</v>
      </c>
      <c r="E2" s="426">
        <f>Weather_Input!A5</f>
        <v>36957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0</v>
      </c>
      <c r="F3" s="184"/>
      <c r="H3"/>
      <c r="I3"/>
      <c r="J3"/>
      <c r="K3"/>
      <c r="L3"/>
      <c r="M3"/>
    </row>
    <row r="4" spans="1:13" ht="15.6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0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6" thickBot="1">
      <c r="A6" s="182" t="s">
        <v>254</v>
      </c>
      <c r="B6" s="154">
        <f>PGL_Deliveries!I5/1000</f>
        <v>0</v>
      </c>
      <c r="C6" s="169"/>
      <c r="D6" s="59" t="s">
        <v>583</v>
      </c>
      <c r="E6" s="154">
        <f>PGL_Deliveries!P5/1000</f>
        <v>0</v>
      </c>
      <c r="F6" s="171"/>
      <c r="H6"/>
      <c r="I6"/>
      <c r="J6"/>
      <c r="K6"/>
      <c r="L6"/>
      <c r="M6"/>
    </row>
    <row r="7" spans="1:13" ht="16.2" thickBot="1">
      <c r="A7" s="181" t="s">
        <v>586</v>
      </c>
      <c r="B7" s="228">
        <f>SUM(B5:B6)</f>
        <v>0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165.42699999999999</v>
      </c>
      <c r="C8" s="632"/>
      <c r="D8" s="117" t="s">
        <v>585</v>
      </c>
      <c r="E8" s="154">
        <f>PGL_Deliveries!N5/1000</f>
        <v>0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8.1240000000000006</v>
      </c>
      <c r="C9" s="64"/>
      <c r="D9" s="117" t="s">
        <v>211</v>
      </c>
      <c r="E9" s="154">
        <f>PGL_Deliveries!Q5/1000</f>
        <v>0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149.911</v>
      </c>
      <c r="C10" s="64"/>
      <c r="D10" s="117" t="s">
        <v>213</v>
      </c>
      <c r="E10" s="154">
        <f>PGL_Deliveries!S5/1000</f>
        <v>4.1950000000000003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3.665</v>
      </c>
      <c r="C11" s="64"/>
      <c r="D11" s="117" t="s">
        <v>587</v>
      </c>
      <c r="E11" s="154">
        <f>PGL_Deliveries!R5/1000</f>
        <v>0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247.40100000000001</v>
      </c>
      <c r="C13" s="64"/>
      <c r="D13" s="117" t="s">
        <v>219</v>
      </c>
      <c r="E13" s="154">
        <f>PGL_Deliveries!F5/1000</f>
        <v>0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54.424999999999997</v>
      </c>
      <c r="C14" s="64"/>
      <c r="D14" s="117" t="s">
        <v>220</v>
      </c>
      <c r="E14" s="154">
        <f>PGL_Deliveries!H5/1000</f>
        <v>0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292.95000000000005</v>
      </c>
      <c r="C15" s="64"/>
      <c r="D15" s="59" t="s">
        <v>407</v>
      </c>
      <c r="E15" s="154">
        <f>PGL_Deliveries!K5/1000</f>
        <v>0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46.133000000000003</v>
      </c>
      <c r="D16" s="117" t="s">
        <v>223</v>
      </c>
      <c r="E16" s="154">
        <f>PGL_Deliveries!L5/1000</f>
        <v>0</v>
      </c>
      <c r="F16" s="171"/>
      <c r="H16"/>
      <c r="I16"/>
      <c r="J16"/>
      <c r="K16"/>
      <c r="L16"/>
      <c r="M16"/>
    </row>
    <row r="17" spans="1:13" ht="15.6" thickBot="1">
      <c r="A17" s="170" t="s">
        <v>186</v>
      </c>
      <c r="B17" s="154">
        <f>PGL_Deliveries!AP5/1000</f>
        <v>0</v>
      </c>
      <c r="C17" s="169" t="s">
        <v>11</v>
      </c>
      <c r="D17" s="1164" t="s">
        <v>222</v>
      </c>
      <c r="E17" s="210">
        <f>PGL_Deliveries!M5/1000</f>
        <v>0</v>
      </c>
      <c r="F17" s="167"/>
      <c r="H17"/>
      <c r="I17"/>
      <c r="J17"/>
      <c r="K17"/>
      <c r="L17"/>
      <c r="M17"/>
    </row>
    <row r="18" spans="1:13" ht="16.2" thickBot="1">
      <c r="A18" s="180" t="s">
        <v>591</v>
      </c>
      <c r="B18" s="906">
        <f>SUM(B8:B17)-C16</f>
        <v>875.77</v>
      </c>
      <c r="C18" s="169"/>
      <c r="D18" s="179" t="s">
        <v>592</v>
      </c>
      <c r="E18" s="178">
        <f>SUM(E5:E17)</f>
        <v>4.1950000000000003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257.91199999999998</v>
      </c>
      <c r="C19" s="632"/>
      <c r="D19" s="117" t="s">
        <v>320</v>
      </c>
      <c r="E19" s="154">
        <f>PGL_Deliveries!AI5/1000</f>
        <v>2.5000000000000001E-2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PGL_Deliveries!AF5/1000+B41</f>
        <v>99.028000000000006</v>
      </c>
      <c r="F20" s="171"/>
      <c r="H20"/>
      <c r="I20"/>
      <c r="J20"/>
      <c r="K20"/>
      <c r="L20"/>
      <c r="M20"/>
    </row>
    <row r="21" spans="1:13" ht="16.2" thickBot="1">
      <c r="A21" s="172" t="s">
        <v>761</v>
      </c>
      <c r="C21" s="176">
        <f>PGL_Requirements!J7/1000</f>
        <v>0</v>
      </c>
      <c r="D21" s="631" t="s">
        <v>593</v>
      </c>
      <c r="E21" s="211">
        <f>SUM(E18:E20)</f>
        <v>103.248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257.91199999999998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70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0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137.73500000000001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101.2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54.4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12.311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0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54.424999999999997</v>
      </c>
      <c r="C34" s="64"/>
      <c r="D34" s="60" t="s">
        <v>197</v>
      </c>
      <c r="E34" s="154">
        <f>PGL_Supplies!AC7/1000</f>
        <v>276.72300000000001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0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0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4.8079999999999998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2" thickBot="1">
      <c r="A40" s="172" t="s">
        <v>209</v>
      </c>
      <c r="B40" s="154">
        <f>PGL_Deliveries!AT5/1000</f>
        <v>0</v>
      </c>
      <c r="C40" s="64"/>
      <c r="D40" s="212" t="s">
        <v>224</v>
      </c>
      <c r="E40" s="211">
        <f>SUM(E22:E37)-SUM(F23:F39)-E33</f>
        <v>234.63399999999999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99.028000000000006</v>
      </c>
      <c r="C42" s="64"/>
      <c r="D42" s="251" t="s">
        <v>529</v>
      </c>
      <c r="E42" s="809">
        <f>PGL_Supplies!AB7/1000</f>
        <v>261.98899999999998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0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6" thickBot="1">
      <c r="A44" s="170" t="s">
        <v>751</v>
      </c>
      <c r="B44" s="210" t="s">
        <v>11</v>
      </c>
      <c r="C44" s="226">
        <f>PGL_Requirements!R7/1000</f>
        <v>0.66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44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27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 t="str">
        <f>Weather_Input!E5</f>
        <v>N/A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10</v>
      </c>
      <c r="C48" s="162"/>
      <c r="D48" s="251" t="s">
        <v>245</v>
      </c>
      <c r="E48" s="154">
        <f>PGL_Deliveries!AI5/1000</f>
        <v>2.5000000000000001E-2</v>
      </c>
      <c r="F48" s="161"/>
    </row>
    <row r="49" spans="1:6" ht="15">
      <c r="A49" s="172" t="s">
        <v>624</v>
      </c>
      <c r="B49" s="154">
        <f>PGL_Deliveries!AM5/1000</f>
        <v>1.028</v>
      </c>
      <c r="C49" s="162"/>
      <c r="D49" s="60" t="s">
        <v>625</v>
      </c>
      <c r="E49" s="154">
        <f>PGL_Deliveries!AJ5/1000</f>
        <v>3.665</v>
      </c>
      <c r="F49" s="161"/>
    </row>
    <row r="50" spans="1:6" ht="15.6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0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.6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6" thickBot="1">
      <c r="A3" s="1137" t="s">
        <v>5</v>
      </c>
      <c r="B3" s="244">
        <f>NSG_Deliveries!H5/1000</f>
        <v>0</v>
      </c>
      <c r="C3" s="120"/>
      <c r="D3" s="230" t="s">
        <v>325</v>
      </c>
      <c r="E3" s="429">
        <f>Weather_Input!A5</f>
        <v>36957</v>
      </c>
      <c r="F3" s="120"/>
      <c r="G3"/>
      <c r="J3"/>
      <c r="K3"/>
    </row>
    <row r="4" spans="1:11" ht="15.6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0</v>
      </c>
      <c r="C5" s="146"/>
      <c r="D5" s="222" t="s">
        <v>327</v>
      </c>
      <c r="E5" s="217">
        <f>NSG_Deliveries!D5/1000</f>
        <v>0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0</v>
      </c>
      <c r="C8" s="161"/>
      <c r="D8" s="821" t="s">
        <v>649</v>
      </c>
      <c r="E8" s="815">
        <f>NSG_Deliveries!F5/1000</f>
        <v>0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10.419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0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103.63200000000001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0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0.97799999999999998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51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104.61</v>
      </c>
      <c r="C27" s="148"/>
      <c r="D27" s="241" t="s">
        <v>355</v>
      </c>
      <c r="E27" s="221">
        <f>SUM(E18:E26)-SUM(F18:F26)</f>
        <v>51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4" t="s">
        <v>11</v>
      </c>
    </row>
    <row r="2" spans="1:3" ht="15.6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8.90625" style="801" customWidth="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1"/>
    <col min="2" max="16384" width="8.90625" style="138"/>
  </cols>
  <sheetData>
    <row r="1" spans="1:131" ht="15.6">
      <c r="A1" s="136"/>
      <c r="B1" s="137"/>
      <c r="D1" s="139"/>
    </row>
    <row r="2" spans="1:131" ht="15.6">
      <c r="A2" s="140"/>
      <c r="G2" s="137"/>
    </row>
    <row r="3" spans="1:131" ht="15">
      <c r="DZ3"/>
      <c r="EA3" s="152"/>
    </row>
    <row r="5" spans="1:131" ht="15.6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357</v>
      </c>
      <c r="B1" s="51">
        <f>Weather_Input!A5</f>
        <v>36957</v>
      </c>
      <c r="C1" s="4"/>
    </row>
    <row r="2" spans="1:19">
      <c r="A2" s="111" t="s">
        <v>358</v>
      </c>
      <c r="B2" s="4"/>
      <c r="C2" s="4"/>
    </row>
    <row r="3" spans="1:19" ht="15.6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36956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206274</v>
      </c>
      <c r="O6" s="204">
        <v>0</v>
      </c>
      <c r="P6" s="204">
        <v>33833426</v>
      </c>
      <c r="Q6" s="204">
        <v>15045098</v>
      </c>
      <c r="R6" s="204">
        <v>18788328</v>
      </c>
      <c r="S6" s="204">
        <v>0</v>
      </c>
    </row>
    <row r="7" spans="1:19">
      <c r="A7" s="4">
        <f>B1</f>
        <v>36957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304687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34138113</v>
      </c>
      <c r="Q7">
        <f>IF(O7&gt;0,Q6+O7,Q6)</f>
        <v>15045098</v>
      </c>
      <c r="R7">
        <f>IF(P7&gt;Q7,P7-Q7,0)</f>
        <v>19093015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>
      <selection activeCell="C5" sqref="C5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36957</v>
      </c>
      <c r="B5" s="1">
        <f>(Weather_Input!B5+Weather_Input!C5)/2</f>
        <v>35.5</v>
      </c>
      <c r="C5" s="913">
        <v>955000</v>
      </c>
      <c r="D5" s="914">
        <v>0</v>
      </c>
      <c r="E5" s="914">
        <v>0</v>
      </c>
      <c r="F5" s="914">
        <v>0</v>
      </c>
      <c r="G5" s="914">
        <v>0</v>
      </c>
      <c r="H5" s="914">
        <v>0</v>
      </c>
      <c r="I5" s="914">
        <v>0</v>
      </c>
      <c r="J5" s="914">
        <v>0</v>
      </c>
      <c r="K5" s="914">
        <v>0</v>
      </c>
      <c r="L5" s="914">
        <v>0</v>
      </c>
      <c r="M5" s="914">
        <v>0</v>
      </c>
      <c r="N5" s="914">
        <v>0</v>
      </c>
      <c r="O5" s="914">
        <v>0</v>
      </c>
      <c r="P5" s="914">
        <v>0</v>
      </c>
      <c r="Q5" s="914">
        <v>0</v>
      </c>
      <c r="R5" s="914">
        <v>0</v>
      </c>
      <c r="S5" s="919">
        <v>4195</v>
      </c>
      <c r="T5" s="1163">
        <v>0</v>
      </c>
      <c r="U5" s="913">
        <f>SUM(D5:S5)-T5</f>
        <v>4195</v>
      </c>
      <c r="V5" s="913">
        <v>165427</v>
      </c>
      <c r="W5" s="11">
        <v>8124</v>
      </c>
      <c r="X5" s="11">
        <v>149911</v>
      </c>
      <c r="Y5" s="11">
        <v>0</v>
      </c>
      <c r="Z5" s="11">
        <v>247401</v>
      </c>
      <c r="AA5" s="11">
        <v>0</v>
      </c>
      <c r="AB5" s="11">
        <v>0</v>
      </c>
      <c r="AC5" s="11">
        <v>0</v>
      </c>
      <c r="AD5" s="11">
        <v>54425</v>
      </c>
      <c r="AE5" s="11">
        <v>0</v>
      </c>
      <c r="AF5" s="11">
        <v>99028</v>
      </c>
      <c r="AG5" s="11">
        <v>0</v>
      </c>
      <c r="AH5" s="11">
        <v>0</v>
      </c>
      <c r="AI5" s="11">
        <v>25</v>
      </c>
      <c r="AJ5" s="11">
        <v>3665</v>
      </c>
      <c r="AK5" s="11">
        <v>0</v>
      </c>
      <c r="AL5" s="11">
        <v>0</v>
      </c>
      <c r="AM5" s="1">
        <v>1028</v>
      </c>
      <c r="AN5" s="1"/>
      <c r="AO5" s="1">
        <v>46133</v>
      </c>
      <c r="AP5" s="1">
        <v>0</v>
      </c>
      <c r="AQ5" s="1">
        <v>0</v>
      </c>
      <c r="AR5" s="1">
        <v>12311</v>
      </c>
      <c r="AS5" s="1">
        <v>4808</v>
      </c>
      <c r="AT5" s="1">
        <v>0</v>
      </c>
      <c r="AU5" s="1">
        <v>0</v>
      </c>
      <c r="AV5" s="1">
        <v>770</v>
      </c>
      <c r="AW5" s="628">
        <v>0</v>
      </c>
      <c r="AX5" s="1">
        <v>199500</v>
      </c>
      <c r="AY5" s="1"/>
      <c r="AZ5" s="1">
        <v>0</v>
      </c>
      <c r="BA5" s="1">
        <v>59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36958</v>
      </c>
      <c r="B6" s="1">
        <f>(Weather_Input!B6+Weather_Input!C6)/2</f>
        <v>28</v>
      </c>
      <c r="C6" s="913">
        <v>1045000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36959</v>
      </c>
      <c r="B7" s="932">
        <f>(Weather_Input!B7+Weather_Input!C7)/2</f>
        <v>28.5</v>
      </c>
      <c r="C7" s="913">
        <v>1040000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36960</v>
      </c>
      <c r="B8" s="932">
        <f>(Weather_Input!B8+Weather_Input!C8)/2</f>
        <v>35.5</v>
      </c>
      <c r="C8" s="913">
        <v>930000</v>
      </c>
      <c r="D8" s="915" t="s">
        <v>11</v>
      </c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36961</v>
      </c>
      <c r="B9" s="932">
        <f>(Weather_Input!B9+Weather_Input!C9)/2</f>
        <v>38</v>
      </c>
      <c r="C9" s="913">
        <v>870000</v>
      </c>
      <c r="D9" s="915" t="s">
        <v>11</v>
      </c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36962</v>
      </c>
      <c r="B10" s="932">
        <f>(Weather_Input!B10+Weather_Input!C10)/2</f>
        <v>38</v>
      </c>
      <c r="C10" s="913">
        <v>855000</v>
      </c>
      <c r="D10" s="915" t="s">
        <v>11</v>
      </c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C5" sqref="C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36957</v>
      </c>
      <c r="B5" s="1">
        <f>(Weather_Input!B5+Weather_Input!C5)/2</f>
        <v>35.5</v>
      </c>
      <c r="C5" s="913">
        <v>152000</v>
      </c>
      <c r="D5" s="913">
        <v>0</v>
      </c>
      <c r="E5" s="913">
        <v>0</v>
      </c>
      <c r="F5" s="913">
        <v>0</v>
      </c>
      <c r="G5" s="913">
        <v>0</v>
      </c>
      <c r="H5" s="921">
        <f>SUM(D5:G5)</f>
        <v>0</v>
      </c>
      <c r="I5" s="1">
        <v>1019</v>
      </c>
      <c r="J5" s="1" t="s">
        <v>11</v>
      </c>
      <c r="K5" s="1">
        <v>0</v>
      </c>
      <c r="L5" s="1">
        <v>978</v>
      </c>
      <c r="M5" s="1">
        <v>10419</v>
      </c>
      <c r="N5" s="1">
        <v>0</v>
      </c>
    </row>
    <row r="6" spans="1:14">
      <c r="A6" s="12">
        <f>A5+1</f>
        <v>36958</v>
      </c>
      <c r="B6" s="1">
        <f>(Weather_Input!B6+Weather_Input!C6)/2</f>
        <v>28</v>
      </c>
      <c r="C6" s="913">
        <v>168000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36959</v>
      </c>
      <c r="B7" s="932">
        <f>(Weather_Input!B7+Weather_Input!C7)/2</f>
        <v>28.5</v>
      </c>
      <c r="C7" s="913">
        <v>166000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36960</v>
      </c>
      <c r="B8" s="932">
        <f>(Weather_Input!B8+Weather_Input!C8)/2</f>
        <v>35.5</v>
      </c>
      <c r="C8" s="913">
        <v>146000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36961</v>
      </c>
      <c r="B9" s="932">
        <f>(Weather_Input!B9+Weather_Input!C9)/2</f>
        <v>38</v>
      </c>
      <c r="C9" s="913">
        <v>138000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36962</v>
      </c>
      <c r="B10" s="932">
        <f>(Weather_Input!B10+Weather_Input!C10)/2</f>
        <v>38</v>
      </c>
      <c r="C10" s="913">
        <v>135000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topLeftCell="K1" zoomScale="75" workbookViewId="0">
      <selection activeCell="O7" sqref="O7"/>
    </sheetView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3.2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3.2">
      <c r="A7" s="834">
        <f>Weather_Input!A5</f>
        <v>36957</v>
      </c>
      <c r="B7" s="922">
        <v>0</v>
      </c>
      <c r="C7" s="923">
        <v>0</v>
      </c>
      <c r="D7" s="626">
        <v>1000</v>
      </c>
      <c r="E7" s="626">
        <v>0</v>
      </c>
      <c r="F7" s="922">
        <v>0</v>
      </c>
      <c r="G7" s="922">
        <v>97500</v>
      </c>
      <c r="H7" s="924">
        <v>0</v>
      </c>
      <c r="I7" s="625">
        <v>0</v>
      </c>
      <c r="J7" s="625">
        <v>0</v>
      </c>
      <c r="K7" s="626">
        <v>0</v>
      </c>
      <c r="L7" s="625">
        <v>0</v>
      </c>
      <c r="M7" s="626">
        <v>0</v>
      </c>
      <c r="N7" s="626">
        <v>0</v>
      </c>
      <c r="O7" s="627">
        <v>54400</v>
      </c>
      <c r="P7" s="626">
        <v>0</v>
      </c>
      <c r="Q7" s="628">
        <f t="shared" ref="Q7:Q12" si="0">P7*0.015</f>
        <v>0</v>
      </c>
      <c r="R7" s="626">
        <v>660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36957</v>
      </c>
    </row>
    <row r="8" spans="1:89" s="1" customFormat="1" ht="13.2">
      <c r="A8" s="834">
        <f>A7+1</f>
        <v>36958</v>
      </c>
      <c r="B8" s="922">
        <v>0</v>
      </c>
      <c r="C8" s="923">
        <v>0</v>
      </c>
      <c r="D8" s="626">
        <v>0</v>
      </c>
      <c r="E8" s="626">
        <v>0</v>
      </c>
      <c r="F8" s="922">
        <v>0</v>
      </c>
      <c r="G8" s="922">
        <v>20000</v>
      </c>
      <c r="H8" s="924">
        <v>0</v>
      </c>
      <c r="I8" s="625">
        <v>5000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0</v>
      </c>
      <c r="P8" s="626">
        <v>0</v>
      </c>
      <c r="Q8" s="628">
        <f t="shared" si="0"/>
        <v>0</v>
      </c>
      <c r="R8" s="626">
        <v>660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36958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3.2">
      <c r="A9" s="834">
        <f>A8+1</f>
        <v>36959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250000</v>
      </c>
      <c r="Q9" s="628">
        <f t="shared" si="0"/>
        <v>3750</v>
      </c>
      <c r="R9" s="626">
        <v>660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36959</v>
      </c>
      <c r="AN9" s="625"/>
    </row>
    <row r="10" spans="1:89" s="1" customFormat="1" ht="13.2">
      <c r="A10" s="834">
        <f>A9+1</f>
        <v>36960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250000</v>
      </c>
      <c r="Q10" s="628">
        <f t="shared" si="0"/>
        <v>3750</v>
      </c>
      <c r="R10" s="626">
        <v>660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36960</v>
      </c>
    </row>
    <row r="11" spans="1:89" s="1" customFormat="1" ht="13.2">
      <c r="A11" s="834">
        <f>A10+1</f>
        <v>36961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660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36961</v>
      </c>
    </row>
    <row r="12" spans="1:89" s="1" customFormat="1" ht="13.2">
      <c r="A12" s="834">
        <f>A11+1</f>
        <v>36962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660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36962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>
      <selection activeCell="A7" sqref="A7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36957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922">
        <v>0</v>
      </c>
      <c r="H7" s="626">
        <v>0</v>
      </c>
      <c r="I7" s="626">
        <v>3000</v>
      </c>
      <c r="J7" s="626">
        <v>0</v>
      </c>
      <c r="K7" s="925">
        <v>0</v>
      </c>
      <c r="L7" s="627">
        <v>0</v>
      </c>
      <c r="M7" s="926">
        <v>0</v>
      </c>
      <c r="N7" s="626">
        <v>0</v>
      </c>
      <c r="O7" s="626">
        <v>0</v>
      </c>
      <c r="P7" s="626">
        <v>0</v>
      </c>
      <c r="Q7" s="626">
        <v>0</v>
      </c>
      <c r="R7" s="626">
        <v>0</v>
      </c>
      <c r="S7" s="925">
        <v>0</v>
      </c>
      <c r="T7" s="927">
        <v>0</v>
      </c>
      <c r="U7" s="626">
        <v>0</v>
      </c>
      <c r="V7" s="627">
        <v>296282</v>
      </c>
      <c r="W7" s="627">
        <v>0</v>
      </c>
      <c r="X7" s="625">
        <v>0</v>
      </c>
      <c r="Y7" s="925">
        <v>257912</v>
      </c>
      <c r="Z7" s="627">
        <v>70000</v>
      </c>
      <c r="AA7" s="1">
        <v>137735</v>
      </c>
      <c r="AB7" s="625">
        <v>261989</v>
      </c>
      <c r="AC7" s="625">
        <v>276723</v>
      </c>
      <c r="AD7" s="625">
        <v>101200</v>
      </c>
      <c r="AE7" s="925">
        <v>0</v>
      </c>
      <c r="AF7" s="51">
        <f>Weather_Input!A5</f>
        <v>36957</v>
      </c>
      <c r="AI7" s="625"/>
      <c r="AJ7" s="625"/>
      <c r="AK7" s="625"/>
    </row>
    <row r="8" spans="1:37">
      <c r="A8" s="834">
        <f>A7+1</f>
        <v>36958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0</v>
      </c>
      <c r="I8" s="626">
        <v>3000</v>
      </c>
      <c r="J8" s="626">
        <v>0</v>
      </c>
      <c r="K8" s="925">
        <v>0</v>
      </c>
      <c r="L8" s="627">
        <v>0</v>
      </c>
      <c r="M8" s="926">
        <v>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296282</v>
      </c>
      <c r="W8" s="627">
        <v>0</v>
      </c>
      <c r="X8" s="625">
        <v>0</v>
      </c>
      <c r="Y8" s="925">
        <v>324568</v>
      </c>
      <c r="Z8" s="627">
        <v>55000</v>
      </c>
      <c r="AA8" s="1">
        <v>146643</v>
      </c>
      <c r="AB8" s="625">
        <v>219327</v>
      </c>
      <c r="AC8" s="625">
        <v>265889</v>
      </c>
      <c r="AD8" s="625">
        <v>111199</v>
      </c>
      <c r="AE8" s="925">
        <v>0</v>
      </c>
      <c r="AF8" s="834">
        <f>AF7+1</f>
        <v>36958</v>
      </c>
      <c r="AI8" s="625"/>
      <c r="AJ8" s="625"/>
      <c r="AK8" s="625"/>
    </row>
    <row r="9" spans="1:37" s="625" customFormat="1">
      <c r="A9" s="834">
        <f>A8+1</f>
        <v>36959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296282</v>
      </c>
      <c r="W9" s="627">
        <v>0</v>
      </c>
      <c r="X9" s="625">
        <v>0</v>
      </c>
      <c r="Y9" s="925">
        <v>284218</v>
      </c>
      <c r="Z9" s="627">
        <v>55000</v>
      </c>
      <c r="AA9" s="1">
        <v>146643</v>
      </c>
      <c r="AB9" s="625">
        <v>219327</v>
      </c>
      <c r="AC9" s="625">
        <v>265889</v>
      </c>
      <c r="AD9" s="625">
        <v>111199</v>
      </c>
      <c r="AE9" s="925">
        <v>0</v>
      </c>
      <c r="AF9" s="834">
        <f>AF8+1</f>
        <v>36959</v>
      </c>
    </row>
    <row r="10" spans="1:37">
      <c r="A10" s="834">
        <f>A9+1</f>
        <v>36960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296282</v>
      </c>
      <c r="W10" s="627">
        <v>0</v>
      </c>
      <c r="X10" s="625">
        <v>0</v>
      </c>
      <c r="Y10" s="925">
        <v>284218</v>
      </c>
      <c r="Z10" s="627">
        <v>55000</v>
      </c>
      <c r="AA10" s="1">
        <v>146643</v>
      </c>
      <c r="AB10" s="625">
        <v>219327</v>
      </c>
      <c r="AC10" s="625">
        <v>265889</v>
      </c>
      <c r="AD10" s="625">
        <v>111199</v>
      </c>
      <c r="AE10" s="925">
        <v>0</v>
      </c>
      <c r="AF10" s="834">
        <f>AF9+1</f>
        <v>36960</v>
      </c>
      <c r="AI10" s="625"/>
      <c r="AJ10" s="625"/>
      <c r="AK10" s="625"/>
    </row>
    <row r="11" spans="1:37">
      <c r="A11" s="834">
        <f>A10+1</f>
        <v>36961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296282</v>
      </c>
      <c r="W11" s="627">
        <v>0</v>
      </c>
      <c r="X11" s="625">
        <v>0</v>
      </c>
      <c r="Y11" s="925">
        <v>284218</v>
      </c>
      <c r="Z11" s="627">
        <v>55000</v>
      </c>
      <c r="AA11" s="1">
        <v>146643</v>
      </c>
      <c r="AB11" s="625">
        <v>219327</v>
      </c>
      <c r="AC11" s="625">
        <v>265889</v>
      </c>
      <c r="AD11" s="625">
        <v>111199</v>
      </c>
      <c r="AE11" s="925">
        <v>0</v>
      </c>
      <c r="AF11" s="834">
        <f>AF10+1</f>
        <v>36961</v>
      </c>
    </row>
    <row r="12" spans="1:37">
      <c r="A12" s="834">
        <f>A11+1</f>
        <v>36962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296282</v>
      </c>
      <c r="W12" s="627">
        <v>0</v>
      </c>
      <c r="X12" s="625">
        <v>0</v>
      </c>
      <c r="Y12" s="925">
        <v>284218</v>
      </c>
      <c r="Z12" s="627">
        <v>55000</v>
      </c>
      <c r="AA12" s="1">
        <v>146643</v>
      </c>
      <c r="AB12" s="625">
        <v>219327</v>
      </c>
      <c r="AC12" s="625">
        <v>265889</v>
      </c>
      <c r="AD12" s="625">
        <v>111199</v>
      </c>
      <c r="AE12" s="925">
        <v>0</v>
      </c>
      <c r="AF12" s="834">
        <f>AF11+1</f>
        <v>36962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H7" sqref="H7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3.2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3.2">
      <c r="A7" s="835">
        <f>Weather_Input!A5</f>
        <v>36957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17630</v>
      </c>
      <c r="I7" s="923">
        <v>7197</v>
      </c>
      <c r="J7" s="923">
        <v>5000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36957</v>
      </c>
      <c r="AG7" s="625"/>
      <c r="AH7" s="625"/>
      <c r="AI7" s="625"/>
      <c r="AJ7" s="625"/>
      <c r="AK7" s="625"/>
    </row>
    <row r="8" spans="1:128" s="1" customFormat="1" ht="13.2">
      <c r="A8" s="835">
        <f>Weather_Input!A6</f>
        <v>36958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36958</v>
      </c>
      <c r="AG8" s="625"/>
      <c r="AH8" s="625"/>
      <c r="AI8" s="625"/>
      <c r="AJ8" s="625"/>
      <c r="AK8" s="625"/>
    </row>
    <row r="9" spans="1:128" s="1" customFormat="1" ht="13.2">
      <c r="A9" s="834">
        <f>A8+1</f>
        <v>36959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36959</v>
      </c>
      <c r="AG9" s="625"/>
      <c r="AH9" s="625"/>
      <c r="AI9" s="625"/>
      <c r="AJ9" s="625"/>
      <c r="AK9" s="625"/>
    </row>
    <row r="10" spans="1:128" s="1" customFormat="1" ht="13.2">
      <c r="A10" s="834">
        <f>A9+1</f>
        <v>36960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36960</v>
      </c>
      <c r="AG10" s="625"/>
      <c r="AH10" s="625"/>
      <c r="AI10" s="625"/>
      <c r="AJ10" s="625"/>
      <c r="AK10" s="625"/>
    </row>
    <row r="11" spans="1:128" s="1" customFormat="1" ht="13.2">
      <c r="A11" s="834">
        <f>A10+1</f>
        <v>36961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36961</v>
      </c>
      <c r="AG11" s="625"/>
      <c r="AH11" s="625"/>
      <c r="AI11" s="625"/>
      <c r="AJ11" s="625"/>
      <c r="AK11" s="625"/>
    </row>
    <row r="12" spans="1:128" s="1" customFormat="1" ht="13.2">
      <c r="A12" s="834">
        <f>A11+1</f>
        <v>36962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36962</v>
      </c>
      <c r="AG12" s="625"/>
      <c r="AH12" s="625"/>
      <c r="AI12" s="625"/>
      <c r="AJ12" s="625"/>
      <c r="AK12" s="625"/>
    </row>
    <row r="13" spans="1:128" s="1" customFormat="1" ht="13.2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3.2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L7" sqref="L7"/>
    </sheetView>
  </sheetViews>
  <sheetFormatPr defaultColWidth="8.81640625" defaultRowHeight="13.2"/>
  <cols>
    <col min="1" max="16384" width="8.8164062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36957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628">
        <f>(R7+S7+C7+PGL_Requirements!Y7+PGL_Requirements!Z7-NSG_Requirements!C7)*0.05</f>
        <v>6862.75</v>
      </c>
      <c r="H7" s="629">
        <v>0</v>
      </c>
      <c r="I7" s="628">
        <v>0</v>
      </c>
      <c r="J7" s="628">
        <v>0</v>
      </c>
      <c r="K7" s="628">
        <v>0</v>
      </c>
      <c r="L7" s="628">
        <v>51000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103632</v>
      </c>
      <c r="S7" s="628">
        <v>33623</v>
      </c>
      <c r="T7" s="628">
        <v>0</v>
      </c>
      <c r="U7" s="628">
        <v>0</v>
      </c>
      <c r="V7" s="834">
        <f>Weather_Input!A5</f>
        <v>36957</v>
      </c>
      <c r="W7" s="625"/>
      <c r="X7" s="625"/>
    </row>
    <row r="8" spans="1:24">
      <c r="A8" s="834">
        <f>A7+1</f>
        <v>36958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628">
        <f>(R8+S8+C8+PGL_Requirements!Y8+PGL_Requirements!Z8-NSG_Requirements!C8)*0.05</f>
        <v>6864</v>
      </c>
      <c r="H8" s="629">
        <v>0</v>
      </c>
      <c r="I8" s="628">
        <v>0</v>
      </c>
      <c r="J8" s="628">
        <v>0</v>
      </c>
      <c r="K8" s="628">
        <v>0</v>
      </c>
      <c r="L8" s="628">
        <v>50000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103657</v>
      </c>
      <c r="S8" s="628">
        <v>33623</v>
      </c>
      <c r="T8" s="628">
        <v>0</v>
      </c>
      <c r="U8" s="628">
        <v>0</v>
      </c>
      <c r="V8" s="834">
        <f>V7+1</f>
        <v>36958</v>
      </c>
      <c r="W8" s="625"/>
      <c r="X8" s="625"/>
    </row>
    <row r="9" spans="1:24">
      <c r="A9" s="834">
        <f>A8+1</f>
        <v>36959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6864</v>
      </c>
      <c r="H9" s="629">
        <v>0</v>
      </c>
      <c r="I9" s="628">
        <v>0</v>
      </c>
      <c r="J9" s="628">
        <v>0</v>
      </c>
      <c r="K9" s="628">
        <v>0</v>
      </c>
      <c r="L9" s="628">
        <v>20000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103657</v>
      </c>
      <c r="S9" s="628">
        <v>33623</v>
      </c>
      <c r="T9" s="628">
        <v>0</v>
      </c>
      <c r="U9" s="628">
        <v>0</v>
      </c>
      <c r="V9" s="834">
        <f>V8+1</f>
        <v>36959</v>
      </c>
      <c r="W9" s="625"/>
      <c r="X9" s="625"/>
    </row>
    <row r="10" spans="1:24">
      <c r="A10" s="834">
        <f>A9+1</f>
        <v>36960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6864</v>
      </c>
      <c r="H10" s="629">
        <v>0</v>
      </c>
      <c r="I10" s="628">
        <v>0</v>
      </c>
      <c r="J10" s="628">
        <v>0</v>
      </c>
      <c r="K10" s="628">
        <v>0</v>
      </c>
      <c r="L10" s="628">
        <v>20000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103657</v>
      </c>
      <c r="S10" s="628">
        <v>33623</v>
      </c>
      <c r="T10" s="628">
        <v>0</v>
      </c>
      <c r="U10" s="628">
        <v>0</v>
      </c>
      <c r="V10" s="834">
        <f>V9+1</f>
        <v>36960</v>
      </c>
      <c r="W10" s="625"/>
      <c r="X10" s="625"/>
    </row>
    <row r="11" spans="1:24">
      <c r="A11" s="834">
        <f>A10+1</f>
        <v>36961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6864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103657</v>
      </c>
      <c r="S11" s="628">
        <v>33623</v>
      </c>
      <c r="T11" s="628">
        <v>0</v>
      </c>
      <c r="U11" s="628">
        <v>0</v>
      </c>
      <c r="V11" s="834">
        <f>V10+1</f>
        <v>36961</v>
      </c>
      <c r="W11" s="625"/>
      <c r="X11" s="625"/>
    </row>
    <row r="12" spans="1:24">
      <c r="A12" s="834">
        <f>A11+1</f>
        <v>36962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6864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103657</v>
      </c>
      <c r="S12" s="628">
        <v>33623</v>
      </c>
      <c r="T12" s="628">
        <v>0</v>
      </c>
      <c r="U12" s="628">
        <v>0</v>
      </c>
      <c r="V12" s="834">
        <f>V11+1</f>
        <v>36962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WED</v>
      </c>
      <c r="I1" s="839">
        <f>D4</f>
        <v>36957</v>
      </c>
    </row>
    <row r="2" spans="1:256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2" thickBot="1">
      <c r="A3" s="843"/>
      <c r="B3" s="841"/>
      <c r="C3" s="841"/>
      <c r="D3" s="844" t="str">
        <f t="shared" ref="D3:I3" si="0">CHOOSE(WEEKDAY(D4),"SUN","MON","TUE","WED","THU","FRI","SAT")</f>
        <v>WED</v>
      </c>
      <c r="E3" s="844" t="str">
        <f t="shared" si="0"/>
        <v>THU</v>
      </c>
      <c r="F3" s="844" t="str">
        <f t="shared" si="0"/>
        <v>FRI</v>
      </c>
      <c r="G3" s="844" t="str">
        <f t="shared" si="0"/>
        <v>SAT</v>
      </c>
      <c r="H3" s="844" t="str">
        <f t="shared" si="0"/>
        <v>SUN</v>
      </c>
      <c r="I3" s="845" t="str">
        <f t="shared" si="0"/>
        <v>MON</v>
      </c>
    </row>
    <row r="4" spans="1:256" ht="16.2" thickBot="1">
      <c r="A4" s="846"/>
      <c r="B4" s="847"/>
      <c r="C4" s="847"/>
      <c r="D4" s="466">
        <f>Weather_Input!A5</f>
        <v>36957</v>
      </c>
      <c r="E4" s="466">
        <f>Weather_Input!A6</f>
        <v>36958</v>
      </c>
      <c r="F4" s="466">
        <f>Weather_Input!A7</f>
        <v>36959</v>
      </c>
      <c r="G4" s="466">
        <f>Weather_Input!A8</f>
        <v>36960</v>
      </c>
      <c r="H4" s="466">
        <f>Weather_Input!A9</f>
        <v>36961</v>
      </c>
      <c r="I4" s="467">
        <f>Weather_Input!A10</f>
        <v>36962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44/27/36</v>
      </c>
      <c r="E5" s="468" t="str">
        <f>TEXT(Weather_Input!B6,"0")&amp;"/"&amp;TEXT(Weather_Input!C6,"0") &amp; "/" &amp; TEXT((Weather_Input!B6+Weather_Input!C6)/2,"0")</f>
        <v>34/22/28</v>
      </c>
      <c r="F5" s="468" t="str">
        <f>TEXT(Weather_Input!B7,"0")&amp;"/"&amp;TEXT(Weather_Input!C7,"0") &amp; "/" &amp; TEXT((Weather_Input!B7+Weather_Input!C7)/2,"0")</f>
        <v>35/22/29</v>
      </c>
      <c r="G5" s="468" t="str">
        <f>TEXT(Weather_Input!B8,"0")&amp;"/"&amp;TEXT(Weather_Input!C8,"0") &amp; "/" &amp; TEXT((Weather_Input!B8+Weather_Input!C8)/2,"0")</f>
        <v>43/28/36</v>
      </c>
      <c r="H5" s="468" t="str">
        <f>TEXT(Weather_Input!B9,"0")&amp;"/"&amp;TEXT(Weather_Input!C9,"0") &amp; "/" &amp; TEXT((Weather_Input!B9+Weather_Input!C9)/2,"0")</f>
        <v>45/31/38</v>
      </c>
      <c r="I5" s="469" t="str">
        <f>TEXT(Weather_Input!B10,"0")&amp;"/"&amp;TEXT(Weather_Input!C10,"0") &amp; "/" &amp; TEXT((Weather_Input!B10+Weather_Input!C10)/2,"0")</f>
        <v>45/31/38</v>
      </c>
    </row>
    <row r="6" spans="1:256">
      <c r="A6" s="853" t="s">
        <v>139</v>
      </c>
      <c r="B6" s="841"/>
      <c r="C6" s="841"/>
      <c r="D6" s="468">
        <f>PGL_Deliveries!C5/1000</f>
        <v>955</v>
      </c>
      <c r="E6" s="468">
        <f>PGL_Deliveries!C6/1000</f>
        <v>1045</v>
      </c>
      <c r="F6" s="468">
        <f>PGL_Deliveries!C7/1000</f>
        <v>1040</v>
      </c>
      <c r="G6" s="468">
        <f>PGL_Deliveries!C8/1000</f>
        <v>930</v>
      </c>
      <c r="H6" s="468">
        <f>PGL_Deliveries!C9/1000</f>
        <v>870</v>
      </c>
      <c r="I6" s="469">
        <f>PGL_Deliveries!C10/1000</f>
        <v>855</v>
      </c>
    </row>
    <row r="7" spans="1:256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>
      <c r="A8" s="853" t="s">
        <v>728</v>
      </c>
      <c r="B8" s="841"/>
      <c r="C8" s="841"/>
      <c r="D8" s="468">
        <f>PGL_Requirements!I7/1000</f>
        <v>0</v>
      </c>
      <c r="E8" s="468">
        <f>PGL_Requirements!I8/1000</f>
        <v>5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>
      <c r="A13" s="850" t="s">
        <v>144</v>
      </c>
      <c r="B13" s="841" t="s">
        <v>145</v>
      </c>
      <c r="C13" s="841" t="s">
        <v>60</v>
      </c>
      <c r="D13" s="468">
        <f>PGL_Requirements!P7/1000</f>
        <v>0</v>
      </c>
      <c r="E13" s="468">
        <f>PGL_Requirements!P8/1000</f>
        <v>0</v>
      </c>
      <c r="F13" s="468">
        <f>PGL_Requirements!P9/1000</f>
        <v>250</v>
      </c>
      <c r="G13" s="468">
        <f>PGL_Requirements!P10/1000</f>
        <v>250</v>
      </c>
      <c r="H13" s="468">
        <f>PGL_Requirements!P11/1000</f>
        <v>250</v>
      </c>
      <c r="I13" s="469">
        <f>PGL_Requirements!P12/1000</f>
        <v>250</v>
      </c>
    </row>
    <row r="14" spans="1:256">
      <c r="A14" s="850"/>
      <c r="B14" s="841"/>
      <c r="C14" s="841" t="s">
        <v>101</v>
      </c>
      <c r="D14" s="468">
        <f>PGL_Requirements!Q7/1000</f>
        <v>0</v>
      </c>
      <c r="E14" s="468">
        <f>PGL_Requirements!Q8/1000</f>
        <v>0</v>
      </c>
      <c r="F14" s="468">
        <f>PGL_Requirements!Q9/1000</f>
        <v>3.75</v>
      </c>
      <c r="G14" s="468">
        <f>PGL_Requirements!Q10/1000</f>
        <v>3.75</v>
      </c>
      <c r="H14" s="468">
        <f>PGL_Requirements!Q11/1000</f>
        <v>3.75</v>
      </c>
      <c r="I14" s="469">
        <f>PGL_Requirements!Q12/1000</f>
        <v>3.75</v>
      </c>
    </row>
    <row r="15" spans="1:256">
      <c r="A15" s="850"/>
      <c r="C15" s="841" t="s">
        <v>747</v>
      </c>
      <c r="D15" s="468">
        <f>PGL_Requirements!R7/1000</f>
        <v>0.66</v>
      </c>
      <c r="E15" s="468">
        <f>PGL_Requirements!R8/1000</f>
        <v>0.66</v>
      </c>
      <c r="F15" s="468">
        <f>PGL_Requirements!R9/1000</f>
        <v>0.66</v>
      </c>
      <c r="G15" s="468">
        <f>PGL_Requirements!R10/1000</f>
        <v>0.66</v>
      </c>
      <c r="H15" s="468">
        <f>PGL_Requirements!R11/1000</f>
        <v>0.66</v>
      </c>
      <c r="I15" s="469">
        <f>PGL_Requirements!R12/1000</f>
        <v>0.66</v>
      </c>
    </row>
    <row r="16" spans="1:256">
      <c r="A16" s="850"/>
      <c r="C16" s="841" t="s">
        <v>780</v>
      </c>
      <c r="D16" s="468">
        <f>PGL_Requirements!B7/1000</f>
        <v>0</v>
      </c>
      <c r="E16" s="468">
        <f>PGL_Requirements!B8/1000</f>
        <v>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>
      <c r="A19" s="850"/>
      <c r="B19" s="841" t="s">
        <v>141</v>
      </c>
      <c r="C19" s="841" t="s">
        <v>90</v>
      </c>
      <c r="D19" s="468">
        <f>PGL_Requirements!O7/1000</f>
        <v>54.4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>
      <c r="A24" s="853" t="s">
        <v>149</v>
      </c>
      <c r="B24" s="841"/>
      <c r="C24" s="841"/>
      <c r="D24" s="468">
        <f>PGL_Requirements!G7/1000</f>
        <v>97.5</v>
      </c>
      <c r="E24" s="468">
        <f>PGL_Requirements!G8/1000</f>
        <v>20</v>
      </c>
      <c r="F24" s="468">
        <f>PGL_Requirements!G9/1000</f>
        <v>0</v>
      </c>
      <c r="G24" s="468">
        <f>PGL_Requirements!G10/1000</f>
        <v>0</v>
      </c>
      <c r="H24" s="468">
        <f>PGL_Requirements!G11/1000</f>
        <v>0</v>
      </c>
      <c r="I24" s="469">
        <f>PGL_Requirements!G12/1000</f>
        <v>0</v>
      </c>
    </row>
    <row r="25" spans="1:10">
      <c r="A25" s="850" t="s">
        <v>150</v>
      </c>
      <c r="B25" s="841" t="s">
        <v>765</v>
      </c>
      <c r="C25" s="841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>
      <c r="A26" s="850"/>
      <c r="B26" s="841" t="s">
        <v>68</v>
      </c>
      <c r="C26" s="841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>
      <c r="A27" s="850"/>
      <c r="B27" s="841" t="s">
        <v>93</v>
      </c>
      <c r="C27" s="841"/>
      <c r="D27" s="468">
        <f>PGL_Requirements!D7/1000</f>
        <v>1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>
      <c r="A28" s="850"/>
      <c r="B28" s="841" t="s">
        <v>421</v>
      </c>
      <c r="C28" s="841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>
      <c r="A29" s="850"/>
      <c r="B29" s="841" t="s">
        <v>96</v>
      </c>
      <c r="C29" s="841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5.6" thickBot="1">
      <c r="A30" s="858" t="s">
        <v>151</v>
      </c>
      <c r="B30" s="859"/>
      <c r="C30" s="859"/>
      <c r="D30" s="472">
        <f t="shared" ref="D30:I30" si="1">SUM(D6:D29)</f>
        <v>1108.56</v>
      </c>
      <c r="E30" s="472">
        <f t="shared" si="1"/>
        <v>1070.6600000000001</v>
      </c>
      <c r="F30" s="472">
        <f t="shared" si="1"/>
        <v>1294.4100000000001</v>
      </c>
      <c r="G30" s="472">
        <f t="shared" si="1"/>
        <v>1184.4100000000001</v>
      </c>
      <c r="H30" s="472">
        <f t="shared" si="1"/>
        <v>1124.4100000000001</v>
      </c>
      <c r="I30" s="1177">
        <f t="shared" si="1"/>
        <v>1109.4100000000001</v>
      </c>
    </row>
    <row r="31" spans="1:10" ht="16.2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8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5.6" thickTop="1">
      <c r="A33" s="850" t="s">
        <v>153</v>
      </c>
      <c r="B33" s="841" t="s">
        <v>145</v>
      </c>
      <c r="C33" s="841" t="s">
        <v>60</v>
      </c>
      <c r="D33" s="468">
        <f>PGL_Supplies!M7/1000</f>
        <v>0</v>
      </c>
      <c r="E33" s="468">
        <f>PGL_Supplies!M8/1000</f>
        <v>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>
      <c r="A34" s="850"/>
      <c r="B34" s="841"/>
      <c r="C34" s="841" t="s">
        <v>94</v>
      </c>
      <c r="D34" s="468">
        <f>PGL_Supplies!H7/1000</f>
        <v>0</v>
      </c>
      <c r="E34" s="468">
        <f>PGL_Supplies!H8/1000</f>
        <v>0</v>
      </c>
      <c r="F34" s="468">
        <f>PGL_Supplies!H9/1000</f>
        <v>0</v>
      </c>
      <c r="G34" s="468">
        <f>PGL_Supplies!H10/1000</f>
        <v>0</v>
      </c>
      <c r="H34" s="468">
        <f>PGL_Supplies!H11/1000</f>
        <v>0</v>
      </c>
      <c r="I34" s="469">
        <f>PGL_Supplies!H12/1000</f>
        <v>0</v>
      </c>
    </row>
    <row r="35" spans="1:9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>
      <c r="A36" s="850"/>
      <c r="B36" s="841" t="s">
        <v>143</v>
      </c>
      <c r="C36" s="841" t="s">
        <v>90</v>
      </c>
      <c r="D36" s="468">
        <f>PGL_Supplies!R7/1000</f>
        <v>0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>
      <c r="A37" s="850"/>
      <c r="B37" s="841" t="s">
        <v>141</v>
      </c>
      <c r="C37" s="841" t="s">
        <v>90</v>
      </c>
      <c r="D37" s="468">
        <f>PGL_Supplies!L7/1000</f>
        <v>0</v>
      </c>
      <c r="E37" s="468">
        <f>PGL_Supplies!L8/1000</f>
        <v>0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>
      <c r="A47" s="867" t="s">
        <v>775</v>
      </c>
      <c r="B47" s="841" t="s">
        <v>753</v>
      </c>
      <c r="C47" s="841"/>
      <c r="D47" s="468">
        <f>PGL_Supplies!Y7/1000</f>
        <v>257.91199999999998</v>
      </c>
      <c r="E47" s="468">
        <f>PGL_Supplies!Y8/1000</f>
        <v>324.56799999999998</v>
      </c>
      <c r="F47" s="468">
        <f>PGL_Supplies!Y9/1000</f>
        <v>284.21800000000002</v>
      </c>
      <c r="G47" s="468">
        <f>PGL_Supplies!Y10/1000</f>
        <v>284.21800000000002</v>
      </c>
      <c r="H47" s="468">
        <f>PGL_Supplies!Y11/1000</f>
        <v>284.21800000000002</v>
      </c>
      <c r="I47" s="469">
        <f>PGL_Supplies!Y12/1000</f>
        <v>284.21800000000002</v>
      </c>
    </row>
    <row r="48" spans="1:9">
      <c r="A48" s="853"/>
      <c r="B48" s="841" t="s">
        <v>143</v>
      </c>
      <c r="C48" s="854"/>
      <c r="D48" s="468">
        <f>PGL_Supplies!Z7/1000</f>
        <v>70</v>
      </c>
      <c r="E48" s="468">
        <f>PGL_Supplies!Z8/1000</f>
        <v>55</v>
      </c>
      <c r="F48" s="468">
        <f>PGL_Supplies!Z9/1000</f>
        <v>55</v>
      </c>
      <c r="G48" s="468">
        <f>PGL_Supplies!Z10/1000</f>
        <v>55</v>
      </c>
      <c r="H48" s="468">
        <f>PGL_Supplies!Z11/1000</f>
        <v>55</v>
      </c>
      <c r="I48" s="469">
        <f>PGL_Supplies!Z12/1000</f>
        <v>55</v>
      </c>
    </row>
    <row r="49" spans="1:10">
      <c r="A49" s="853"/>
      <c r="B49" s="841" t="s">
        <v>147</v>
      </c>
      <c r="C49" s="854"/>
      <c r="D49" s="468">
        <f>PGL_Supplies!AA7/1000</f>
        <v>137.73500000000001</v>
      </c>
      <c r="E49" s="468">
        <f>PGL_Supplies!AA8/1000</f>
        <v>146.643</v>
      </c>
      <c r="F49" s="468">
        <f>PGL_Supplies!AA9/1000</f>
        <v>146.643</v>
      </c>
      <c r="G49" s="468">
        <f>PGL_Supplies!AA10/1000</f>
        <v>146.643</v>
      </c>
      <c r="H49" s="468">
        <f>PGL_Supplies!AA11/1000</f>
        <v>146.643</v>
      </c>
      <c r="I49" s="469">
        <f>PGL_Supplies!AA12/1000</f>
        <v>146.643</v>
      </c>
    </row>
    <row r="50" spans="1:10">
      <c r="A50" s="853"/>
      <c r="B50" s="841" t="s">
        <v>421</v>
      </c>
      <c r="C50" s="854"/>
      <c r="D50" s="468">
        <f>PGL_Supplies!AB7/1000</f>
        <v>261.98899999999998</v>
      </c>
      <c r="E50" s="468">
        <f>PGL_Supplies!AB8/1000</f>
        <v>219.327</v>
      </c>
      <c r="F50" s="468">
        <f>PGL_Supplies!AB9/1000</f>
        <v>219.327</v>
      </c>
      <c r="G50" s="468">
        <f>PGL_Supplies!AB10/1000</f>
        <v>219.327</v>
      </c>
      <c r="H50" s="468">
        <f>PGL_Supplies!AB11/1000</f>
        <v>219.327</v>
      </c>
      <c r="I50" s="469">
        <f>PGL_Supplies!AB12/1000</f>
        <v>219.327</v>
      </c>
    </row>
    <row r="51" spans="1:10">
      <c r="A51" s="853"/>
      <c r="B51" s="841" t="s">
        <v>141</v>
      </c>
      <c r="C51" s="841"/>
      <c r="D51" s="468">
        <f>PGL_Supplies!AC7/1000</f>
        <v>276.72300000000001</v>
      </c>
      <c r="E51" s="468">
        <f>PGL_Supplies!AC8/1000</f>
        <v>265.88900000000001</v>
      </c>
      <c r="F51" s="468">
        <f>PGL_Supplies!AC9/1000</f>
        <v>265.88900000000001</v>
      </c>
      <c r="G51" s="468">
        <f>PGL_Supplies!AC10/1000</f>
        <v>265.88900000000001</v>
      </c>
      <c r="H51" s="468">
        <f>PGL_Supplies!AC11/1000</f>
        <v>265.88900000000001</v>
      </c>
      <c r="I51" s="469">
        <f>PGL_Supplies!AC12/1000</f>
        <v>265.88900000000001</v>
      </c>
    </row>
    <row r="52" spans="1:10">
      <c r="A52" s="853"/>
      <c r="B52" s="841" t="s">
        <v>142</v>
      </c>
      <c r="C52" s="841"/>
      <c r="D52" s="468">
        <f>PGL_Supplies!AD7/1000</f>
        <v>101.2</v>
      </c>
      <c r="E52" s="468">
        <f>PGL_Supplies!AD8/1000</f>
        <v>111.199</v>
      </c>
      <c r="F52" s="468">
        <f>PGL_Supplies!AD9/1000</f>
        <v>111.199</v>
      </c>
      <c r="G52" s="468">
        <f>PGL_Supplies!AD10/1000</f>
        <v>111.199</v>
      </c>
      <c r="H52" s="468">
        <f>PGL_Supplies!AD11/1000</f>
        <v>111.199</v>
      </c>
      <c r="I52" s="469">
        <f>PGL_Supplies!AD12/1000</f>
        <v>111.199</v>
      </c>
    </row>
    <row r="53" spans="1:10">
      <c r="A53" s="867"/>
      <c r="B53" s="841" t="s">
        <v>158</v>
      </c>
      <c r="C53" s="841"/>
      <c r="D53" s="468">
        <f>PGL_Supplies!I7/1000</f>
        <v>3</v>
      </c>
      <c r="E53" s="468">
        <f>PGL_Supplies!I8/1000</f>
        <v>3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>
      <c r="A55" s="853" t="s">
        <v>793</v>
      </c>
      <c r="B55" s="841"/>
      <c r="C55" s="841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>
      <c r="A57" s="850"/>
      <c r="B57" s="841" t="s">
        <v>143</v>
      </c>
      <c r="C57" s="841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>
      <c r="A58" s="850"/>
      <c r="B58" s="855" t="s">
        <v>147</v>
      </c>
      <c r="C58" s="841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>
      <c r="A59" s="850"/>
      <c r="B59" s="841" t="s">
        <v>421</v>
      </c>
      <c r="C59" s="841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5.6" thickBot="1">
      <c r="A61" s="871" t="s">
        <v>160</v>
      </c>
      <c r="B61" s="872"/>
      <c r="C61" s="872"/>
      <c r="D61" s="478">
        <f t="shared" ref="D61:I61" si="2">SUM(D33:D60)</f>
        <v>1108.559</v>
      </c>
      <c r="E61" s="478">
        <f t="shared" si="2"/>
        <v>1125.626</v>
      </c>
      <c r="F61" s="478">
        <f t="shared" si="2"/>
        <v>1085.2760000000001</v>
      </c>
      <c r="G61" s="478">
        <f t="shared" si="2"/>
        <v>1085.2760000000001</v>
      </c>
      <c r="H61" s="478">
        <f t="shared" si="2"/>
        <v>1085.2760000000001</v>
      </c>
      <c r="I61" s="1179">
        <f t="shared" si="2"/>
        <v>1085.2760000000001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0</v>
      </c>
      <c r="E62" s="479">
        <f t="shared" si="3"/>
        <v>54.965999999999894</v>
      </c>
      <c r="F62" s="479">
        <f t="shared" si="3"/>
        <v>0</v>
      </c>
      <c r="G62" s="479">
        <f t="shared" si="3"/>
        <v>0</v>
      </c>
      <c r="H62" s="479">
        <f t="shared" si="3"/>
        <v>0</v>
      </c>
      <c r="I62" s="1180">
        <f t="shared" si="3"/>
        <v>0</v>
      </c>
    </row>
    <row r="63" spans="1:10" ht="15.6" thickBot="1">
      <c r="A63" s="875" t="s">
        <v>162</v>
      </c>
      <c r="B63" s="859"/>
      <c r="C63" s="876"/>
      <c r="D63" s="480">
        <f t="shared" ref="D63:I63" si="4">IF(D30-D61&lt;0,0,D30-D61)</f>
        <v>9.9999999997635314E-4</v>
      </c>
      <c r="E63" s="480">
        <f t="shared" si="4"/>
        <v>0</v>
      </c>
      <c r="F63" s="480">
        <f t="shared" si="4"/>
        <v>209.13400000000001</v>
      </c>
      <c r="G63" s="480">
        <f t="shared" si="4"/>
        <v>99.134000000000015</v>
      </c>
      <c r="H63" s="480">
        <f t="shared" si="4"/>
        <v>39.134000000000015</v>
      </c>
      <c r="I63" s="1181">
        <f t="shared" si="4"/>
        <v>24.134000000000015</v>
      </c>
    </row>
    <row r="64" spans="1:10" ht="16.2" thickTop="1" thickBot="1">
      <c r="A64" s="1168" t="s">
        <v>779</v>
      </c>
      <c r="B64" s="1169"/>
      <c r="C64" s="1169"/>
      <c r="D64" s="1170">
        <f>PGL_Supplies!V7/1000</f>
        <v>296.28199999999998</v>
      </c>
      <c r="E64" s="1170">
        <f>PGL_Supplies!V8/1000</f>
        <v>296.28199999999998</v>
      </c>
      <c r="F64" s="1170">
        <f>PGL_Supplies!V9/1000</f>
        <v>296.28199999999998</v>
      </c>
      <c r="G64" s="1170">
        <f>PGL_Supplies!V10/1000</f>
        <v>296.28199999999998</v>
      </c>
      <c r="H64" s="1170">
        <f>PGL_Supplies!V11/1000</f>
        <v>296.28199999999998</v>
      </c>
      <c r="I64" s="1171">
        <f>PGL_Supplies!V12/1000</f>
        <v>296.28199999999998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2001-03-08T10:52:11Z</cp:lastPrinted>
  <dcterms:created xsi:type="dcterms:W3CDTF">1997-07-16T16:14:22Z</dcterms:created>
  <dcterms:modified xsi:type="dcterms:W3CDTF">2023-09-10T11:13:58Z</dcterms:modified>
</cp:coreProperties>
</file>