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D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H8" i="9"/>
  <c r="AJ8" i="9"/>
  <c r="AK8" i="9"/>
  <c r="Z9" i="9"/>
  <c r="AD9" i="9"/>
  <c r="AG9" i="9"/>
  <c r="AH9" i="9"/>
  <c r="AJ9" i="9"/>
  <c r="AK9" i="9"/>
  <c r="Z10" i="9"/>
  <c r="AD10" i="9"/>
  <c r="AG10" i="9"/>
  <c r="AH10" i="9"/>
  <c r="AJ10" i="9"/>
  <c r="AK10" i="9"/>
  <c r="Z11" i="9"/>
  <c r="AD11" i="9"/>
  <c r="AG11" i="9"/>
  <c r="AH11" i="9"/>
  <c r="AJ11" i="9"/>
  <c r="AK11" i="9"/>
  <c r="B12" i="9"/>
  <c r="Z12" i="9"/>
  <c r="AD12" i="9"/>
  <c r="AG12" i="9"/>
  <c r="AH12" i="9"/>
  <c r="AJ12" i="9"/>
  <c r="AK12" i="9"/>
  <c r="Z13" i="9"/>
  <c r="AD13" i="9"/>
  <c r="AG13" i="9"/>
  <c r="AH13" i="9"/>
  <c r="AJ13" i="9"/>
  <c r="AK13" i="9"/>
  <c r="E14" i="9"/>
  <c r="Z14" i="9"/>
  <c r="AD14" i="9"/>
  <c r="AG14" i="9"/>
  <c r="AH14" i="9"/>
  <c r="AJ14" i="9"/>
  <c r="AK14" i="9"/>
  <c r="F15" i="9"/>
  <c r="Z15" i="9"/>
  <c r="AD15" i="9"/>
  <c r="AG15" i="9"/>
  <c r="AH15" i="9"/>
  <c r="AJ15" i="9"/>
  <c r="AK15" i="9"/>
  <c r="Z16" i="9"/>
  <c r="AD16" i="9"/>
  <c r="AG16" i="9"/>
  <c r="AH16" i="9"/>
  <c r="AJ16" i="9"/>
  <c r="AK16" i="9"/>
  <c r="Z17" i="9"/>
  <c r="AD17" i="9"/>
  <c r="AG17" i="9"/>
  <c r="AH17" i="9"/>
  <c r="AJ17" i="9"/>
  <c r="AK17" i="9"/>
  <c r="Z18" i="9"/>
  <c r="AD18" i="9"/>
  <c r="AG18" i="9"/>
  <c r="AH18" i="9"/>
  <c r="AJ18" i="9"/>
  <c r="AK18" i="9"/>
  <c r="Z19" i="9"/>
  <c r="AD19" i="9"/>
  <c r="AG19" i="9"/>
  <c r="AH19" i="9"/>
  <c r="AJ19" i="9"/>
  <c r="AK19" i="9"/>
  <c r="Z20" i="9"/>
  <c r="AD20" i="9"/>
  <c r="AG20" i="9"/>
  <c r="AH20" i="9"/>
  <c r="AJ20" i="9"/>
  <c r="AK20" i="9"/>
  <c r="Z21" i="9"/>
  <c r="AD21" i="9"/>
  <c r="AG21" i="9"/>
  <c r="AH21" i="9"/>
  <c r="AJ21" i="9"/>
  <c r="AK21" i="9"/>
  <c r="Z22" i="9"/>
  <c r="AD22" i="9"/>
  <c r="AG22" i="9"/>
  <c r="AH22" i="9"/>
  <c r="AJ22" i="9"/>
  <c r="AK22" i="9"/>
  <c r="Z23" i="9"/>
  <c r="AD23" i="9"/>
  <c r="AG23" i="9"/>
  <c r="AJ23" i="9"/>
  <c r="Z24" i="9"/>
  <c r="AD24" i="9"/>
  <c r="AG24" i="9"/>
  <c r="AJ24" i="9"/>
  <c r="Z25" i="9"/>
  <c r="AD25" i="9"/>
  <c r="AG25" i="9"/>
  <c r="AJ25" i="9"/>
  <c r="Z26" i="9"/>
  <c r="AD26" i="9"/>
  <c r="AG26" i="9"/>
  <c r="AJ26" i="9"/>
  <c r="Z27" i="9"/>
  <c r="AD27" i="9"/>
  <c r="AG27" i="9"/>
  <c r="AJ27" i="9"/>
  <c r="C28" i="9"/>
  <c r="Z28" i="9"/>
  <c r="AD28" i="9"/>
  <c r="AG28" i="9"/>
  <c r="AJ28" i="9"/>
  <c r="B29" i="9"/>
  <c r="E29" i="9"/>
  <c r="Z29" i="9"/>
  <c r="AD29" i="9"/>
  <c r="AJ29" i="9"/>
  <c r="Z30" i="9"/>
  <c r="AD30" i="9"/>
  <c r="AJ30" i="9"/>
  <c r="Z31" i="9"/>
  <c r="AD31" i="9"/>
  <c r="AJ31" i="9"/>
  <c r="Z32" i="9"/>
  <c r="AD32" i="9"/>
  <c r="AJ32" i="9"/>
  <c r="B59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<sst xmlns="http://schemas.openxmlformats.org/spreadsheetml/2006/main" count="280" uniqueCount="75">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</sst>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55A-93B8-F0DF4446B23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0-455A-93B8-F0DF4446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66568"/>
        <c:axId val="1"/>
      </c:lineChart>
      <c:catAx>
        <c:axId val="186566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665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7E-4FE7-B9D5-93FE2406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3040"/>
        <c:axId val="1"/>
      </c:lineChart>
      <c:catAx>
        <c:axId val="18707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30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36-4168-9A82-AA4AD21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3368"/>
        <c:axId val="1"/>
      </c:lineChart>
      <c:catAx>
        <c:axId val="18707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3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D3-4091-B6BE-91710DFC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8616"/>
        <c:axId val="1"/>
      </c:lineChart>
      <c:catAx>
        <c:axId val="18707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8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7-4870-8AA1-4EB0F715EE6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7-4870-8AA1-4EB0F715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4712"/>
        <c:axId val="1"/>
      </c:lineChart>
      <c:catAx>
        <c:axId val="187414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47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4EE4-B0A0-4664F1F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2416"/>
        <c:axId val="1"/>
      </c:lineChart>
      <c:dateAx>
        <c:axId val="187412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2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B-4285-8164-E6923459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7664"/>
        <c:axId val="1"/>
      </c:lineChart>
      <c:catAx>
        <c:axId val="18741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76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D7-464D-8A12-2D9BD350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6024"/>
        <c:axId val="1"/>
      </c:lineChart>
      <c:catAx>
        <c:axId val="18741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602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7C-4EC5-B639-C5E7D1E0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6680"/>
        <c:axId val="1"/>
      </c:lineChart>
      <c:catAx>
        <c:axId val="1874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6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D8-406E-AD36-11547556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2632"/>
        <c:axId val="1"/>
      </c:lineChart>
      <c:catAx>
        <c:axId val="18765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52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9-4E7D-A14F-1E425043C63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9-4E7D-A14F-1E425043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2960"/>
        <c:axId val="1"/>
      </c:lineChart>
      <c:catAx>
        <c:axId val="187652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52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4118-B016-66547A5B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91512"/>
        <c:axId val="1"/>
      </c:lineChart>
      <c:dateAx>
        <c:axId val="186691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915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E17-A106-81CB554E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3616"/>
        <c:axId val="1"/>
      </c:lineChart>
      <c:dateAx>
        <c:axId val="187653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53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690-8928-B3098C78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7224"/>
        <c:axId val="1"/>
      </c:lineChart>
      <c:catAx>
        <c:axId val="187657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572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6-441B-9CF1-37F2E7D3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5912"/>
        <c:axId val="1"/>
      </c:lineChart>
      <c:catAx>
        <c:axId val="18765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559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CC-4586-A050-F6823D3C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5696"/>
        <c:axId val="1"/>
      </c:lineChart>
      <c:catAx>
        <c:axId val="18797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5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90-4D73-A481-D086EEC1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5368"/>
        <c:axId val="1"/>
      </c:lineChart>
      <c:catAx>
        <c:axId val="18797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5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B-4BEA-B64F-5BCE7DF7605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B-4BEA-B64F-5BCE7DF7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4384"/>
        <c:axId val="1"/>
      </c:lineChart>
      <c:catAx>
        <c:axId val="187974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43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3F7-B534-E79FFF4D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5040"/>
        <c:axId val="1"/>
      </c:lineChart>
      <c:dateAx>
        <c:axId val="187975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5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BFB-BBA2-1E1ED640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2744"/>
        <c:axId val="1"/>
      </c:lineChart>
      <c:catAx>
        <c:axId val="187972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27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78-48A7-BEA6-77B25336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0136"/>
        <c:axId val="1"/>
      </c:lineChart>
      <c:catAx>
        <c:axId val="18825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01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8E-4A71-A8C4-766AF3DB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1448"/>
        <c:axId val="1"/>
      </c:lineChart>
      <c:catAx>
        <c:axId val="18825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1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B-49E1-8B28-8EC8F3A0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4432"/>
        <c:axId val="1"/>
      </c:lineChart>
      <c:catAx>
        <c:axId val="186734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344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77-4732-B504-FBC66D39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2432"/>
        <c:axId val="1"/>
      </c:lineChart>
      <c:catAx>
        <c:axId val="18825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2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255000</c:v>
                </c:pt>
                <c:pt idx="19">
                  <c:v>262000</c:v>
                </c:pt>
                <c:pt idx="20">
                  <c:v>268000</c:v>
                </c:pt>
                <c:pt idx="21">
                  <c:v>398000</c:v>
                </c:pt>
                <c:pt idx="22">
                  <c:v>426000</c:v>
                </c:pt>
                <c:pt idx="23">
                  <c:v>444000</c:v>
                </c:pt>
                <c:pt idx="24">
                  <c:v>361000</c:v>
                </c:pt>
                <c:pt idx="25">
                  <c:v>309000</c:v>
                </c:pt>
                <c:pt idx="26">
                  <c:v>334000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491-A3AB-EA8AEB06AD7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  <c:pt idx="14">
                  <c:v>263721</c:v>
                </c:pt>
                <c:pt idx="15">
                  <c:v>270154</c:v>
                </c:pt>
                <c:pt idx="16">
                  <c:v>260948</c:v>
                </c:pt>
                <c:pt idx="17">
                  <c:v>253968</c:v>
                </c:pt>
                <c:pt idx="18">
                  <c:v>251475</c:v>
                </c:pt>
                <c:pt idx="19">
                  <c:v>238352</c:v>
                </c:pt>
                <c:pt idx="20">
                  <c:v>287220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491-A3AB-EA8AEB06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5712"/>
        <c:axId val="1"/>
      </c:lineChart>
      <c:catAx>
        <c:axId val="1882557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571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7000</c:v>
                </c:pt>
                <c:pt idx="15">
                  <c:v>67495</c:v>
                </c:pt>
                <c:pt idx="16">
                  <c:v>2277</c:v>
                </c:pt>
                <c:pt idx="17">
                  <c:v>13719</c:v>
                </c:pt>
                <c:pt idx="18">
                  <c:v>20000</c:v>
                </c:pt>
                <c:pt idx="19">
                  <c:v>17908</c:v>
                </c:pt>
                <c:pt idx="20">
                  <c:v>14349</c:v>
                </c:pt>
                <c:pt idx="21">
                  <c:v>24700</c:v>
                </c:pt>
                <c:pt idx="22">
                  <c:v>15200</c:v>
                </c:pt>
                <c:pt idx="23">
                  <c:v>20000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C-4BD8-BF8C-9E2EB514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2448"/>
        <c:axId val="1"/>
      </c:lineChart>
      <c:dateAx>
        <c:axId val="18852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2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  <c:pt idx="14">
                  <c:v>191278</c:v>
                </c:pt>
                <c:pt idx="15">
                  <c:v>190861</c:v>
                </c:pt>
                <c:pt idx="16">
                  <c:v>188648</c:v>
                </c:pt>
                <c:pt idx="17">
                  <c:v>197648</c:v>
                </c:pt>
                <c:pt idx="18">
                  <c:v>187668</c:v>
                </c:pt>
                <c:pt idx="19">
                  <c:v>187668</c:v>
                </c:pt>
                <c:pt idx="20">
                  <c:v>187668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0-4FC3-B729-873FF44C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2776"/>
        <c:axId val="1"/>
      </c:lineChart>
      <c:catAx>
        <c:axId val="1885227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27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219162.4192</c:v>
                </c:pt>
                <c:pt idx="15">
                  <c:v>158667.4192</c:v>
                </c:pt>
                <c:pt idx="16">
                  <c:v>158390.4192</c:v>
                </c:pt>
                <c:pt idx="17">
                  <c:v>144671.4192</c:v>
                </c:pt>
                <c:pt idx="18">
                  <c:v>131671.4192</c:v>
                </c:pt>
                <c:pt idx="19">
                  <c:v>120763.4192</c:v>
                </c:pt>
                <c:pt idx="20">
                  <c:v>113914.4192</c:v>
                </c:pt>
                <c:pt idx="21">
                  <c:v>96714.419200000004</c:v>
                </c:pt>
                <c:pt idx="22">
                  <c:v>88514.419200000004</c:v>
                </c:pt>
                <c:pt idx="23">
                  <c:v>75514.419200000004</c:v>
                </c:pt>
                <c:pt idx="24">
                  <c:v>75514.419200000004</c:v>
                </c:pt>
                <c:pt idx="25">
                  <c:v>75514.419200000004</c:v>
                </c:pt>
                <c:pt idx="26">
                  <c:v>75514.419200000004</c:v>
                </c:pt>
                <c:pt idx="27">
                  <c:v>75514.419200000004</c:v>
                </c:pt>
                <c:pt idx="28">
                  <c:v>75514.419200000004</c:v>
                </c:pt>
                <c:pt idx="29">
                  <c:v>75514.419200000004</c:v>
                </c:pt>
                <c:pt idx="30">
                  <c:v>75514.419200000004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D8-4263-B600-D68D5171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4088"/>
        <c:axId val="1"/>
      </c:lineChart>
      <c:catAx>
        <c:axId val="188524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40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15739</c:v>
                </c:pt>
                <c:pt idx="7">
                  <c:v>15275</c:v>
                </c:pt>
                <c:pt idx="8">
                  <c:v>13183</c:v>
                </c:pt>
                <c:pt idx="9">
                  <c:v>9859</c:v>
                </c:pt>
                <c:pt idx="10">
                  <c:v>12790</c:v>
                </c:pt>
                <c:pt idx="11">
                  <c:v>4</c:v>
                </c:pt>
                <c:pt idx="12">
                  <c:v>937</c:v>
                </c:pt>
                <c:pt idx="13">
                  <c:v>7817</c:v>
                </c:pt>
                <c:pt idx="14">
                  <c:v>9622</c:v>
                </c:pt>
                <c:pt idx="15">
                  <c:v>6967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9000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77-4872-93E5-BEA13C3C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17856"/>
        <c:axId val="1"/>
      </c:lineChart>
      <c:catAx>
        <c:axId val="18851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7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5700</c:v>
                </c:pt>
                <c:pt idx="5">
                  <c:v>11380</c:v>
                </c:pt>
                <c:pt idx="6">
                  <c:v>1341</c:v>
                </c:pt>
                <c:pt idx="7">
                  <c:v>3066</c:v>
                </c:pt>
                <c:pt idx="8">
                  <c:v>10383</c:v>
                </c:pt>
                <c:pt idx="9">
                  <c:v>11024</c:v>
                </c:pt>
                <c:pt idx="10">
                  <c:v>-1766</c:v>
                </c:pt>
                <c:pt idx="11">
                  <c:v>-1770</c:v>
                </c:pt>
                <c:pt idx="12">
                  <c:v>-2707</c:v>
                </c:pt>
                <c:pt idx="13">
                  <c:v>-10524</c:v>
                </c:pt>
                <c:pt idx="14">
                  <c:v>-9646</c:v>
                </c:pt>
                <c:pt idx="15">
                  <c:v>-6113</c:v>
                </c:pt>
                <c:pt idx="16">
                  <c:v>-6133</c:v>
                </c:pt>
                <c:pt idx="17">
                  <c:v>-6138</c:v>
                </c:pt>
                <c:pt idx="18">
                  <c:v>-6138</c:v>
                </c:pt>
                <c:pt idx="19">
                  <c:v>-6138</c:v>
                </c:pt>
                <c:pt idx="20">
                  <c:v>-6143</c:v>
                </c:pt>
                <c:pt idx="21">
                  <c:v>-6143</c:v>
                </c:pt>
                <c:pt idx="22">
                  <c:v>-6143</c:v>
                </c:pt>
                <c:pt idx="23">
                  <c:v>-4643</c:v>
                </c:pt>
                <c:pt idx="24">
                  <c:v>-4643</c:v>
                </c:pt>
                <c:pt idx="25">
                  <c:v>-4643</c:v>
                </c:pt>
                <c:pt idx="26">
                  <c:v>-4643</c:v>
                </c:pt>
                <c:pt idx="27">
                  <c:v>-4643</c:v>
                </c:pt>
                <c:pt idx="28">
                  <c:v>-4643</c:v>
                </c:pt>
                <c:pt idx="29">
                  <c:v>-4643</c:v>
                </c:pt>
                <c:pt idx="30">
                  <c:v>-4643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3A-4481-9D0C-A75C3C8A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0808"/>
        <c:axId val="1"/>
      </c:lineChart>
      <c:catAx>
        <c:axId val="18852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0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1D-428A-985C-1092A0C1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600"/>
        <c:axId val="1"/>
      </c:lineChart>
      <c:catAx>
        <c:axId val="1864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96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D6-44DA-A446-3BD4C702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5336"/>
        <c:axId val="1"/>
      </c:lineChart>
      <c:catAx>
        <c:axId val="18642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53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E3-439A-B526-A31E4615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32224"/>
        <c:axId val="1"/>
      </c:lineChart>
      <c:catAx>
        <c:axId val="1864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32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6-49C2-8543-A47D7AB1653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6-49C2-8543-A47D7AB1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32880"/>
        <c:axId val="1"/>
      </c:lineChart>
      <c:catAx>
        <c:axId val="186432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328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2-4A48-9F74-9DCF8BE9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272"/>
        <c:axId val="1"/>
      </c:lineChart>
      <c:dateAx>
        <c:axId val="186429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9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1-4ACE-9EA5-0A8C8654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8288"/>
        <c:axId val="1"/>
      </c:lineChart>
      <c:catAx>
        <c:axId val="187078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82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37034</v>
      </c>
      <c r="G1" s="2" t="s">
        <v>0</v>
      </c>
      <c r="H1" s="3">
        <f ca="1">TODAY()</f>
        <v>37034</v>
      </c>
    </row>
    <row r="2" spans="1:12" ht="13.8" thickBot="1" x14ac:dyDescent="0.3">
      <c r="A2" s="44" t="s">
        <v>10</v>
      </c>
      <c r="B2" s="45">
        <f ca="1">TODAY()+2</f>
        <v>37036</v>
      </c>
      <c r="G2" s="2" t="s">
        <v>10</v>
      </c>
      <c r="H2" s="3">
        <f ca="1">TODAY()+3</f>
        <v>37037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74</v>
      </c>
      <c r="C4" s="17">
        <v>52</v>
      </c>
      <c r="D4" s="18">
        <f>AVERAGE(B4,C4)</f>
        <v>63</v>
      </c>
      <c r="G4" s="2" t="s">
        <v>14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-215000</v>
      </c>
      <c r="C6" s="12">
        <v>-233000</v>
      </c>
      <c r="D6" s="25" t="s">
        <v>20</v>
      </c>
      <c r="E6" s="26">
        <v>-36000</v>
      </c>
      <c r="F6" s="12">
        <v>-39000</v>
      </c>
      <c r="G6" s="25" t="s">
        <v>19</v>
      </c>
      <c r="H6" s="26">
        <v>-220000</v>
      </c>
      <c r="I6" s="12">
        <v>-231000</v>
      </c>
      <c r="J6" s="25" t="s">
        <v>20</v>
      </c>
      <c r="K6" s="26">
        <v>-37000</v>
      </c>
      <c r="L6" s="12">
        <v>-41000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-50000</v>
      </c>
      <c r="D9" s="25" t="s">
        <v>26</v>
      </c>
      <c r="E9" s="26">
        <v>0</v>
      </c>
      <c r="G9" s="25" t="s">
        <v>64</v>
      </c>
      <c r="H9" s="26">
        <v>-50000</v>
      </c>
      <c r="J9" s="25" t="s">
        <v>26</v>
      </c>
      <c r="K9" s="26">
        <v>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v>-170000</v>
      </c>
      <c r="C12" s="14"/>
      <c r="D12" s="42" t="s">
        <v>51</v>
      </c>
      <c r="E12" s="40">
        <v>0</v>
      </c>
      <c r="G12" s="25" t="s">
        <v>26</v>
      </c>
      <c r="H12" s="26">
        <v>-170000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-16254</v>
      </c>
      <c r="G13" s="25" t="s">
        <v>57</v>
      </c>
      <c r="H13" s="26">
        <v>0</v>
      </c>
      <c r="I13" s="1"/>
      <c r="J13" s="25" t="s">
        <v>29</v>
      </c>
      <c r="K13" s="26">
        <v>-15254</v>
      </c>
    </row>
    <row r="14" spans="1:12" ht="13.8" thickBot="1" x14ac:dyDescent="0.3">
      <c r="A14" s="25" t="s">
        <v>17</v>
      </c>
      <c r="B14" s="26">
        <v>-7000</v>
      </c>
      <c r="C14" s="14"/>
      <c r="D14" s="33" t="s">
        <v>30</v>
      </c>
      <c r="E14" s="34">
        <f>SUM(E6:E13)</f>
        <v>-80594</v>
      </c>
      <c r="G14" s="25" t="s">
        <v>17</v>
      </c>
      <c r="H14" s="26">
        <v>-7000</v>
      </c>
      <c r="I14" s="14"/>
      <c r="J14" s="33" t="s">
        <v>30</v>
      </c>
      <c r="K14" s="34">
        <f>SUM(K6:K13)</f>
        <v>-80594</v>
      </c>
    </row>
    <row r="15" spans="1:12" x14ac:dyDescent="0.25">
      <c r="A15" s="25" t="s">
        <v>24</v>
      </c>
      <c r="B15" s="26"/>
      <c r="C15" s="14"/>
      <c r="D15" s="25"/>
      <c r="E15" s="26"/>
      <c r="F15" s="14">
        <f>+E14+E29</f>
        <v>0</v>
      </c>
      <c r="G15" s="25" t="s">
        <v>24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56</v>
      </c>
      <c r="B16" s="26">
        <v>-40000</v>
      </c>
      <c r="C16" s="14"/>
      <c r="D16" s="25" t="s">
        <v>35</v>
      </c>
      <c r="E16" s="26">
        <v>22875</v>
      </c>
      <c r="G16" s="25" t="s">
        <v>56</v>
      </c>
      <c r="H16" s="26">
        <v>-40000</v>
      </c>
      <c r="I16" s="14"/>
      <c r="J16" s="25" t="s">
        <v>35</v>
      </c>
      <c r="K16" s="26">
        <v>22875</v>
      </c>
    </row>
    <row r="17" spans="1:12" x14ac:dyDescent="0.25">
      <c r="A17" s="25" t="s">
        <v>29</v>
      </c>
      <c r="B17" s="40">
        <v>0</v>
      </c>
      <c r="C17" s="14"/>
      <c r="D17" s="25" t="s">
        <v>36</v>
      </c>
      <c r="E17" s="26">
        <v>10000</v>
      </c>
      <c r="G17" s="25" t="s">
        <v>29</v>
      </c>
      <c r="H17" s="40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31</v>
      </c>
      <c r="B18" s="26">
        <v>0</v>
      </c>
      <c r="D18" s="25" t="s">
        <v>37</v>
      </c>
      <c r="E18" s="26">
        <v>7603</v>
      </c>
      <c r="F18" s="14" t="s">
        <v>15</v>
      </c>
      <c r="G18" s="25" t="s">
        <v>31</v>
      </c>
      <c r="H18" s="26">
        <v>0</v>
      </c>
      <c r="J18" s="25" t="s">
        <v>37</v>
      </c>
      <c r="K18" s="26">
        <v>7603</v>
      </c>
      <c r="L18" s="14" t="s">
        <v>15</v>
      </c>
    </row>
    <row r="19" spans="1:12" x14ac:dyDescent="0.25">
      <c r="A19" s="25" t="s">
        <v>27</v>
      </c>
      <c r="B19" s="26">
        <v>-70000</v>
      </c>
      <c r="C19" s="41"/>
      <c r="D19" s="25" t="s">
        <v>38</v>
      </c>
      <c r="E19" s="26">
        <v>20831</v>
      </c>
      <c r="G19" s="25" t="s">
        <v>27</v>
      </c>
      <c r="H19" s="26">
        <v>-70000</v>
      </c>
      <c r="I19" s="41"/>
      <c r="J19" s="25" t="s">
        <v>38</v>
      </c>
      <c r="K19" s="26">
        <v>20831</v>
      </c>
    </row>
    <row r="20" spans="1:12" x14ac:dyDescent="0.25">
      <c r="A20" s="25" t="s">
        <v>47</v>
      </c>
      <c r="B20" s="26">
        <v>0</v>
      </c>
      <c r="C20" s="14"/>
      <c r="D20" s="25" t="s">
        <v>43</v>
      </c>
      <c r="E20" s="26">
        <v>0</v>
      </c>
      <c r="G20" s="25" t="s">
        <v>47</v>
      </c>
      <c r="H20" s="26">
        <v>0</v>
      </c>
      <c r="I20" s="14"/>
      <c r="J20" s="25" t="s">
        <v>43</v>
      </c>
      <c r="K20" s="26">
        <v>0</v>
      </c>
    </row>
    <row r="21" spans="1:12" x14ac:dyDescent="0.25">
      <c r="A21" s="25" t="s">
        <v>48</v>
      </c>
      <c r="B21" s="26">
        <v>0</v>
      </c>
      <c r="C21" s="14"/>
      <c r="D21" s="25" t="s">
        <v>55</v>
      </c>
      <c r="E21" s="26">
        <v>4340</v>
      </c>
      <c r="G21" s="25" t="s">
        <v>48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32</v>
      </c>
      <c r="B22" s="26">
        <v>-29198</v>
      </c>
      <c r="D22" s="25" t="s">
        <v>65</v>
      </c>
      <c r="E22" s="26">
        <v>6945</v>
      </c>
      <c r="G22" s="25" t="s">
        <v>32</v>
      </c>
      <c r="H22" s="26">
        <v>-29198</v>
      </c>
      <c r="J22" s="25" t="s">
        <v>65</v>
      </c>
      <c r="K22" s="26">
        <v>6945</v>
      </c>
    </row>
    <row r="23" spans="1:12" x14ac:dyDescent="0.25">
      <c r="A23" s="25" t="s">
        <v>26</v>
      </c>
      <c r="B23" s="40">
        <v>0</v>
      </c>
      <c r="C23" s="14" t="s">
        <v>15</v>
      </c>
      <c r="D23" s="25" t="s">
        <v>56</v>
      </c>
      <c r="E23" s="40">
        <v>0</v>
      </c>
      <c r="F23" s="14"/>
      <c r="G23" s="25" t="s">
        <v>26</v>
      </c>
      <c r="H23" s="40">
        <v>0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63</v>
      </c>
      <c r="B24" s="40">
        <v>0</v>
      </c>
      <c r="D24" s="25" t="s">
        <v>29</v>
      </c>
      <c r="E24" s="40">
        <v>0</v>
      </c>
      <c r="G24" s="25" t="s">
        <v>63</v>
      </c>
      <c r="H24" s="40">
        <v>0</v>
      </c>
      <c r="J24" s="25" t="s">
        <v>29</v>
      </c>
      <c r="K24" s="40">
        <v>0</v>
      </c>
    </row>
    <row r="25" spans="1:12" x14ac:dyDescent="0.25">
      <c r="A25" s="25" t="s">
        <v>33</v>
      </c>
      <c r="B25" s="26">
        <v>0</v>
      </c>
      <c r="D25" s="25" t="s">
        <v>26</v>
      </c>
      <c r="E25" s="40">
        <v>8000</v>
      </c>
      <c r="G25" s="25" t="s">
        <v>33</v>
      </c>
      <c r="H25" s="26">
        <v>0</v>
      </c>
      <c r="J25" s="25" t="s">
        <v>26</v>
      </c>
      <c r="K25" s="40">
        <v>8000</v>
      </c>
    </row>
    <row r="26" spans="1:12" x14ac:dyDescent="0.25">
      <c r="A26" s="25" t="s">
        <v>34</v>
      </c>
      <c r="B26" s="26">
        <v>0</v>
      </c>
      <c r="D26" s="25" t="s">
        <v>51</v>
      </c>
      <c r="E26" s="40">
        <v>0</v>
      </c>
      <c r="G26" s="25" t="s">
        <v>34</v>
      </c>
      <c r="H26" s="26">
        <v>0</v>
      </c>
      <c r="J26" s="25" t="s">
        <v>51</v>
      </c>
      <c r="K26" s="40">
        <v>0</v>
      </c>
    </row>
    <row r="27" spans="1:12" ht="13.8" thickBot="1" x14ac:dyDescent="0.3">
      <c r="A27" s="25" t="s">
        <v>62</v>
      </c>
      <c r="B27" s="26">
        <v>-20929</v>
      </c>
      <c r="C27" s="14"/>
      <c r="D27" s="25" t="s">
        <v>53</v>
      </c>
      <c r="E27" s="40">
        <v>0</v>
      </c>
      <c r="G27" s="25" t="s">
        <v>62</v>
      </c>
      <c r="H27" s="26">
        <v>-15929</v>
      </c>
      <c r="I27" s="14"/>
      <c r="J27" s="25" t="s">
        <v>53</v>
      </c>
      <c r="K27" s="40">
        <v>0</v>
      </c>
    </row>
    <row r="28" spans="1:12" ht="13.8" thickBot="1" x14ac:dyDescent="0.3">
      <c r="A28" s="33" t="s">
        <v>30</v>
      </c>
      <c r="B28" s="34">
        <f>SUM(B6:B27)</f>
        <v>-602127</v>
      </c>
      <c r="C28" s="14">
        <f>SUM(B28,B57)</f>
        <v>0</v>
      </c>
      <c r="D28" s="25" t="s">
        <v>39</v>
      </c>
      <c r="E28" s="26">
        <v>0</v>
      </c>
      <c r="G28" s="33" t="s">
        <v>30</v>
      </c>
      <c r="H28" s="34">
        <f>SUM(H6:H27)</f>
        <v>-602127</v>
      </c>
      <c r="I28" s="14">
        <f>SUM(H28,H57)</f>
        <v>0</v>
      </c>
      <c r="J28" s="25" t="s">
        <v>39</v>
      </c>
      <c r="K28" s="26">
        <v>0</v>
      </c>
    </row>
    <row r="29" spans="1:12" ht="13.8" thickBot="1" x14ac:dyDescent="0.3">
      <c r="A29" s="25"/>
      <c r="B29" s="40"/>
      <c r="C29" s="14"/>
      <c r="D29" s="33" t="s">
        <v>40</v>
      </c>
      <c r="E29" s="34">
        <f>SUM(E16:E28)</f>
        <v>80594</v>
      </c>
      <c r="G29" s="25"/>
      <c r="H29" s="40"/>
      <c r="I29" s="14"/>
      <c r="J29" s="33" t="s">
        <v>40</v>
      </c>
      <c r="K29" s="34">
        <f>SUM(K16:K28)</f>
        <v>80594</v>
      </c>
    </row>
    <row r="30" spans="1:12" ht="13.8" thickBot="1" x14ac:dyDescent="0.3">
      <c r="A30" s="25" t="s">
        <v>35</v>
      </c>
      <c r="B30" s="40">
        <v>103081</v>
      </c>
      <c r="C30" s="14"/>
      <c r="D30" s="30"/>
      <c r="E30" s="35"/>
      <c r="F30" s="14"/>
      <c r="G30" s="25" t="s">
        <v>35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36</v>
      </c>
      <c r="B31" s="40">
        <v>125000</v>
      </c>
      <c r="C31" s="14"/>
      <c r="E31" s="12"/>
      <c r="G31" s="25" t="s">
        <v>36</v>
      </c>
      <c r="H31" s="40">
        <v>125000</v>
      </c>
      <c r="I31" s="14"/>
      <c r="K31" s="12"/>
    </row>
    <row r="32" spans="1:12" x14ac:dyDescent="0.25">
      <c r="A32" s="25" t="s">
        <v>37</v>
      </c>
      <c r="B32" s="40">
        <v>0</v>
      </c>
      <c r="E32" s="12"/>
      <c r="G32" s="25" t="s">
        <v>37</v>
      </c>
      <c r="H32" s="40">
        <v>0</v>
      </c>
      <c r="K32" s="12"/>
    </row>
    <row r="33" spans="1:11" x14ac:dyDescent="0.25">
      <c r="A33" s="25" t="s">
        <v>38</v>
      </c>
      <c r="B33" s="40">
        <v>176804</v>
      </c>
      <c r="D33" s="52"/>
      <c r="G33" s="25" t="s">
        <v>38</v>
      </c>
      <c r="H33" s="40">
        <v>176804</v>
      </c>
      <c r="J33" s="52"/>
    </row>
    <row r="34" spans="1:11" x14ac:dyDescent="0.25">
      <c r="A34" s="25" t="s">
        <v>69</v>
      </c>
      <c r="B34" s="40">
        <v>29198</v>
      </c>
      <c r="C34" s="14"/>
      <c r="G34" s="25" t="s">
        <v>69</v>
      </c>
      <c r="H34" s="40">
        <v>29198</v>
      </c>
      <c r="I34" s="14"/>
    </row>
    <row r="35" spans="1:11" x14ac:dyDescent="0.25">
      <c r="A35" s="25" t="s">
        <v>61</v>
      </c>
      <c r="B35" s="40">
        <v>0</v>
      </c>
      <c r="G35" s="25" t="s">
        <v>61</v>
      </c>
      <c r="H35" s="40">
        <v>0</v>
      </c>
    </row>
    <row r="36" spans="1:11" x14ac:dyDescent="0.25">
      <c r="A36" s="25" t="s">
        <v>66</v>
      </c>
      <c r="B36" s="40">
        <v>0</v>
      </c>
      <c r="G36" s="25" t="s">
        <v>66</v>
      </c>
      <c r="H36" s="40">
        <v>0</v>
      </c>
    </row>
    <row r="37" spans="1:11" x14ac:dyDescent="0.25">
      <c r="A37" s="25" t="s">
        <v>52</v>
      </c>
      <c r="B37" s="40">
        <v>0</v>
      </c>
      <c r="D37" s="51"/>
      <c r="G37" s="25" t="s">
        <v>52</v>
      </c>
      <c r="H37" s="40">
        <v>0</v>
      </c>
      <c r="J37" s="51"/>
    </row>
    <row r="38" spans="1:11" x14ac:dyDescent="0.25">
      <c r="A38" s="25" t="s">
        <v>53</v>
      </c>
      <c r="B38" s="40">
        <v>20838</v>
      </c>
      <c r="D38" s="50"/>
      <c r="E38" s="14"/>
      <c r="G38" s="25" t="s">
        <v>53</v>
      </c>
      <c r="H38" s="40">
        <v>20838</v>
      </c>
      <c r="J38" s="50"/>
      <c r="K38" s="14"/>
    </row>
    <row r="39" spans="1:11" x14ac:dyDescent="0.25">
      <c r="A39" s="25" t="s">
        <v>17</v>
      </c>
      <c r="B39" s="40">
        <v>0</v>
      </c>
      <c r="G39" s="25" t="s">
        <v>17</v>
      </c>
      <c r="H39" s="40">
        <v>0</v>
      </c>
    </row>
    <row r="40" spans="1:11" x14ac:dyDescent="0.25">
      <c r="A40" s="25" t="s">
        <v>22</v>
      </c>
      <c r="B40" s="48"/>
      <c r="G40" s="25" t="s">
        <v>22</v>
      </c>
      <c r="H40" s="48"/>
    </row>
    <row r="41" spans="1:11" x14ac:dyDescent="0.25">
      <c r="A41" s="25" t="s">
        <v>60</v>
      </c>
      <c r="B41" s="40">
        <v>0</v>
      </c>
      <c r="G41" s="25" t="s">
        <v>60</v>
      </c>
      <c r="H41" s="40">
        <v>0</v>
      </c>
    </row>
    <row r="42" spans="1:11" x14ac:dyDescent="0.25">
      <c r="A42" s="25" t="s">
        <v>26</v>
      </c>
      <c r="B42" s="40">
        <v>54918</v>
      </c>
      <c r="G42" s="25" t="s">
        <v>26</v>
      </c>
      <c r="H42" s="40">
        <v>54918</v>
      </c>
    </row>
    <row r="43" spans="1:11" x14ac:dyDescent="0.25">
      <c r="A43" s="25" t="s">
        <v>41</v>
      </c>
      <c r="B43" s="40">
        <v>13950</v>
      </c>
      <c r="E43" s="12"/>
      <c r="G43" s="25" t="s">
        <v>41</v>
      </c>
      <c r="H43" s="40">
        <v>13950</v>
      </c>
      <c r="K43" s="12"/>
    </row>
    <row r="44" spans="1:11" x14ac:dyDescent="0.25">
      <c r="A44" s="25" t="s">
        <v>42</v>
      </c>
      <c r="B44" s="40">
        <v>1000</v>
      </c>
      <c r="C44" s="14"/>
      <c r="E44" s="12"/>
      <c r="G44" s="25" t="s">
        <v>42</v>
      </c>
      <c r="H44" s="40">
        <v>1000</v>
      </c>
      <c r="I44" s="14"/>
      <c r="K44" s="12"/>
    </row>
    <row r="45" spans="1:11" x14ac:dyDescent="0.25">
      <c r="A45" s="25" t="s">
        <v>43</v>
      </c>
      <c r="B45" s="40"/>
      <c r="E45" s="12"/>
      <c r="G45" s="25" t="s">
        <v>43</v>
      </c>
      <c r="H45" s="40"/>
      <c r="K45" s="12"/>
    </row>
    <row r="46" spans="1:11" x14ac:dyDescent="0.25">
      <c r="A46" s="25" t="s">
        <v>56</v>
      </c>
      <c r="B46" s="40">
        <v>0</v>
      </c>
      <c r="C46" s="14"/>
      <c r="E46" s="12"/>
      <c r="G46" s="25" t="s">
        <v>56</v>
      </c>
      <c r="H46" s="40">
        <v>0</v>
      </c>
      <c r="I46" s="14"/>
      <c r="K46" s="12"/>
    </row>
    <row r="47" spans="1:11" x14ac:dyDescent="0.25">
      <c r="A47" s="25" t="s">
        <v>29</v>
      </c>
      <c r="B47" s="40">
        <v>0</v>
      </c>
      <c r="G47" s="25" t="s">
        <v>29</v>
      </c>
      <c r="H47" s="40">
        <v>0</v>
      </c>
    </row>
    <row r="48" spans="1:11" x14ac:dyDescent="0.25">
      <c r="A48" s="25" t="s">
        <v>31</v>
      </c>
      <c r="B48" s="40">
        <v>0</v>
      </c>
      <c r="E48" s="12"/>
      <c r="G48" s="25" t="s">
        <v>31</v>
      </c>
      <c r="H48" s="40">
        <v>0</v>
      </c>
      <c r="K48" s="12"/>
    </row>
    <row r="49" spans="1:11" x14ac:dyDescent="0.25">
      <c r="A49" s="25" t="s">
        <v>44</v>
      </c>
      <c r="B49" s="40">
        <v>0</v>
      </c>
      <c r="C49" s="14" t="s">
        <v>15</v>
      </c>
      <c r="E49" s="12"/>
      <c r="G49" s="25" t="s">
        <v>44</v>
      </c>
      <c r="H49" s="40">
        <v>0</v>
      </c>
      <c r="I49" s="14" t="s">
        <v>15</v>
      </c>
      <c r="K49" s="12"/>
    </row>
    <row r="50" spans="1:11" x14ac:dyDescent="0.25">
      <c r="A50" s="25" t="s">
        <v>45</v>
      </c>
      <c r="B50" s="40">
        <v>0</v>
      </c>
      <c r="E50" s="12"/>
      <c r="G50" s="25" t="s">
        <v>45</v>
      </c>
      <c r="H50" s="40">
        <v>0</v>
      </c>
      <c r="K50" s="12"/>
    </row>
    <row r="51" spans="1:11" x14ac:dyDescent="0.25">
      <c r="A51" s="25" t="s">
        <v>46</v>
      </c>
      <c r="B51" s="40">
        <v>0</v>
      </c>
      <c r="E51" s="12"/>
      <c r="G51" s="25" t="s">
        <v>46</v>
      </c>
      <c r="H51" s="40">
        <v>0</v>
      </c>
      <c r="K51" s="12"/>
    </row>
    <row r="52" spans="1:11" x14ac:dyDescent="0.25">
      <c r="A52" s="25" t="s">
        <v>32</v>
      </c>
      <c r="B52" s="40">
        <v>0</v>
      </c>
      <c r="C52" s="14"/>
      <c r="E52" s="12"/>
      <c r="G52" s="25" t="s">
        <v>32</v>
      </c>
      <c r="H52" s="40">
        <v>0</v>
      </c>
      <c r="I52" s="14"/>
      <c r="K52" s="12"/>
    </row>
    <row r="53" spans="1:11" x14ac:dyDescent="0.25">
      <c r="A53" s="25" t="s">
        <v>67</v>
      </c>
      <c r="B53" s="40">
        <v>35000</v>
      </c>
      <c r="E53" s="12"/>
      <c r="G53" s="25" t="s">
        <v>67</v>
      </c>
      <c r="H53" s="40">
        <v>35000</v>
      </c>
      <c r="K53" s="12"/>
    </row>
    <row r="54" spans="1:11" x14ac:dyDescent="0.25">
      <c r="A54" s="25" t="s">
        <v>68</v>
      </c>
      <c r="B54" s="40">
        <v>42338</v>
      </c>
      <c r="C54" s="14"/>
      <c r="E54" s="12"/>
      <c r="G54" s="25" t="s">
        <v>68</v>
      </c>
      <c r="H54" s="40">
        <v>42338</v>
      </c>
      <c r="I54" s="14"/>
      <c r="K54" s="12"/>
    </row>
    <row r="55" spans="1:11" x14ac:dyDescent="0.25">
      <c r="A55" s="25" t="s">
        <v>26</v>
      </c>
      <c r="B55" s="40">
        <v>0</v>
      </c>
      <c r="C55" s="14"/>
      <c r="E55" s="12"/>
      <c r="G55" s="25" t="s">
        <v>26</v>
      </c>
      <c r="H55" s="40">
        <v>0</v>
      </c>
      <c r="I55" s="14"/>
      <c r="K55" s="12"/>
    </row>
    <row r="56" spans="1:11" ht="13.8" thickBot="1" x14ac:dyDescent="0.3">
      <c r="A56" s="25" t="s">
        <v>39</v>
      </c>
      <c r="B56" s="40">
        <v>0</v>
      </c>
      <c r="C56" s="14"/>
      <c r="E56" s="12"/>
      <c r="G56" s="25" t="s">
        <v>39</v>
      </c>
      <c r="H56" s="40">
        <v>0</v>
      </c>
      <c r="I56" s="14"/>
      <c r="K56" s="12"/>
    </row>
    <row r="57" spans="1:11" ht="13.8" thickBot="1" x14ac:dyDescent="0.3">
      <c r="A57" s="33" t="s">
        <v>40</v>
      </c>
      <c r="B57" s="34">
        <f>SUM(B30:B56)</f>
        <v>602127</v>
      </c>
      <c r="C57" s="14"/>
      <c r="E57" s="12"/>
      <c r="G57" s="33" t="s">
        <v>40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A5" sqref="A5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37034</v>
      </c>
      <c r="F1" s="4" t="s">
        <v>1</v>
      </c>
      <c r="G1" s="5">
        <v>350000</v>
      </c>
      <c r="H1" s="6"/>
      <c r="I1" s="7" t="s">
        <v>2</v>
      </c>
      <c r="J1" s="8">
        <v>69000</v>
      </c>
      <c r="O1" s="43" t="s">
        <v>3</v>
      </c>
      <c r="P1" s="11">
        <f ca="1">TODAY()+2</f>
        <v>37036</v>
      </c>
      <c r="Q1" s="12">
        <v>370000</v>
      </c>
      <c r="S1" s="43" t="s">
        <v>4</v>
      </c>
      <c r="T1" s="11">
        <f ca="1">TODAY()+2</f>
        <v>37036</v>
      </c>
      <c r="U1" s="12">
        <v>75000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37035</v>
      </c>
      <c r="D2" s="14"/>
      <c r="P2" s="11">
        <f ca="1">TODAY()+3</f>
        <v>37037</v>
      </c>
      <c r="Q2" s="12">
        <v>310000</v>
      </c>
      <c r="T2" s="11">
        <f ca="1">TODAY()+3</f>
        <v>37037</v>
      </c>
      <c r="U2" s="12">
        <v>62000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37033</v>
      </c>
      <c r="L3" s="23">
        <f ca="1">TODAY()</f>
        <v>37034</v>
      </c>
      <c r="M3" s="24" t="s">
        <v>18</v>
      </c>
      <c r="P3" s="11">
        <f ca="1">TODAY()+4</f>
        <v>37038</v>
      </c>
      <c r="Q3" s="12">
        <v>280000</v>
      </c>
      <c r="T3" s="11">
        <f ca="1">TODAY()+4</f>
        <v>37038</v>
      </c>
      <c r="U3" s="12">
        <v>50000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f>AD2-AB3+AC3</f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14</v>
      </c>
      <c r="B4" s="16">
        <v>54</v>
      </c>
      <c r="C4" s="17">
        <v>42</v>
      </c>
      <c r="D4" s="18">
        <f>AVERAGE(B4,C4)</f>
        <v>48</v>
      </c>
      <c r="J4" s="25" t="s">
        <v>21</v>
      </c>
      <c r="K4" s="37">
        <v>24700</v>
      </c>
      <c r="L4" s="9">
        <v>15200</v>
      </c>
      <c r="M4" s="28">
        <f>+L4-K4</f>
        <v>-9500</v>
      </c>
      <c r="Q4" s="12"/>
      <c r="R4" s="11" t="s">
        <v>15</v>
      </c>
      <c r="W4" s="11">
        <v>37014</v>
      </c>
      <c r="X4" s="14">
        <v>11100</v>
      </c>
      <c r="Y4" s="14">
        <v>17500</v>
      </c>
      <c r="Z4" s="13">
        <f>Z3-X4+Y4</f>
        <v>231896.4192</v>
      </c>
      <c r="AA4" s="13"/>
      <c r="AB4" s="14">
        <v>0</v>
      </c>
      <c r="AC4" s="14">
        <v>0</v>
      </c>
      <c r="AD4" s="14">
        <f>AD3-AB4+AC4</f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7500</v>
      </c>
      <c r="L5" s="9">
        <v>7000</v>
      </c>
      <c r="M5" s="29">
        <f>+L5-K5</f>
        <v>-500</v>
      </c>
      <c r="W5" s="11">
        <v>37015</v>
      </c>
      <c r="X5" s="14">
        <v>8500</v>
      </c>
      <c r="Y5" s="14">
        <v>11822</v>
      </c>
      <c r="Z5" s="13">
        <f t="shared" ref="Z5:Z32" si="1">Z4-X5+Y5</f>
        <v>235218.4192</v>
      </c>
      <c r="AA5" s="13"/>
      <c r="AB5" s="14">
        <v>0</v>
      </c>
      <c r="AC5" s="14">
        <v>0</v>
      </c>
      <c r="AD5" s="14">
        <f t="shared" ref="AD5:AD32" si="2">AD4-AB5+AC5</f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19</v>
      </c>
      <c r="B6" s="26">
        <v>-370000</v>
      </c>
      <c r="C6" s="12">
        <v>-395000</v>
      </c>
      <c r="D6" s="25" t="s">
        <v>20</v>
      </c>
      <c r="E6" s="26">
        <v>-74000</v>
      </c>
      <c r="F6" s="12">
        <v>-80000</v>
      </c>
      <c r="H6" s="12"/>
      <c r="J6" s="30" t="s">
        <v>25</v>
      </c>
      <c r="K6" s="39">
        <f>(+K4-K5)/2</f>
        <v>8600</v>
      </c>
      <c r="L6" s="31">
        <f>(+L4-L5)/2</f>
        <v>4100</v>
      </c>
      <c r="M6" s="32">
        <f>+L6-K6</f>
        <v>-4500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5700</v>
      </c>
      <c r="AD6" s="14">
        <f t="shared" si="2"/>
        <v>5700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20</v>
      </c>
      <c r="AC7" s="14">
        <v>5700</v>
      </c>
      <c r="AD7" s="14">
        <f t="shared" si="2"/>
        <v>11380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15739</v>
      </c>
      <c r="AC8" s="14">
        <v>5700</v>
      </c>
      <c r="AD8" s="14">
        <f t="shared" si="2"/>
        <v>1341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64</v>
      </c>
      <c r="B9" s="26">
        <v>0</v>
      </c>
      <c r="D9" s="25" t="s">
        <v>26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15275</v>
      </c>
      <c r="AC9" s="14">
        <v>17000</v>
      </c>
      <c r="AD9" s="14">
        <f t="shared" si="2"/>
        <v>3066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13183</v>
      </c>
      <c r="AC10" s="14">
        <v>20500</v>
      </c>
      <c r="AD10" s="14">
        <f t="shared" si="2"/>
        <v>10383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9859</v>
      </c>
      <c r="AC11" s="14">
        <v>10500</v>
      </c>
      <c r="AD11" s="14">
        <f t="shared" si="2"/>
        <v>11024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26</v>
      </c>
      <c r="B12" s="26">
        <f>-103082-54918</f>
        <v>-158000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12790</v>
      </c>
      <c r="AC12" s="14">
        <v>0</v>
      </c>
      <c r="AD12" s="14">
        <f t="shared" si="2"/>
        <v>-1766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4</v>
      </c>
      <c r="AC13" s="14">
        <v>0</v>
      </c>
      <c r="AD13" s="14">
        <f t="shared" si="2"/>
        <v>-1770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-102340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937</v>
      </c>
      <c r="AC14" s="14">
        <v>0</v>
      </c>
      <c r="AD14" s="14">
        <f t="shared" si="2"/>
        <v>-2707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5">
      <c r="A15" s="25" t="s">
        <v>71</v>
      </c>
      <c r="B15" s="26">
        <v>-9000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7817</v>
      </c>
      <c r="AC15" s="14">
        <v>0</v>
      </c>
      <c r="AD15" s="14">
        <f t="shared" si="2"/>
        <v>-10524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22875</v>
      </c>
      <c r="G16" s="12"/>
      <c r="H16" s="12"/>
      <c r="L16" s="12"/>
      <c r="R16" s="13"/>
      <c r="W16" s="11">
        <v>37026</v>
      </c>
      <c r="X16" s="14">
        <v>7000</v>
      </c>
      <c r="Y16" s="14">
        <v>682</v>
      </c>
      <c r="Z16" s="13">
        <f t="shared" si="1"/>
        <v>219162.4192</v>
      </c>
      <c r="AA16" s="13"/>
      <c r="AB16" s="14">
        <v>9622</v>
      </c>
      <c r="AC16" s="14">
        <v>10500</v>
      </c>
      <c r="AD16" s="14">
        <f t="shared" si="2"/>
        <v>-9646</v>
      </c>
      <c r="AF16" s="11">
        <v>37026</v>
      </c>
      <c r="AG16" s="12">
        <f>240000+39000</f>
        <v>279000</v>
      </c>
      <c r="AH16" s="12">
        <f>224938+38783</f>
        <v>263721</v>
      </c>
      <c r="AJ16" s="15">
        <f t="shared" ref="AJ16:AJ32" si="3">+AF16</f>
        <v>37026</v>
      </c>
      <c r="AK16" s="12">
        <f>170007+21271</f>
        <v>191278</v>
      </c>
      <c r="AL16" s="12"/>
      <c r="AM16" s="12"/>
    </row>
    <row r="17" spans="1:39" x14ac:dyDescent="0.25">
      <c r="A17" s="25" t="s">
        <v>56</v>
      </c>
      <c r="B17" s="26">
        <v>-40000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37027</v>
      </c>
      <c r="X17" s="14">
        <v>67495</v>
      </c>
      <c r="Y17" s="14">
        <v>7000</v>
      </c>
      <c r="Z17" s="13">
        <f t="shared" si="1"/>
        <v>158667.4192</v>
      </c>
      <c r="AA17" s="13"/>
      <c r="AB17" s="14">
        <v>6967</v>
      </c>
      <c r="AC17" s="14">
        <v>10500</v>
      </c>
      <c r="AD17" s="14">
        <f t="shared" si="2"/>
        <v>-6113</v>
      </c>
      <c r="AF17" s="11">
        <v>37027</v>
      </c>
      <c r="AG17" s="12">
        <f>235000+38000</f>
        <v>273000</v>
      </c>
      <c r="AH17" s="12">
        <f>231219+38935</f>
        <v>270154</v>
      </c>
      <c r="AJ17" s="15">
        <f t="shared" si="3"/>
        <v>37027</v>
      </c>
      <c r="AK17" s="12">
        <f>169851+21010</f>
        <v>190861</v>
      </c>
      <c r="AL17" s="12"/>
      <c r="AM17" s="12"/>
    </row>
    <row r="18" spans="1:39" x14ac:dyDescent="0.25">
      <c r="A18" s="25" t="s">
        <v>29</v>
      </c>
      <c r="B18" s="40">
        <v>-4700</v>
      </c>
      <c r="D18" s="25" t="s">
        <v>37</v>
      </c>
      <c r="E18" s="26">
        <v>16608</v>
      </c>
      <c r="F18" s="14" t="s">
        <v>15</v>
      </c>
      <c r="G18" s="12"/>
      <c r="H18" s="12"/>
      <c r="L18" s="12"/>
      <c r="R18" s="13"/>
      <c r="W18" s="11">
        <v>37028</v>
      </c>
      <c r="X18" s="14">
        <v>2277</v>
      </c>
      <c r="Y18" s="14">
        <v>2000</v>
      </c>
      <c r="Z18" s="13">
        <f t="shared" si="1"/>
        <v>158390.4192</v>
      </c>
      <c r="AA18" s="13"/>
      <c r="AB18" s="14">
        <v>20</v>
      </c>
      <c r="AC18" s="14">
        <v>0</v>
      </c>
      <c r="AD18" s="14">
        <f t="shared" si="2"/>
        <v>-6133</v>
      </c>
      <c r="AF18" s="11">
        <v>37028</v>
      </c>
      <c r="AG18" s="12">
        <f>230000+38000</f>
        <v>268000</v>
      </c>
      <c r="AH18" s="12">
        <f>221199+39749</f>
        <v>260948</v>
      </c>
      <c r="AJ18" s="15">
        <f t="shared" si="3"/>
        <v>37028</v>
      </c>
      <c r="AK18" s="12">
        <f>169340+19308</f>
        <v>188648</v>
      </c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18848</v>
      </c>
      <c r="G19" s="12"/>
      <c r="H19" s="12"/>
      <c r="L19" s="12"/>
      <c r="R19" s="13"/>
      <c r="W19" s="11">
        <v>37029</v>
      </c>
      <c r="X19" s="14">
        <v>13719</v>
      </c>
      <c r="Y19" s="14">
        <v>0</v>
      </c>
      <c r="Z19" s="13">
        <f t="shared" si="1"/>
        <v>144671.4192</v>
      </c>
      <c r="AA19" s="13"/>
      <c r="AB19" s="14">
        <v>5</v>
      </c>
      <c r="AC19" s="14">
        <v>0</v>
      </c>
      <c r="AD19" s="14">
        <f t="shared" si="2"/>
        <v>-6138</v>
      </c>
      <c r="AF19" s="11">
        <v>37029</v>
      </c>
      <c r="AG19" s="12">
        <f>225000+37000</f>
        <v>262000</v>
      </c>
      <c r="AH19" s="12">
        <f>215517+38451</f>
        <v>253968</v>
      </c>
      <c r="AJ19" s="15">
        <f t="shared" si="3"/>
        <v>37029</v>
      </c>
      <c r="AK19" s="12">
        <f>178340+19308</f>
        <v>197648</v>
      </c>
      <c r="AL19" s="12"/>
      <c r="AM19" s="12"/>
    </row>
    <row r="20" spans="1:39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37030</v>
      </c>
      <c r="X20" s="14">
        <v>20000</v>
      </c>
      <c r="Y20" s="14">
        <v>7000</v>
      </c>
      <c r="Z20" s="13">
        <f t="shared" si="1"/>
        <v>131671.4192</v>
      </c>
      <c r="AA20" s="13"/>
      <c r="AB20" s="14">
        <v>0</v>
      </c>
      <c r="AC20" s="14">
        <v>0</v>
      </c>
      <c r="AD20" s="14">
        <f t="shared" si="2"/>
        <v>-6138</v>
      </c>
      <c r="AF20" s="11">
        <v>37030</v>
      </c>
      <c r="AG20" s="12">
        <f>220000+35000</f>
        <v>255000</v>
      </c>
      <c r="AH20" s="12">
        <f>214650+36825</f>
        <v>251475</v>
      </c>
      <c r="AJ20" s="15">
        <f t="shared" si="3"/>
        <v>37030</v>
      </c>
      <c r="AK20" s="12">
        <f>168360+19308</f>
        <v>187668</v>
      </c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37031</v>
      </c>
      <c r="X21" s="14">
        <v>17908</v>
      </c>
      <c r="Y21" s="14">
        <v>7000</v>
      </c>
      <c r="Z21" s="13">
        <f t="shared" si="1"/>
        <v>120763.4192</v>
      </c>
      <c r="AA21" s="13"/>
      <c r="AB21" s="14">
        <v>0</v>
      </c>
      <c r="AC21" s="14">
        <v>0</v>
      </c>
      <c r="AD21" s="14">
        <f t="shared" si="2"/>
        <v>-6138</v>
      </c>
      <c r="AF21" s="11">
        <v>37031</v>
      </c>
      <c r="AG21" s="12">
        <f>225000+37000</f>
        <v>262000</v>
      </c>
      <c r="AH21" s="12">
        <f>201157+37195</f>
        <v>238352</v>
      </c>
      <c r="AJ21" s="15">
        <f t="shared" si="3"/>
        <v>37031</v>
      </c>
      <c r="AK21" s="12">
        <f>168360+19308</f>
        <v>187668</v>
      </c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37032</v>
      </c>
      <c r="X22" s="14">
        <v>14349</v>
      </c>
      <c r="Y22" s="14">
        <v>7500</v>
      </c>
      <c r="Z22" s="13">
        <f t="shared" si="1"/>
        <v>113914.4192</v>
      </c>
      <c r="AA22" s="13"/>
      <c r="AB22" s="14">
        <v>5</v>
      </c>
      <c r="AC22" s="14">
        <v>0</v>
      </c>
      <c r="AD22" s="14">
        <f t="shared" si="2"/>
        <v>-6143</v>
      </c>
      <c r="AF22" s="11">
        <v>37032</v>
      </c>
      <c r="AG22" s="12">
        <f>230000+38000</f>
        <v>268000</v>
      </c>
      <c r="AH22" s="12">
        <f>241920+45300</f>
        <v>287220</v>
      </c>
      <c r="AJ22" s="15">
        <f t="shared" si="3"/>
        <v>37032</v>
      </c>
      <c r="AK22" s="12">
        <f>168360+19308</f>
        <v>187668</v>
      </c>
      <c r="AL22" s="12"/>
      <c r="AM22" s="12"/>
    </row>
    <row r="23" spans="1:39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24700</v>
      </c>
      <c r="Y23" s="14">
        <v>7500</v>
      </c>
      <c r="Z23" s="13">
        <f t="shared" si="1"/>
        <v>96714.419200000004</v>
      </c>
      <c r="AA23" s="13"/>
      <c r="AB23" s="14">
        <v>0</v>
      </c>
      <c r="AC23" s="14">
        <v>0</v>
      </c>
      <c r="AD23" s="14">
        <f t="shared" si="2"/>
        <v>-6143</v>
      </c>
      <c r="AF23" s="11">
        <v>37033</v>
      </c>
      <c r="AG23" s="12">
        <f>330000+68000</f>
        <v>398000</v>
      </c>
      <c r="AH23" s="12"/>
      <c r="AJ23" s="15">
        <f t="shared" si="3"/>
        <v>37033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D24" s="25" t="s">
        <v>29</v>
      </c>
      <c r="E24" s="40">
        <v>14724</v>
      </c>
      <c r="G24" s="12"/>
      <c r="H24" s="12"/>
      <c r="R24" s="13"/>
      <c r="W24" s="11">
        <v>37034</v>
      </c>
      <c r="X24" s="14">
        <v>15200</v>
      </c>
      <c r="Y24" s="14">
        <v>7000</v>
      </c>
      <c r="Z24" s="13">
        <f t="shared" si="1"/>
        <v>88514.419200000004</v>
      </c>
      <c r="AA24" s="13"/>
      <c r="AB24" s="14">
        <v>0</v>
      </c>
      <c r="AC24" s="14">
        <v>0</v>
      </c>
      <c r="AD24" s="14">
        <f t="shared" si="2"/>
        <v>-6143</v>
      </c>
      <c r="AF24" s="11">
        <v>37034</v>
      </c>
      <c r="AG24" s="12">
        <f>355000+71000</f>
        <v>426000</v>
      </c>
      <c r="AH24" s="12"/>
      <c r="AJ24" s="15">
        <f t="shared" si="3"/>
        <v>37034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8000</v>
      </c>
      <c r="G25" s="12"/>
      <c r="H25" s="12"/>
      <c r="R25" s="13"/>
      <c r="W25" s="11">
        <v>37035</v>
      </c>
      <c r="X25" s="14">
        <v>20000</v>
      </c>
      <c r="Y25" s="14">
        <v>7000</v>
      </c>
      <c r="Z25" s="13">
        <f t="shared" si="1"/>
        <v>75514.419200000004</v>
      </c>
      <c r="AA25" s="13"/>
      <c r="AB25" s="14">
        <v>9000</v>
      </c>
      <c r="AC25" s="14">
        <v>10500</v>
      </c>
      <c r="AD25" s="14">
        <f t="shared" si="2"/>
        <v>-4643</v>
      </c>
      <c r="AF25" s="11">
        <v>37035</v>
      </c>
      <c r="AG25" s="12">
        <f>370000+74000</f>
        <v>444000</v>
      </c>
      <c r="AH25" s="12"/>
      <c r="AJ25" s="15">
        <f t="shared" si="3"/>
        <v>37035</v>
      </c>
      <c r="AK25" s="12"/>
      <c r="AL25" s="12"/>
      <c r="AM25" s="12"/>
    </row>
    <row r="26" spans="1:39" x14ac:dyDescent="0.25">
      <c r="A26" s="25" t="s">
        <v>33</v>
      </c>
      <c r="B26" s="26">
        <v>0</v>
      </c>
      <c r="D26" s="25" t="s">
        <v>51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75514.419200000004</v>
      </c>
      <c r="AA26" s="13"/>
      <c r="AB26" s="14">
        <v>0</v>
      </c>
      <c r="AC26" s="14">
        <v>0</v>
      </c>
      <c r="AD26" s="14">
        <f t="shared" si="2"/>
        <v>-4643</v>
      </c>
      <c r="AF26" s="11">
        <v>37036</v>
      </c>
      <c r="AG26" s="12">
        <f>300000+61000</f>
        <v>361000</v>
      </c>
      <c r="AH26" s="12"/>
      <c r="AJ26" s="15">
        <f t="shared" si="3"/>
        <v>37036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75514.419200000004</v>
      </c>
      <c r="AA27" s="13"/>
      <c r="AB27" s="14">
        <v>0</v>
      </c>
      <c r="AC27" s="14">
        <v>0</v>
      </c>
      <c r="AD27" s="14">
        <f t="shared" si="2"/>
        <v>-4643</v>
      </c>
      <c r="AF27" s="11">
        <v>37037</v>
      </c>
      <c r="AG27" s="12">
        <f>260000+49000</f>
        <v>309000</v>
      </c>
      <c r="AH27" s="12"/>
      <c r="AJ27" s="15">
        <f t="shared" si="3"/>
        <v>37037</v>
      </c>
      <c r="AK27" s="12"/>
      <c r="AL27" s="12"/>
      <c r="AM27" s="12"/>
    </row>
    <row r="28" spans="1:39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75514.419200000004</v>
      </c>
      <c r="AA28" s="13"/>
      <c r="AB28" s="14">
        <v>0</v>
      </c>
      <c r="AC28" s="14">
        <v>0</v>
      </c>
      <c r="AD28" s="14">
        <f t="shared" si="2"/>
        <v>-4643</v>
      </c>
      <c r="AF28" s="11">
        <v>37038</v>
      </c>
      <c r="AG28" s="12">
        <f>280000+54000</f>
        <v>334000</v>
      </c>
      <c r="AH28" s="12"/>
      <c r="AJ28" s="15">
        <f t="shared" si="3"/>
        <v>37038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-700898</v>
      </c>
      <c r="C29" s="14"/>
      <c r="D29" s="33" t="s">
        <v>40</v>
      </c>
      <c r="E29" s="34">
        <f>SUM(E16:E28)</f>
        <v>102340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75514.419200000004</v>
      </c>
      <c r="AA29" s="13"/>
      <c r="AB29" s="14">
        <v>0</v>
      </c>
      <c r="AC29" s="14">
        <v>0</v>
      </c>
      <c r="AD29" s="14">
        <f t="shared" si="2"/>
        <v>-4643</v>
      </c>
      <c r="AF29" s="11">
        <v>37039</v>
      </c>
      <c r="AG29" s="12"/>
      <c r="AH29" s="12"/>
      <c r="AJ29" s="15">
        <f t="shared" si="3"/>
        <v>37039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75514.419200000004</v>
      </c>
      <c r="AA30" s="13"/>
      <c r="AB30" s="14">
        <v>0</v>
      </c>
      <c r="AC30" s="14">
        <v>0</v>
      </c>
      <c r="AD30" s="14">
        <f t="shared" si="2"/>
        <v>-4643</v>
      </c>
      <c r="AF30" s="11">
        <v>37040</v>
      </c>
      <c r="AG30" s="12"/>
      <c r="AH30" s="12"/>
      <c r="AJ30" s="15">
        <f t="shared" si="3"/>
        <v>37040</v>
      </c>
      <c r="AK30" s="12"/>
      <c r="AL30" s="12"/>
      <c r="AM30" s="12"/>
    </row>
    <row r="31" spans="1:39" x14ac:dyDescent="0.25">
      <c r="A31" s="25" t="s">
        <v>35</v>
      </c>
      <c r="B31" s="40">
        <v>103081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75514.419200000004</v>
      </c>
      <c r="AA31" s="13"/>
      <c r="AB31" s="14">
        <v>0</v>
      </c>
      <c r="AC31" s="14">
        <v>0</v>
      </c>
      <c r="AD31" s="14">
        <f t="shared" si="2"/>
        <v>-4643</v>
      </c>
      <c r="AF31" s="11">
        <v>37041</v>
      </c>
      <c r="AG31" s="12"/>
      <c r="AH31" s="49"/>
      <c r="AJ31" s="15">
        <f t="shared" si="3"/>
        <v>37041</v>
      </c>
      <c r="AK31" s="12"/>
      <c r="AL31" s="12"/>
      <c r="AM31" s="12"/>
    </row>
    <row r="32" spans="1:39" x14ac:dyDescent="0.25">
      <c r="A32" s="25" t="s">
        <v>36</v>
      </c>
      <c r="B32" s="40">
        <v>125000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75514.419200000004</v>
      </c>
      <c r="AA32" s="13"/>
      <c r="AB32" s="14">
        <v>0</v>
      </c>
      <c r="AC32" s="14">
        <v>0</v>
      </c>
      <c r="AD32" s="14">
        <f t="shared" si="2"/>
        <v>-4643</v>
      </c>
      <c r="AF32" s="11">
        <v>37042</v>
      </c>
      <c r="AG32" s="12"/>
      <c r="AH32" s="12"/>
      <c r="AJ32" s="15">
        <f t="shared" si="3"/>
        <v>37042</v>
      </c>
      <c r="AK32" s="12"/>
      <c r="AL32" s="12"/>
      <c r="AM32" s="12"/>
    </row>
    <row r="33" spans="1:39" x14ac:dyDescent="0.25">
      <c r="A33" s="25" t="s">
        <v>37</v>
      </c>
      <c r="B33" s="40">
        <v>20000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177060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61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15838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10500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54918</v>
      </c>
      <c r="C44" s="14"/>
      <c r="E44" s="12"/>
    </row>
    <row r="45" spans="1:39" x14ac:dyDescent="0.25">
      <c r="A45" s="25" t="s">
        <v>41</v>
      </c>
      <c r="B45" s="40">
        <v>13950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66015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32</v>
      </c>
      <c r="B54" s="40">
        <v>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42338</v>
      </c>
      <c r="C56" s="14"/>
      <c r="E56" s="12"/>
    </row>
    <row r="57" spans="1:5" x14ac:dyDescent="0.25">
      <c r="A57" s="25" t="s">
        <v>26</v>
      </c>
      <c r="B57" s="40">
        <v>0</v>
      </c>
      <c r="C57" s="14"/>
      <c r="E57" s="12"/>
    </row>
    <row r="58" spans="1:5" ht="13.8" thickBot="1" x14ac:dyDescent="0.3">
      <c r="A58" s="25" t="s">
        <v>39</v>
      </c>
      <c r="B58" s="40">
        <v>0</v>
      </c>
    </row>
    <row r="59" spans="1:5" ht="13.8" thickBot="1" x14ac:dyDescent="0.3">
      <c r="A59" s="33" t="s">
        <v>40</v>
      </c>
      <c r="B59" s="34">
        <f>SUM(B31:B58)</f>
        <v>700898</v>
      </c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2023-09-10T11:14:06Z</dcterms:modified>
</cp:coreProperties>
</file>