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<sst xmlns="http://schemas.openxmlformats.org/spreadsheetml/2006/main" count="2146" uniqueCount="800">
  <si>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</si>
  <si>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</si>
  <si>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</si>
  <si>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</si>
  <si>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</si>
  <si>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</si>
  <si>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</si>
  <si>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</si>
  <si>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</si>
  <si>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</si>
  <si>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</si>
  <si>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</si>
  <si>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</si>
  <si>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</si>
  <si>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</si>
  <si>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</si>
  <si>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</si>
  <si>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</si>
  <si>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</si>
  <si>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</si>
  <si>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</si>
  <si>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</si>
  <si>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</si>
  <si>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</si>
  <si>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</si>
  <si>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</si>
  <si>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</si>
  <si>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</si>
  <si>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</si>
  <si>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</si>
  <si>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</si>
  <si>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</si>
  <si>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</si>
  <si>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</si>
  <si>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</si>
  <si>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</si>
  <si>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</si>
  <si>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</si>
  <si>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</si>
  <si>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</si>
  <si>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</si>
  <si>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</si>
  <si>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</si>
  <si>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</si>
  <si>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</si>
  <si>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</si>
  <si>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</si>
  <si>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</si>
  <si>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</si>
  <si>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</si>
  <si>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</si>
  <si>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</si>
  <si>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</si>
  <si>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</si>
  <si>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</si>
  <si>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</si>
  <si>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</si>
  <si>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</si>
  <si>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</si>
  <si>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</si>
  <si>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</si>
  <si>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</si>
  <si>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</si>
  <si>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</si>
  <si>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</si>
  <si>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</si>
  <si>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</si>
  <si>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</si>
  <si>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</si>
  <si>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</si>
  <si>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</si>
  <si>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</si>
  <si>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</si>
  <si>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</si>
  <si>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</si>
  <si>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</si>
  <si>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</si>
  <si>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</si>
  <si>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</si>
  <si>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</si>
  <si>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</si>
  <si>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</si>
  <si>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</si>
  <si>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</si>
  <si>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</si>
  <si>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</si>
  <si>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</si>
  <si>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</si>
  <si>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</si>
  <si>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</si>
  <si>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</si>
  <si>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</si>
  <si>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</si>
  <si>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</si>
  <si>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</si>
  <si>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</si>
  <si>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</si>
  <si>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</si>
  <si>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</si>
  <si>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</si>
  <si>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</si>
  <si>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</si>
  <si>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</si>
  <si>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</si>
  <si>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</si>
  <si>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</si>
  <si>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</si>
  <si>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</si>
  <si>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</si>
  <si>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</si>
  <si>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</si>
  <si>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</si>
  <si>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</si>
  <si>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</si>
  <si>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</si>
  <si>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</si>
  <si>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</si>
  <si>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</si>
  <si>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</si>
  <si>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</si>
  <si>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</si>
  <si>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</si>
  <si>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</si>
  <si>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</si>
  <si>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</si>
  <si>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</si>
  <si>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</si>
  <si>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</si>
  <si>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</si>
  <si>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</si>
  <si>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</si>
  <si>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</si>
  <si>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</si>
  <si>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</si>
  <si>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</si>
  <si>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</si>
  <si>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</si>
  <si>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</si>
  <si>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</si>
  <si>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</si>
  <si>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</si>
  <si>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</si>
  <si>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</si>
  <si>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</si>
  <si>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</si>
  <si>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</si>
  <si>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</si>
  <si>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</si>
  <si>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</si>
  <si>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</si>
  <si>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</si>
  <si>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</si>
  <si>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</si>
  <si>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</si>
  <si>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</si>
  <si>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</si>
  <si>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</si>
  <si>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</si>
  <si>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</si>
  <si>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</si>
  <si>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</si>
  <si>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</si>
  <si>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</si>
  <si>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</si>
  <si>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</si>
  <si>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</si>
  <si>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</si>
  <si>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</si>
  <si>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</si>
  <si>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</si>
  <si>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</si>
  <si>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</si>
  <si>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</si>
  <si>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</si>
  <si>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</si>
  <si>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</si>
  <si>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</si>
  <si>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</si>
  <si>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</si>
  <si>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</si>
  <si>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</si>
  <si>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</si>
  <si>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</si>
  <si>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</si>
  <si>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</si>
  <si>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</si>
  <si>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</si>
  <si>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</si>
  <si>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</si>
  <si>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</si>
  <si>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</si>
  <si>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</si>
  <si>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</si>
  <si>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</si>
  <si>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</si>
  <si>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</si>
  <si>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</si>
  <si>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</si>
  <si>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</si>
  <si>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</si>
  <si>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</si>
  <si>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</si>
  <si>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</si>
  <si>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</si>
  <si>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</si>
  <si>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</si>
  <si>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</si>
  <si>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</si>
  <si>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</si>
  <si>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</si>
  <si>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</si>
  <si>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</si>
  <si>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</si>
  <si>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</si>
  <si>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</si>
  <si>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</si>
  <si>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</si>
  <si>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</si>
  <si>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</si>
  <si>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</si>
  <si>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</si>
  <si>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</si>
  <si>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</si>
  <si>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</si>
  <si>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</si>
  <si>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</si>
  <si>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</si>
  <si>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</si>
  <si>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</si>
  <si>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</si>
  <si>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</si>
  <si>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</si>
  <si>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</si>
  <si>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</si>
  <si>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</si>
  <si>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</si>
  <si>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</si>
  <si>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</si>
  <si>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</si>
  <si>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</si>
  <si>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</si>
  <si>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</si>
  <si>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</si>
  <si>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</si>
  <si>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</si>
  <si>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</si>
  <si>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</si>
  <si>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</si>
  <si>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</si>
  <si>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</si>
  <si>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</si>
  <si>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</si>
  <si>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</si>
  <si>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</si>
  <si>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</si>
  <si>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</si>
  <si>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</si>
  <si>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</si>
  <si>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</si>
  <si>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</si>
  <si>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</si>
  <si>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</si>
  <si>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</si>
  <si>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</si>
  <si>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</si>
  <si>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</si>
  <si>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</si>
  <si>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</si>
  <si>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</si>
  <si>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</si>
  <si>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</si>
  <si>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</si>
  <si>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</si>
  <si>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</si>
  <si>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</si>
  <si>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</si>
  <si>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</si>
  <si>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</si>
  <si>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</si>
  <si>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</si>
  <si>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</si>
  <si>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</si>
  <si>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</si>
  <si>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</si>
  <si>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</si>
  <si>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</si>
  <si>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</si>
  <si>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</si>
  <si>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</si>
  <si>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</si>
  <si>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</si>
  <si>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</si>
  <si>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</si>
  <si>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</si>
  <si>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</si>
  <si>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</si>
  <si>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</si>
  <si>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</si>
  <si>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</si>
  <si>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</si>
  <si>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</si>
  <si>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</si>
  <si>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</si>
  <si>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</si>
  <si>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</si>
  <si>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</si>
  <si>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</si>
  <si>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</si>
  <si>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</si>
  <si>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</si>
  <si>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</si>
  <si>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</si>
  <si>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</si>
  <si>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</si>
  <si>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</si>
  <si>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</si>
  <si>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</si>
  <si>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</si>
  <si>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</si>
  <si>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</si>
  <si>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</si>
  <si>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</si>
  <si>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</si>
  <si>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</si>
  <si>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</si>
  <si>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</si>
  <si>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</si>
  <si>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</si>
  <si>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</si>
  <si>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</si>
  <si>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</si>
  <si>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</si>
  <si>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</si>
  <si>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</si>
  <si>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</si>
  <si>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</si>
  <si>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</si>
  <si>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</si>
  <si>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</si>
  <si>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</si>
  <si>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</si>
  <si>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</si>
  <si>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</si>
  <si>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</si>
  <si>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</si>
  <si>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</si>
  <si>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</si>
  <si>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</si>
  <si>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</si>
  <si>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</si>
  <si>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</si>
  <si>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</si>
  <si>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</si>
  <si>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</si>
  <si>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</si>
  <si>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</si>
  <si>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</si>
  <si>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</si>
  <si>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</si>
  <si>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</si>
  <si>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</si>
  <si>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</si>
  <si>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</si>
  <si>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</si>
  <si>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</si>
  <si>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</si>
  <si>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</si>
  <si>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</si>
  <si>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</si>
  <si>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</si>
  <si>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</si>
  <si>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</si>
  <si>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</si>
  <si>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</si>
  <si>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</si>
  <si>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</si>
  <si>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</si>
  <si>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</si>
  <si>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</si>
  <si>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</si>
  <si>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</si>
  <si>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</si>
  <si>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</si>
  <si>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</si>
  <si>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</si>
  <si>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</si>
  <si>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</si>
  <si>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</si>
  <si>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</si>
  <si>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</si>
  <si>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</si>
  <si>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</si>
  <si>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</si>
  <si>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</si>
  <si>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</si>
  <si>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</si>
  <si>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</si>
  <si>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</si>
  <si>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</si>
  <si>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</si>
  <si>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</si>
  <si>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</si>
  <si>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</si>
  <si>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</si>
  <si>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</si>
  <si>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</si>
  <si>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</si>
  <si>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</si>
  <si>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</si>
  <si>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</si>
  <si>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</si>
  <si>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</si>
  <si>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</si>
  <si>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</si>
  <si>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</si>
  <si>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</si>
  <si>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</si>
  <si>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</si>
  <si>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</si>
  <si>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</si>
  <si>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</si>
  <si>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</si>
  <si>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</si>
  <si>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</si>
  <si>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</si>
  <si>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</si>
  <si>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</si>
  <si>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</si>
  <si>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</si>
  <si>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</si>
  <si>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</si>
  <si>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</si>
  <si>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</si>
  <si>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</si>
  <si>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</si>
  <si>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</si>
  <si>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</si>
  <si>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</si>
  <si>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</si>
  <si>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</si>
  <si>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</si>
  <si>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</si>
  <si>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</si>
  <si>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</si>
  <si>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</si>
  <si>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</si>
  <si>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</si>
  <si>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</si>
  <si>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</si>
  <si>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</si>
  <si>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</si>
  <si>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</si>
  <si>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</si>
  <si>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</si>
  <si>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</si>
  <si>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</si>
  <si>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</si>
  <si>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</si>
  <si>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</si>
  <si>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</si>
  <si>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</si>
  <si>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</si>
  <si>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</si>
  <si>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</si>
  <si>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</si>
  <si>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</si>
  <si>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</si>
  <si>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</si>
  <si>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</si>
  <si>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</si>
  <si>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</si>
  <si>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</si>
  <si>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</si>
  <si>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</si>
  <si>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</si>
  <si>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</si>
  <si>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</si>
  <si>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</si>
  <si>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</si>
  <si>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</si>
  <si>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</si>
  <si>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</si>
  <si>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</si>
  <si>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</si>
  <si>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</si>
  <si>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</si>
  <si>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</si>
  <si>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</si>
  <si>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</si>
  <si>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</si>
  <si>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</si>
  <si>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</si>
  <si>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</si>
  <si>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</si>
  <si>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</si>
  <si>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</si>
  <si>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</si>
  <si>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</si>
  <si>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</si>
  <si>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</si>
  <si>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</si>
  <si>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</si>
  <si>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</si>
  <si>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</si>
  <si>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</si>
  <si>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</si>
  <si>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</si>
  <si>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</si>
  <si>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</si>
  <si>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</si>
  <si>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</si>
  <si>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</si>
  <si>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</si>
  <si>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</si>
  <si>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</si>
  <si>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</si>
  <si>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</si>
  <si>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</si>
  <si>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</si>
  <si>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</si>
  <si>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</si>
  <si>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</si>
  <si>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</si>
  <si>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</si>
  <si>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</si>
  <si>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</si>
  <si>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</si>
  <si>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</si>
  <si>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</si>
  <si>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</si>
  <si>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</si>
  <si>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</si>
  <si>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</si>
  <si>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</si>
  <si>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</si>
  <si>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</si>
  <si>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</si>
  <si>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</si>
  <si>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</si>
  <si>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</si>
  <si>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</si>
  <si>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</si>
  <si>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</si>
  <si>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</si>
  <si>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</si>
  <si>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</si>
  <si>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</si>
  <si>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</si>
  <si>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</si>
  <si>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</si>
  <si>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</si>
  <si>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</si>
  <si>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</si>
  <si>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</si>
  <si>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</si>
  <si>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</si>
  <si>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</si>
  <si>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</si>
  <si>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</si>
  <si>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</si>
  <si>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</si>
  <si>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</si>
  <si>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</si>
  <si>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</si>
  <si>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</si>
  <si>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</si>
  <si>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</si>
  <si>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</si>
  <si>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</si>
  <si>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</si>
  <si>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</si>
  <si>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</si>
  <si>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</si>
  <si>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</si>
  <si>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</si>
  <si>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</si>
  <si>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</si>
  <si>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</si>
  <si>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</si>
  <si>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</si>
  <si>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</si>
  <si>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</si>
  <si>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</si>
  <si>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</si>
  <si>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</si>
  <si>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</si>
  <si>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</si>
  <si>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</si>
  <si>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</si>
  <si>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</si>
  <si>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</si>
  <si>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</si>
  <si>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</si>
  <si>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</si>
  <si>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</si>
  <si>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</si>
  <si>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</si>
  <si>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</si>
  <si>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</si>
  <si>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</si>
  <si>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</si>
  <si>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</si>
  <si>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</si>
  <si>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</si>
  <si>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</si>
  <si>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</si>
  <si>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</si>
  <si>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</si>
  <si>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</si>
  <si>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</si>
  <si>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</si>
  <si>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</si>
  <si>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</si>
  <si>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</si>
  <si>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</si>
  <si>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</si>
  <si>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</si>
  <si>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</si>
  <si>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</si>
  <si>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</si>
  <si>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</si>
  <si>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</si>
  <si>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</si>
  <si>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</si>
  <si>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</si>
  <si>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</si>
  <si>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</si>
  <si>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</si>
  <si>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</si>
  <si>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</si>
  <si>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</si>
  <si>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</si>
  <si>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</si>
  <si>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</si>
  <si>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</si>
  <si>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</si>
  <si>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</si>
  <si>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</si>
  <si>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</si>
  <si>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</si>
  <si>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</si>
  <si>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</si>
  <si>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</si>
  <si>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</si>
  <si>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</si>
  <si>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</si>
  <si>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</si>
  <si>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</si>
  <si>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</si>
  <si>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</si>
  <si>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</si>
  <si>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</si>
  <si>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</si>
  <si>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</si>
  <si>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</si>
  <si>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</si>
  <si>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</si>
  <si>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</si>
  <si>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</si>
  <si>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</si>
  <si>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</si>
  <si>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</si>
  <si>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</si>
  <si>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</si>
  <si>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</si>
  <si>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</si>
  <si>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</si>
  <si>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</si>
  <si>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</si>
  <si>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</si>
  <si>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</si>
  <si>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</si>
  <si>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</si>
  <si>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</si>
  <si>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</si>
  <si>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</si>
  <si>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</si>
  <si>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</si>
  <si>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</si>
  <si>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</si>
  <si>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</si>
  <si>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</si>
  <si>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</si>
  <si>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</si>
  <si>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</si>
  <si>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</si>
  <si>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</si>
  <si>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</si>
  <si>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</si>
  <si>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</si>
  <si>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</si>
  <si>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</si>
  <si>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</si>
  <si>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</si>
  <si>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</si>
  <si>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</si>
  <si>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</si>
  <si>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</si>
  <si>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</si>
  <si>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</si>
  <si>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</si>
  <si>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</si>
  <si>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</si>
  <si>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</si>
  <si>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</si>
  <si>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</si>
  <si>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</si>
  <si>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</si>
  <si>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</si>
  <si>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</si>
  <si>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</si>
  <si>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</si>
  <si>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</si>
  <si>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</si>
  <si>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</si>
  <si>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</si>
  <si>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</si>
  <si>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</si>
  <si>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</si>
  <si>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</si>
  <si>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</si>
  <si>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</si>
  <si>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</si>
  <si>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</si>
  <si>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</si>
  <si>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</si>
  <si>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</si>
  <si>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</si>
  <si>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</si>
  <si>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</si>
  <si>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</si>
  <si>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</si>
  <si>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</si>
  <si>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</si>
  <si>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</si>
  <si>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</si>
  <si>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</si>
  <si>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</si>
  <si>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</si>
  <si>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</si>
  <si>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</si>
  <si>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</si>
  <si>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</si>
  <si>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</si>
  <si>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</si>
  <si>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</si>
  <si>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</si>
  <si>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</si>
  <si>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</si>
  <si>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</si>
  <si>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</si>
  <si>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</si>
  <si>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</si>
  <si>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</si>
  <si>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</si>
  <si>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</si>
  <si>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</si>
  <si>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</si>
  <si>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</si>
  <si>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</si>
  <si>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</si>
  <si>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</si>
  <si>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</si>
  <si>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</si>
  <si>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</si>
  <si>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</si>
  <si>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</si>
  <si>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</si>
  <si>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</si>
  <si>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</si>
  <si>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</si>
  <si>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</si>
  <si>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</si>
  <si>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</si>
  <si>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</si>
  <si>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</si>
  <si>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</si>
  <si>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</si>
  <si>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</si>
  <si>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</si>
  <si>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</si>
  <si>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</si>
  <si>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</si>
  <si>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</si>
  <si>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</si>
  <si>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</si>
  <si>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</si>
  <si>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</si>
  <si>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</si>
  <si>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</si>
  <si>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</si>
  <si>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</si>
  <si>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</si>
  <si>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</si>
  <si>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AT NIGHT, CLOUDY WITH SNOW LIKELY. 1" ACCUM. NORTH WINDS 15/25 MPH.</t>
  </si>
  <si>
    <t>LIGHT SNOW OR FLURRIES…MAINLY SOUTH AND N.E. INDIANA..ENDING THIS A.M. BE</t>
  </si>
  <si>
    <t xml:space="preserve">COMING PARTLY SUNNY. NORTH WINDS 10/15. AT NIGHT, CLEAR AND COLD. </t>
  </si>
  <si>
    <t>SUNNY AND WARMER. AT NIGHT, FAIR.</t>
  </si>
  <si>
    <t>PARTLY SUNNY.</t>
  </si>
  <si>
    <t>A CHANCE OF SHOWERS.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</si>
</sst>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32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2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2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2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2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2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36966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36966</v>
      </c>
      <c r="E4" s="848">
        <f>Weather_Input!A6</f>
        <v>36967</v>
      </c>
      <c r="F4" s="848">
        <f>Weather_Input!A7</f>
        <v>36968</v>
      </c>
      <c r="G4" s="848">
        <f>Weather_Input!A8</f>
        <v>36969</v>
      </c>
      <c r="H4" s="848">
        <f>Weather_Input!A9</f>
        <v>36970</v>
      </c>
      <c r="I4" s="849">
        <f>Weather_Input!A10</f>
        <v>36971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33/30/32</v>
      </c>
      <c r="E5" s="882" t="str">
        <f>TEXT(Weather_Input!B6,"0")&amp;"/"&amp;TEXT(Weather_Input!C6,"0") &amp; "/" &amp; TEXT((Weather_Input!B6+Weather_Input!C6)/2,"0")</f>
        <v>36/19/28</v>
      </c>
      <c r="F5" s="882" t="str">
        <f>TEXT(Weather_Input!B7,"0")&amp;"/"&amp;TEXT(Weather_Input!C7,"0") &amp; "/" &amp; TEXT((Weather_Input!B7+Weather_Input!C7)/2,"0")</f>
        <v>44/29/37</v>
      </c>
      <c r="G5" s="882" t="str">
        <f>TEXT(Weather_Input!B8,"0")&amp;"/"&amp;TEXT(Weather_Input!C8,"0") &amp; "/" &amp; TEXT((Weather_Input!B8+Weather_Input!C8)/2,"0")</f>
        <v>47/32/40</v>
      </c>
      <c r="H5" s="882" t="str">
        <f>TEXT(Weather_Input!B9,"0")&amp;"/"&amp;TEXT(Weather_Input!C9,"0") &amp; "/" &amp; TEXT((Weather_Input!B9+Weather_Input!C9)/2,"0")</f>
        <v>51/35/43</v>
      </c>
      <c r="I5" s="883" t="str">
        <f>TEXT(Weather_Input!B10,"0")&amp;"/"&amp;TEXT(Weather_Input!C10,"0") &amp; "/" &amp; TEXT((Weather_Input!B10+Weather_Input!C10)/2,"0")</f>
        <v>49/31/40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173</v>
      </c>
      <c r="E6" s="851">
        <f ca="1">VLOOKUP(E4,NSG_Sendouts,CELL("Col",NSG_Deliveries!C6),FALSE)/1000</f>
        <v>164</v>
      </c>
      <c r="F6" s="851">
        <f ca="1">VLOOKUP(F4,NSG_Sendouts,CELL("Col",NSG_Deliveries!C7),FALSE)/1000</f>
        <v>137</v>
      </c>
      <c r="G6" s="851">
        <f ca="1">VLOOKUP(G4,NSG_Sendouts,CELL("Col",NSG_Deliveries!C8),FALSE)/1000</f>
        <v>128</v>
      </c>
      <c r="H6" s="851">
        <f ca="1">VLOOKUP(H4,NSG_Sendouts,CELL("Col",NSG_Deliveries!C9),FALSE)/1000</f>
        <v>118</v>
      </c>
      <c r="I6" s="856">
        <f ca="1">VLOOKUP(I4,NSG_Sendouts,CELL("Col",NSG_Deliveries!C10),FALSE)/1000</f>
        <v>126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4.4279999999999999</v>
      </c>
      <c r="E13" s="851">
        <f>NSG_Requirements!H8/1000</f>
        <v>1.65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177.428</v>
      </c>
      <c r="E19" s="860">
        <f t="shared" ca="1" si="1"/>
        <v>165.65</v>
      </c>
      <c r="F19" s="860">
        <f t="shared" ca="1" si="1"/>
        <v>137</v>
      </c>
      <c r="G19" s="860">
        <f t="shared" ca="1" si="1"/>
        <v>128</v>
      </c>
      <c r="H19" s="860">
        <f t="shared" ca="1" si="1"/>
        <v>118</v>
      </c>
      <c r="I19" s="861">
        <f t="shared" ca="1" si="1"/>
        <v>126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65</v>
      </c>
      <c r="E23" s="851">
        <f>NSG_Supplies!L8/1000</f>
        <v>60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0.65700000000000003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91.025000000000006</v>
      </c>
      <c r="E32" s="851">
        <f>NSG_Supplies!R8/1000</f>
        <v>85.649000000000001</v>
      </c>
      <c r="F32" s="851">
        <f>NSG_Supplies!R9/1000</f>
        <v>85.649000000000001</v>
      </c>
      <c r="G32" s="851">
        <f>NSG_Supplies!R10/1000</f>
        <v>85.649000000000001</v>
      </c>
      <c r="H32" s="851">
        <f>NSG_Supplies!R11/1000</f>
        <v>85.649000000000001</v>
      </c>
      <c r="I32" s="852">
        <f>NSG_Supplies!R12/1000</f>
        <v>85.649000000000001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176.68200000000002</v>
      </c>
      <c r="E37" s="891">
        <f t="shared" si="2"/>
        <v>165.649</v>
      </c>
      <c r="F37" s="891">
        <f t="shared" si="2"/>
        <v>145.649</v>
      </c>
      <c r="G37" s="891">
        <f t="shared" si="2"/>
        <v>125.649</v>
      </c>
      <c r="H37" s="891">
        <f t="shared" si="2"/>
        <v>125.649</v>
      </c>
      <c r="I37" s="892">
        <f t="shared" si="2"/>
        <v>125.649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8.6490000000000009</v>
      </c>
      <c r="G38" s="895">
        <f t="shared" ca="1" si="3"/>
        <v>0</v>
      </c>
      <c r="H38" s="895">
        <f t="shared" ca="1" si="3"/>
        <v>7.6490000000000009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0.7459999999999809</v>
      </c>
      <c r="E39" s="877">
        <f t="shared" ca="1" si="4"/>
        <v>1.0000000000047748E-3</v>
      </c>
      <c r="F39" s="877">
        <f t="shared" ca="1" si="4"/>
        <v>0</v>
      </c>
      <c r="G39" s="877">
        <f t="shared" ca="1" si="4"/>
        <v>2.3509999999999991</v>
      </c>
      <c r="H39" s="877">
        <f t="shared" ca="1" si="4"/>
        <v>0</v>
      </c>
      <c r="I39" s="878">
        <f t="shared" ca="1" si="4"/>
        <v>0.35099999999999909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41.015999999999998</v>
      </c>
      <c r="E40" s="1175">
        <f>NSG_Supplies!S8/1000</f>
        <v>41.015999999999998</v>
      </c>
      <c r="F40" s="1175">
        <f>NSG_Supplies!S9/1000</f>
        <v>41.015999999999998</v>
      </c>
      <c r="G40" s="1175">
        <f>NSG_Supplies!S10/1000</f>
        <v>41.015999999999998</v>
      </c>
      <c r="H40" s="1175">
        <f>NSG_Supplies!S11/1000</f>
        <v>41.015999999999998</v>
      </c>
      <c r="I40" s="1176">
        <f>NSG_Supplies!S12/1000</f>
        <v>41.015999999999998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13.1</v>
      </c>
      <c r="E42" s="902">
        <f>Weather_Input!D6</f>
        <v>8</v>
      </c>
      <c r="F42" s="902">
        <f>Weather_Input!D7</f>
        <v>8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1" sqref="C1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36966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>
        <v>30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33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1058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232.06300000000002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61.5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-251.42600000000002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142.61500000000001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296.44499999999999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2.2160000000000002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163.494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19.003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627.904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430.096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3.7828499999999998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433.87885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-82.132000000000005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-356.46499999999997</v>
      </c>
      <c r="D29" s="987" t="s">
        <v>11</v>
      </c>
      <c r="E29" s="986">
        <f>-PGL_Supplies!AC7/1000</f>
        <v>-356.46499999999997</v>
      </c>
      <c r="F29" s="307"/>
      <c r="G29" s="986">
        <f>-PGL_Supplies!AC7/1000</f>
        <v>-356.46499999999997</v>
      </c>
      <c r="H29" s="515"/>
      <c r="I29" s="988">
        <f>-PGL_Supplies!AC7/1000</f>
        <v>-356.46499999999997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7.2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239.26300000000001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232.06300000000002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0.5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62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61.5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142.61500000000001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252.19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1.254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0.49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3.7828499999999998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-251.42600000000002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0.1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296.54500000000002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8.6999999999999993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296.44499999999999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172.19399999999999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296.54500000000002</v>
      </c>
    </row>
    <row r="63" spans="1:9" ht="16.2" thickBot="1">
      <c r="A63" s="800" t="s">
        <v>565</v>
      </c>
      <c r="B63" s="1020">
        <f>+B62+B61-B60+B59</f>
        <v>163.494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36966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>
        <v>30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33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173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87.342999999999989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20.657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65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87.342999999999989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4.4279999999999999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-91.025000000000006</v>
      </c>
      <c r="D26" s="719"/>
      <c r="E26" s="712">
        <f>-NSG_Supplies!R7/1000</f>
        <v>-91.025000000000006</v>
      </c>
      <c r="F26" s="719"/>
      <c r="G26" s="712">
        <f>-NSG_Supplies!R7/1000</f>
        <v>-91.025000000000006</v>
      </c>
      <c r="H26" s="718"/>
      <c r="I26" s="777">
        <f>-NSG_Supplies!R7/1000</f>
        <v>-91.025000000000006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65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65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0.65700000000000003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20.657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33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1058</v>
      </c>
      <c r="C8" s="274">
        <f>NSG_Deliveries!C5/1000</f>
        <v>173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61.5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479.69800000000004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2.2160000000000002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150.56700000000001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1.254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19.003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-676.23200000000008</v>
      </c>
      <c r="C18" s="289">
        <f>-I63</f>
        <v>-65</v>
      </c>
      <c r="D18" s="290" t="s">
        <v>11</v>
      </c>
      <c r="E18" s="289">
        <f>-I63</f>
        <v>-65</v>
      </c>
      <c r="F18" s="290" t="s">
        <v>11</v>
      </c>
      <c r="G18" s="289">
        <f>-I63</f>
        <v>-65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381.76799999999992</v>
      </c>
      <c r="C20" s="295">
        <f>C8+C18+C19</f>
        <v>108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3.7828499999999998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385.55084999999991</v>
      </c>
      <c r="C23" s="301">
        <f>C20</f>
        <v>108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0.49</v>
      </c>
      <c r="C27" s="310">
        <f>NSG_Requirements!P7/1000</f>
        <v>0</v>
      </c>
      <c r="D27" s="310">
        <f>PGL_Requirements!R7/1000</f>
        <v>0.49</v>
      </c>
      <c r="E27" s="310">
        <f>NSG_Requirements!P7/1000</f>
        <v>0</v>
      </c>
      <c r="F27" s="310">
        <f>PGL_Requirements!R7/1000</f>
        <v>0.49</v>
      </c>
      <c r="G27" s="310">
        <f>NSG_Requirements!P7/1000</f>
        <v>0</v>
      </c>
      <c r="H27" s="311">
        <f>+B27</f>
        <v>0.49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-356.46499999999997</v>
      </c>
      <c r="C32" s="315">
        <f>-NSG_Supplies!R7/1000</f>
        <v>-91.025000000000006</v>
      </c>
      <c r="D32" s="315">
        <f>B32</f>
        <v>-356.46499999999997</v>
      </c>
      <c r="E32" s="315">
        <f>C32</f>
        <v>-91.025000000000006</v>
      </c>
      <c r="F32" s="315">
        <f>B32</f>
        <v>-356.46499999999997</v>
      </c>
      <c r="G32" s="315">
        <f>C32</f>
        <v>-91.025000000000006</v>
      </c>
      <c r="H32" s="320">
        <f>B32</f>
        <v>-356.46499999999997</v>
      </c>
      <c r="I32" s="321">
        <f>C32</f>
        <v>-91.025000000000006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-41.015999999999998</v>
      </c>
      <c r="D33" s="315">
        <f>B33</f>
        <v>0</v>
      </c>
      <c r="E33" s="315">
        <f>C33</f>
        <v>-41.015999999999998</v>
      </c>
      <c r="F33" s="315">
        <f>B33</f>
        <v>0</v>
      </c>
      <c r="G33" s="315">
        <f>C33</f>
        <v>-41.015999999999998</v>
      </c>
      <c r="H33" s="320">
        <f>B33</f>
        <v>0</v>
      </c>
      <c r="I33" s="321">
        <f>C33</f>
        <v>-41.015999999999998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4.4279999999999999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-82.132000000000005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252.19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1.254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3.7828499999999998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3.7828499999999998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1.254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343.28300000000002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7.2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479.69800000000004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61.5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61.5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65</v>
      </c>
    </row>
    <row r="64" spans="1:9" ht="17.100000000000001" customHeight="1" thickBot="1">
      <c r="A64" s="425" t="s">
        <v>394</v>
      </c>
      <c r="B64" s="324">
        <f>PGL_Supplies!Y7/1000</f>
        <v>239.26300000000001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163.494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252.19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8.6999999999999993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150.56700000000001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36966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61.5</v>
      </c>
      <c r="D97" s="603"/>
      <c r="E97" s="615">
        <f>+C97</f>
        <v>61.5</v>
      </c>
      <c r="F97" s="603"/>
      <c r="G97" s="615">
        <f>+C97</f>
        <v>61.5</v>
      </c>
      <c r="H97" s="603"/>
      <c r="I97" s="285">
        <f>+C97</f>
        <v>61.5</v>
      </c>
    </row>
    <row r="98" spans="1:9" ht="15">
      <c r="A98" s="494" t="s">
        <v>60</v>
      </c>
      <c r="B98" s="282" t="s">
        <v>11</v>
      </c>
      <c r="C98" s="624">
        <f>B149</f>
        <v>1.254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-7713.1019999999999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402.75700000000001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19.003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0.5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-62</v>
      </c>
      <c r="C116" s="419">
        <f>-NSG_Supplies!W7/1000</f>
        <v>0</v>
      </c>
      <c r="D116" s="315">
        <f>-PGL_Supplies!Z7/1000</f>
        <v>-62</v>
      </c>
      <c r="E116" s="315">
        <f>-NSG_Supplies!W7/1000</f>
        <v>0</v>
      </c>
      <c r="F116" s="315">
        <f>-PGL_Supplies!Z7/1000</f>
        <v>-62</v>
      </c>
      <c r="G116" s="315">
        <f>-NSG_Supplies!W7/1000</f>
        <v>0</v>
      </c>
      <c r="H116" s="320">
        <f>-PGL_Supplies!Z7/1000</f>
        <v>-62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-143.61500000000001</v>
      </c>
      <c r="C117" s="315">
        <f>-NSG_Supplies!X7/1000</f>
        <v>0</v>
      </c>
      <c r="D117" s="315">
        <f>-PGL_Supplies!AA7/1000</f>
        <v>-143.61500000000001</v>
      </c>
      <c r="E117" s="315">
        <f>-NSG_Supplies!X7/1000</f>
        <v>0</v>
      </c>
      <c r="F117" s="315">
        <f>-PGL_Supplies!AA7/1000</f>
        <v>-143.61500000000001</v>
      </c>
      <c r="G117" s="315">
        <f>-NSG_Supplies!X7/1000</f>
        <v>0</v>
      </c>
      <c r="H117" s="320">
        <f>-PGL_Supplies!AA7/1000</f>
        <v>-143.61500000000001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-41.015999999999998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0.5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62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61.5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7200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343.28300000000002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-7713.1019999999999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252.19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1.254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3.7828499999999998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1.254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8.6999999999999993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172.19399999999999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239.26300000000001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402.75700000000001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36967.443738541668</v>
      </c>
      <c r="F22" s="164" t="s">
        <v>272</v>
      </c>
      <c r="G22" s="191">
        <f ca="1">NOW()</f>
        <v>36967.443738541668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36967.443738541668</v>
      </c>
      <c r="F22" s="164" t="s">
        <v>272</v>
      </c>
      <c r="G22" s="191">
        <f ca="1">NOW()</f>
        <v>36967.443738541668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36966</v>
      </c>
      <c r="C5" s="15"/>
      <c r="D5" s="22" t="s">
        <v>290</v>
      </c>
      <c r="E5" s="23">
        <f>Weather_Input!B5</f>
        <v>33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509</v>
      </c>
      <c r="H6" s="26" t="s">
        <v>294</v>
      </c>
      <c r="I6" s="27">
        <f ca="1">G6-(VLOOKUP(B5,DD_Normal_Data,CELL("Col",C7),FALSE))</f>
        <v>23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30.7</v>
      </c>
      <c r="F7" s="24" t="s">
        <v>296</v>
      </c>
      <c r="G7" s="25">
        <f>Weather_Input!G5</f>
        <v>5594</v>
      </c>
      <c r="H7" s="26" t="s">
        <v>296</v>
      </c>
      <c r="I7" s="123">
        <f ca="1">G7-(VLOOKUP(B5,DD_Normal_Data,CELL("Col",D4),FALSE))</f>
        <v>313</v>
      </c>
      <c r="J7" s="123"/>
    </row>
    <row r="8" spans="1:109" ht="15">
      <c r="A8" s="18"/>
      <c r="B8" s="20"/>
      <c r="C8" s="15"/>
      <c r="D8" s="32" t="str">
        <f>IF(Weather_Input!I5=""," ",Weather_Input!I5)</f>
        <v>AT NIGHT, CLOUDY WITH SNOW LIKELY. 1" ACCUM. NORTH WINDS 15/25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36967</v>
      </c>
      <c r="C10" s="15"/>
      <c r="D10" s="153" t="s">
        <v>290</v>
      </c>
      <c r="E10" s="23">
        <f>Weather_Input!B6</f>
        <v>36</v>
      </c>
      <c r="F10" s="24" t="s">
        <v>291</v>
      </c>
      <c r="G10" s="25">
        <f>IF(E12&lt;65,65-(Weather_Input!B6+Weather_Input!C6)/2,0)</f>
        <v>37.5</v>
      </c>
      <c r="H10" s="26" t="s">
        <v>292</v>
      </c>
      <c r="I10" s="27">
        <f ca="1">G10-(VLOOKUP(B10,DD_Normal_Data,CELL("Col",B11),FALSE))</f>
        <v>10.5</v>
      </c>
    </row>
    <row r="11" spans="1:109" ht="15">
      <c r="A11" s="18"/>
      <c r="B11" s="21"/>
      <c r="C11" s="15"/>
      <c r="D11" s="22" t="s">
        <v>176</v>
      </c>
      <c r="E11" s="23">
        <f>Weather_Input!C6</f>
        <v>19</v>
      </c>
      <c r="F11" s="24" t="s">
        <v>293</v>
      </c>
      <c r="G11" s="25">
        <f>IF(DAY(B10)=1,G10,G6+G10)</f>
        <v>546.5</v>
      </c>
      <c r="H11" s="30" t="s">
        <v>294</v>
      </c>
      <c r="I11" s="27">
        <f ca="1">G11-(VLOOKUP(B10,DD_Normal_Data,CELL("Col",C12),FALSE))</f>
        <v>33.5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27.5</v>
      </c>
      <c r="F12" s="24" t="s">
        <v>296</v>
      </c>
      <c r="G12" s="25">
        <f>IF(AND(DAY(B10)=1,MONTH(B10)=8),G10,G7+G10)</f>
        <v>5631.5</v>
      </c>
      <c r="H12" s="26" t="s">
        <v>296</v>
      </c>
      <c r="I12" s="27">
        <f ca="1">G12-(VLOOKUP(B10,DD_Normal_Data,CELL("Col",D9),FALSE))</f>
        <v>323.5</v>
      </c>
    </row>
    <row r="13" spans="1:109" ht="15">
      <c r="A13" s="18"/>
      <c r="B13" s="21"/>
      <c r="C13" s="15"/>
      <c r="D13" s="32" t="str">
        <f>IF(Weather_Input!I6=""," ",Weather_Input!I6)</f>
        <v>LIGHT SNOW OR FLURRIES…MAINLY SOUTH AND N.E. INDIANA..ENDING THIS A.M. BE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COMING PARTLY SUNNY. NORTH WINDS 10/15. AT NIGHT, CLEAR AND COLD.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36968</v>
      </c>
      <c r="C15" s="15"/>
      <c r="D15" s="22" t="s">
        <v>290</v>
      </c>
      <c r="E15" s="23">
        <f>Weather_Input!B7</f>
        <v>44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176</v>
      </c>
      <c r="E16" s="23">
        <f>Weather_Input!C7</f>
        <v>29</v>
      </c>
      <c r="F16" s="24" t="s">
        <v>293</v>
      </c>
      <c r="G16" s="25">
        <f>IF(DAY(B15)=1,G15,G11+G15)</f>
        <v>575</v>
      </c>
      <c r="H16" s="30" t="s">
        <v>294</v>
      </c>
      <c r="I16" s="27">
        <f ca="1">G16-(VLOOKUP(B15,DD_Normal_Data,CELL("Col",C17),FALSE))</f>
        <v>35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5660</v>
      </c>
      <c r="H17" s="26" t="s">
        <v>296</v>
      </c>
      <c r="I17" s="27">
        <f ca="1">G17-(VLOOKUP(B15,DD_Normal_Data,CELL("Col",D14),FALSE))</f>
        <v>325</v>
      </c>
    </row>
    <row r="18" spans="1:109" ht="15">
      <c r="A18" s="18"/>
      <c r="B18" s="20"/>
      <c r="C18" s="15"/>
      <c r="D18" s="32" t="str">
        <f>IF(Weather_Input!I7=""," ",Weather_Input!I7)</f>
        <v>SUNNY AND WARMER. AT NIGHT, FAIR.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36969</v>
      </c>
      <c r="C20" s="15"/>
      <c r="D20" s="22" t="s">
        <v>290</v>
      </c>
      <c r="E20" s="23">
        <f>Weather_Input!B8</f>
        <v>47</v>
      </c>
      <c r="F20" s="24" t="s">
        <v>291</v>
      </c>
      <c r="G20" s="25">
        <f>IF(E22&lt;65,65-(Weather_Input!B8+Weather_Input!C8)/2,0)</f>
        <v>25.5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32</v>
      </c>
      <c r="F21" s="24" t="s">
        <v>293</v>
      </c>
      <c r="G21" s="25">
        <f>IF(DAY(B20)=1,G20,G16+G20)</f>
        <v>600.5</v>
      </c>
      <c r="H21" s="30" t="s">
        <v>294</v>
      </c>
      <c r="I21" s="27">
        <f ca="1">G21-(VLOOKUP(B20,DD_Normal_Data,CELL("Col",C22),FALSE))</f>
        <v>34.5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39.5</v>
      </c>
      <c r="F22" s="24" t="s">
        <v>296</v>
      </c>
      <c r="G22" s="25">
        <f>IF(AND(DAY(B20)=1,MONTH(B20)=8),G20,G17+G20)</f>
        <v>5685.5</v>
      </c>
      <c r="H22" s="26" t="s">
        <v>296</v>
      </c>
      <c r="I22" s="27">
        <f ca="1">G22-(VLOOKUP(B20,DD_Normal_Data,CELL("Col",D19),FALSE))</f>
        <v>324.5</v>
      </c>
    </row>
    <row r="23" spans="1:109" ht="15">
      <c r="A23" s="18"/>
      <c r="B23" s="21"/>
      <c r="C23" s="15"/>
      <c r="D23" s="32" t="str">
        <f>IF(Weather_Input!I8=""," ",Weather_Input!I8)</f>
        <v>MOSTLY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36970</v>
      </c>
      <c r="C25" s="15"/>
      <c r="D25" s="22" t="s">
        <v>290</v>
      </c>
      <c r="E25" s="23">
        <f>Weather_Input!B9</f>
        <v>51</v>
      </c>
      <c r="F25" s="24" t="s">
        <v>291</v>
      </c>
      <c r="G25" s="25">
        <f>IF(E27&lt;65,65-(Weather_Input!B9+Weather_Input!C9)/2,0)</f>
        <v>22</v>
      </c>
      <c r="H25" s="26" t="s">
        <v>292</v>
      </c>
      <c r="I25" s="27">
        <f ca="1">G25-(VLOOKUP(B25,DD_Normal_Data,CELL("Col",B26),FALSE))</f>
        <v>-4</v>
      </c>
    </row>
    <row r="26" spans="1:109" ht="15">
      <c r="A26" s="18"/>
      <c r="B26" s="21"/>
      <c r="C26" s="15"/>
      <c r="D26" s="22" t="s">
        <v>176</v>
      </c>
      <c r="E26" s="23">
        <f>Weather_Input!C9</f>
        <v>35</v>
      </c>
      <c r="F26" s="24" t="s">
        <v>293</v>
      </c>
      <c r="G26" s="25">
        <f>IF(DAY(B25)=1,G25,G21+G25)</f>
        <v>622.5</v>
      </c>
      <c r="H26" s="30" t="s">
        <v>294</v>
      </c>
      <c r="I26" s="27">
        <f ca="1">G26-(VLOOKUP(B25,DD_Normal_Data,CELL("Col",C27),FALSE))</f>
        <v>30.5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43</v>
      </c>
      <c r="F27" s="24" t="s">
        <v>296</v>
      </c>
      <c r="G27" s="25">
        <f>IF(AND(DAY(B25)=1,MONTH(B25)=8),G25,G22+G25)</f>
        <v>5707.5</v>
      </c>
      <c r="H27" s="26" t="s">
        <v>296</v>
      </c>
      <c r="I27" s="27">
        <f ca="1">G27-(VLOOKUP(B25,DD_Normal_Data,CELL("Col",D24),FALSE))</f>
        <v>320.5</v>
      </c>
    </row>
    <row r="28" spans="1:109" ht="15">
      <c r="A28" s="18"/>
      <c r="B28" s="20"/>
      <c r="C28" s="15"/>
      <c r="D28" s="32" t="str">
        <f>IF(Weather_Input!I9=""," ",Weather_Input!I9)</f>
        <v>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36971</v>
      </c>
      <c r="C30" s="15"/>
      <c r="D30" s="22" t="s">
        <v>290</v>
      </c>
      <c r="E30" s="23">
        <f>Weather_Input!B10</f>
        <v>49</v>
      </c>
      <c r="F30" s="24" t="s">
        <v>291</v>
      </c>
      <c r="G30" s="25">
        <f>IF(E32&lt;65,65-(Weather_Input!B10+Weather_Input!C10)/2,0)</f>
        <v>25</v>
      </c>
      <c r="H30" s="26" t="s">
        <v>292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647.5</v>
      </c>
      <c r="H31" s="30" t="s">
        <v>294</v>
      </c>
      <c r="I31" s="27">
        <f ca="1">G31-(VLOOKUP(B30,DD_Normal_Data,CELL("Col",C32),FALSE))</f>
        <v>29.5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</v>
      </c>
      <c r="F32" s="24" t="s">
        <v>296</v>
      </c>
      <c r="G32" s="25">
        <f>IF(AND(DAY(B30)=1,MONTH(B30)=8),G30,G27+G30)</f>
        <v>5732.5</v>
      </c>
      <c r="H32" s="26" t="s">
        <v>296</v>
      </c>
      <c r="I32" s="27">
        <f ca="1">G32-(VLOOKUP(B30,DD_Normal_Data,CELL("Col",D29),FALSE))</f>
        <v>319.5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36966</v>
      </c>
      <c r="C36" s="91">
        <f>B10</f>
        <v>36967</v>
      </c>
      <c r="D36" s="91">
        <f>B15</f>
        <v>36968</v>
      </c>
      <c r="E36" s="91">
        <f xml:space="preserve">       B20</f>
        <v>36969</v>
      </c>
      <c r="F36" s="91">
        <f>B25</f>
        <v>36970</v>
      </c>
      <c r="G36" s="91">
        <f>B30</f>
        <v>36971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1058</v>
      </c>
      <c r="C37" s="41">
        <f ca="1">(VLOOKUP(C36,PGL_Sendouts,(CELL("COL",PGL_Deliveries!C7))))/1000</f>
        <v>1020</v>
      </c>
      <c r="D37" s="41">
        <f ca="1">(VLOOKUP(D36,PGL_Sendouts,(CELL("COL",PGL_Deliveries!C8))))/1000</f>
        <v>880</v>
      </c>
      <c r="E37" s="41">
        <f ca="1">(VLOOKUP(E36,PGL_Sendouts,(CELL("COL",PGL_Deliveries!C9))))/1000</f>
        <v>845</v>
      </c>
      <c r="F37" s="41">
        <f ca="1">(VLOOKUP(F36,PGL_Sendouts,(CELL("COL",PGL_Deliveries!C10))))/1000</f>
        <v>780</v>
      </c>
      <c r="G37" s="41">
        <f ca="1">(VLOOKUP(G36,PGL_Sendouts,(CELL("COL",PGL_Deliveries!C10))))/1000</f>
        <v>840</v>
      </c>
      <c r="H37" s="14"/>
      <c r="I37" s="15"/>
    </row>
    <row r="38" spans="1:9" ht="15">
      <c r="A38" s="15" t="s">
        <v>301</v>
      </c>
      <c r="B38" s="41">
        <f>PGL_6_Day_Report!D30</f>
        <v>1350.96585</v>
      </c>
      <c r="C38" s="41">
        <f>PGL_6_Day_Report!E30</f>
        <v>1274.3900000000001</v>
      </c>
      <c r="D38" s="41">
        <f>PGL_6_Day_Report!F30</f>
        <v>1134.3900000000001</v>
      </c>
      <c r="E38" s="41">
        <f>PGL_6_Day_Report!G30</f>
        <v>1099.3900000000001</v>
      </c>
      <c r="F38" s="41">
        <f>PGL_6_Day_Report!H30</f>
        <v>1034.3900000000001</v>
      </c>
      <c r="G38" s="41">
        <f>PGL_6_Day_Report!I30</f>
        <v>1094.3900000000001</v>
      </c>
      <c r="H38" s="14"/>
      <c r="I38" s="15"/>
    </row>
    <row r="39" spans="1:9" ht="15">
      <c r="A39" s="42" t="s">
        <v>109</v>
      </c>
      <c r="B39" s="41">
        <f>SUM(PGL_Supplies!Z7:AE7)/1000</f>
        <v>1030.819</v>
      </c>
      <c r="C39" s="41">
        <f>SUM(PGL_Supplies!Z8:AE8)/1000</f>
        <v>995.50699999999995</v>
      </c>
      <c r="D39" s="41">
        <f>SUM(PGL_Supplies!Z9:AE9)/1000</f>
        <v>910.62300000000005</v>
      </c>
      <c r="E39" s="41">
        <f>SUM(PGL_Supplies!Z10:AE10)/1000</f>
        <v>852.83100000000002</v>
      </c>
      <c r="F39" s="41">
        <f>SUM(PGL_Supplies!Z11:AE11)/1000</f>
        <v>852.83100000000002</v>
      </c>
      <c r="G39" s="41">
        <f>SUM(PGL_Supplies!Z12:AE12)/1000</f>
        <v>852.83100000000002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0.49</v>
      </c>
      <c r="C41" s="41">
        <f>SUM(PGL_Requirements!R7:U7)/1000</f>
        <v>0.49</v>
      </c>
      <c r="D41" s="41">
        <f>SUM(PGL_Requirements!R7:U7)/1000</f>
        <v>0.49</v>
      </c>
      <c r="E41" s="41">
        <f>SUM(PGL_Requirements!R7:U7)/1000</f>
        <v>0.49</v>
      </c>
      <c r="F41" s="41">
        <f>SUM(PGL_Requirements!R7:U7)/1000</f>
        <v>0.49</v>
      </c>
      <c r="G41" s="41">
        <f>SUM(PGL_Requirements!R7:U7)/1000</f>
        <v>0.49</v>
      </c>
      <c r="H41" s="14"/>
      <c r="I41" s="15"/>
    </row>
    <row r="42" spans="1:9" ht="15">
      <c r="A42" s="15" t="s">
        <v>132</v>
      </c>
      <c r="B42" s="41">
        <f>PGL_Supplies!V7/1000</f>
        <v>343.28300000000002</v>
      </c>
      <c r="C42" s="41">
        <f>PGL_Supplies!V8/1000</f>
        <v>343.28300000000002</v>
      </c>
      <c r="D42" s="41">
        <f>PGL_Supplies!V9/1000</f>
        <v>343.28300000000002</v>
      </c>
      <c r="E42" s="41">
        <f>PGL_Supplies!V10/1000</f>
        <v>343.28300000000002</v>
      </c>
      <c r="F42" s="41">
        <f>PGL_Supplies!V11/1000</f>
        <v>343.28300000000002</v>
      </c>
      <c r="G42" s="41">
        <f>PGL_Supplies!V12/1000</f>
        <v>343.28300000000002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36966</v>
      </c>
      <c r="C44" s="91">
        <f t="shared" si="0"/>
        <v>36967</v>
      </c>
      <c r="D44" s="91">
        <f t="shared" si="0"/>
        <v>36968</v>
      </c>
      <c r="E44" s="91">
        <f t="shared" si="0"/>
        <v>36969</v>
      </c>
      <c r="F44" s="91">
        <f t="shared" si="0"/>
        <v>36970</v>
      </c>
      <c r="G44" s="91">
        <f t="shared" si="0"/>
        <v>36971</v>
      </c>
      <c r="H44" s="14"/>
      <c r="I44" s="15"/>
    </row>
    <row r="45" spans="1:9" ht="15">
      <c r="A45" s="15" t="s">
        <v>56</v>
      </c>
      <c r="B45" s="41">
        <f ca="1">NSG_6_Day_Report!D6</f>
        <v>173</v>
      </c>
      <c r="C45" s="41">
        <f ca="1">NSG_6_Day_Report!E6</f>
        <v>164</v>
      </c>
      <c r="D45" s="41">
        <f ca="1">NSG_6_Day_Report!F6</f>
        <v>137</v>
      </c>
      <c r="E45" s="41">
        <f ca="1">NSG_6_Day_Report!G6</f>
        <v>128</v>
      </c>
      <c r="F45" s="41">
        <f ca="1">NSG_6_Day_Report!H6</f>
        <v>118</v>
      </c>
      <c r="G45" s="41">
        <f ca="1">NSG_6_Day_Report!I6</f>
        <v>126</v>
      </c>
      <c r="H45" s="14"/>
      <c r="I45" s="15"/>
    </row>
    <row r="46" spans="1:9" ht="15">
      <c r="A46" s="42" t="s">
        <v>301</v>
      </c>
      <c r="B46" s="41">
        <f ca="1">NSG_6_Day_Report!D19</f>
        <v>177.428</v>
      </c>
      <c r="C46" s="41">
        <f ca="1">NSG_6_Day_Report!E19</f>
        <v>165.65</v>
      </c>
      <c r="D46" s="41">
        <f ca="1">NSG_6_Day_Report!F19</f>
        <v>137</v>
      </c>
      <c r="E46" s="41">
        <f ca="1">NSG_6_Day_Report!G19</f>
        <v>128</v>
      </c>
      <c r="F46" s="41">
        <f ca="1">NSG_6_Day_Report!H19</f>
        <v>118</v>
      </c>
      <c r="G46" s="41">
        <f ca="1">NSG_6_Day_Report!I19</f>
        <v>126</v>
      </c>
      <c r="H46" s="14"/>
      <c r="I46" s="15"/>
    </row>
    <row r="47" spans="1:9" ht="15">
      <c r="A47" s="42" t="s">
        <v>109</v>
      </c>
      <c r="B47" s="41">
        <f>SUM(NSG_Supplies!P7:R7)/1000</f>
        <v>111.02500000000001</v>
      </c>
      <c r="C47" s="41">
        <f>SUM(NSG_Supplies!P8:R8)/1000</f>
        <v>105.649</v>
      </c>
      <c r="D47" s="41">
        <f>SUM(NSG_Supplies!P9:R9)/1000</f>
        <v>105.649</v>
      </c>
      <c r="E47" s="41">
        <f>SUM(NSG_Supplies!P10:R10)/1000</f>
        <v>105.649</v>
      </c>
      <c r="F47" s="41">
        <f>SUM(NSG_Supplies!P11:R11)/1000</f>
        <v>105.649</v>
      </c>
      <c r="G47" s="41">
        <f>SUM(NSG_Supplies!P12:R12)/1000</f>
        <v>105.649</v>
      </c>
      <c r="H47" s="14"/>
      <c r="I47" s="15"/>
    </row>
    <row r="48" spans="1:9" ht="15">
      <c r="A48" s="42" t="s">
        <v>302</v>
      </c>
      <c r="B48" s="41">
        <f>SUM(NSG_Supplies!I7:M7)/1000</f>
        <v>65</v>
      </c>
      <c r="C48" s="41">
        <f>SUM(NSG_Supplies!I8:M8)/1000</f>
        <v>60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41.015999999999998</v>
      </c>
      <c r="C50" s="41">
        <f>NSG_Supplies!S8/1000</f>
        <v>41.015999999999998</v>
      </c>
      <c r="D50" s="41">
        <f>NSG_Supplies!S9/1000</f>
        <v>41.015999999999998</v>
      </c>
      <c r="E50" s="41">
        <f>NSG_Supplies!S10/1000</f>
        <v>41.015999999999998</v>
      </c>
      <c r="F50" s="41">
        <f>NSG_Supplies!S11/1000</f>
        <v>41.015999999999998</v>
      </c>
      <c r="G50" s="41">
        <f>NSG_Supplies!S12/1000</f>
        <v>41.015999999999998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36966</v>
      </c>
      <c r="C52" s="91">
        <f t="shared" si="1"/>
        <v>36967</v>
      </c>
      <c r="D52" s="91">
        <f t="shared" si="1"/>
        <v>36968</v>
      </c>
      <c r="E52" s="91">
        <f t="shared" si="1"/>
        <v>36969</v>
      </c>
      <c r="F52" s="91">
        <f t="shared" si="1"/>
        <v>36970</v>
      </c>
      <c r="G52" s="91">
        <f t="shared" si="1"/>
        <v>36971</v>
      </c>
      <c r="H52" s="14"/>
      <c r="I52" s="15"/>
    </row>
    <row r="53" spans="1:9" ht="15">
      <c r="A53" s="94" t="s">
        <v>305</v>
      </c>
      <c r="B53" s="41">
        <f>PGL_Requirements!P7/1000</f>
        <v>252.19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36967</v>
      </c>
      <c r="C5" s="1147">
        <f>Weather_Input!A7</f>
        <v>36968</v>
      </c>
      <c r="D5" s="1147">
        <f>Weather_Input!A8</f>
        <v>36969</v>
      </c>
      <c r="E5" s="1147">
        <f>Weather_Input!A9</f>
        <v>36970</v>
      </c>
      <c r="F5" s="1148">
        <f>Weather_Input!A10</f>
        <v>36971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431.07600000000002</v>
      </c>
      <c r="C6" s="1149">
        <f>PGL_Supplies!AC9/1000+PGL_Supplies!L9/1000-PGL_Requirements!O9/1000+C15-PGL_Requirements!T9/1000</f>
        <v>344.13600000000002</v>
      </c>
      <c r="D6" s="1149">
        <f>PGL_Supplies!AC10/1000+PGL_Supplies!L10/1000-PGL_Requirements!O10/1000+D15-PGL_Requirements!T10/1000</f>
        <v>298.61900000000003</v>
      </c>
      <c r="E6" s="1149">
        <f>PGL_Supplies!AC11/1000+PGL_Supplies!L11/1000-PGL_Requirements!O11/1000+E15-PGL_Requirements!T11/1000</f>
        <v>298.61900000000003</v>
      </c>
      <c r="F6" s="1150">
        <f>PGL_Supplies!AC12/1000+PGL_Supplies!L12/1000-PGL_Requirements!O12/1000+F15-PGL_Requirements!T12/1000</f>
        <v>298.61900000000003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325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36967</v>
      </c>
      <c r="C22" s="1161">
        <f t="shared" si="0"/>
        <v>36968</v>
      </c>
      <c r="D22" s="1161">
        <f t="shared" si="0"/>
        <v>36969</v>
      </c>
      <c r="E22" s="1161">
        <f t="shared" si="0"/>
        <v>36970</v>
      </c>
      <c r="F22" s="1162">
        <f t="shared" si="0"/>
        <v>36971</v>
      </c>
      <c r="G22" s="100"/>
    </row>
    <row r="23" spans="1:7">
      <c r="A23" s="100" t="s">
        <v>313</v>
      </c>
      <c r="B23" s="1155">
        <f>NSG_Supplies!R8/1000+NSG_Supplies!F8/1000-NSG_Requirements!H8/1000</f>
        <v>83.998999999999995</v>
      </c>
      <c r="C23" s="1155">
        <f>NSG_Supplies!R9/1000+NSG_Supplies!F9/1000-NSG_Requirements!H9/1000</f>
        <v>85.649000000000001</v>
      </c>
      <c r="D23" s="1155">
        <f>NSG_Supplies!R10/1000+NSG_Supplies!F10/1000-NSG_Requirements!H10/1000</f>
        <v>85.649000000000001</v>
      </c>
      <c r="E23" s="1155">
        <f>NSG_Supplies!R12/1000+NSG_Supplies!F11/1000-NSG_Requirements!H11/1000</f>
        <v>85.649000000000001</v>
      </c>
      <c r="F23" s="1150">
        <f>NSG_Supplies!R12/1000+NSG_Supplies!F12/1000-NSG_Requirements!H12/1000</f>
        <v>85.649000000000001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220.97499999999999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220.97499999999999</v>
      </c>
      <c r="D14" s="438"/>
      <c r="E14" s="440">
        <f>AVERAGE(C14/24)</f>
        <v>9.2072916666666664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156.054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156.054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156.054</v>
      </c>
      <c r="H25" s="430"/>
      <c r="I25" s="907">
        <f>AVERAGE(G25/24)</f>
        <v>6.5022500000000001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36967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5</v>
      </c>
      <c r="H9" s="955">
        <v>0</v>
      </c>
      <c r="I9" s="1053"/>
      <c r="K9" s="933" t="s">
        <v>692</v>
      </c>
      <c r="L9" s="955">
        <f>NSG_Deliveries!C6/1000</f>
        <v>164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220.97499999999999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83.998999999999995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156.054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1020</v>
      </c>
      <c r="L26" s="933" t="s">
        <v>692</v>
      </c>
      <c r="M26" s="955">
        <f>NSG_Deliveries!C6/1000</f>
        <v>164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593.31600000000003</v>
      </c>
      <c r="L28" s="936" t="s">
        <v>746</v>
      </c>
      <c r="M28" s="961">
        <f>SUM(J2+K17+K19+H11+H9-M26)</f>
        <v>-1.0000000000047748E-3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431.07600000000002</v>
      </c>
    </row>
    <row r="30" spans="1:17" ht="10.5" customHeight="1">
      <c r="A30" s="938"/>
      <c r="B30" s="955"/>
      <c r="C30" s="936"/>
      <c r="D30" s="955"/>
      <c r="F30" s="1114">
        <f>PGL_Requirements!A8</f>
        <v>36967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4.3920000000000528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843.31600000000003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593.31600000000003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36966</v>
      </c>
      <c r="B5" s="11">
        <v>33</v>
      </c>
      <c r="C5" s="49">
        <v>30</v>
      </c>
      <c r="D5" s="49">
        <v>13.1</v>
      </c>
      <c r="E5" s="11">
        <v>30.7</v>
      </c>
      <c r="F5" s="11">
        <v>509</v>
      </c>
      <c r="G5" s="11">
        <v>5594</v>
      </c>
      <c r="H5" s="11">
        <v>33</v>
      </c>
      <c r="I5" s="912" t="s">
        <v>794</v>
      </c>
      <c r="J5" s="912"/>
      <c r="K5" s="11">
        <v>4</v>
      </c>
      <c r="L5" s="11">
        <v>1</v>
      </c>
      <c r="N5" s="15" t="str">
        <f>I5&amp;" "&amp;I5</f>
        <v>AT NIGHT, CLOUDY WITH SNOW LIKELY. 1" ACCUM. NORTH WINDS 15/25 MPH. AT NIGHT, CLOUDY WITH SNOW LIKELY. 1" ACCUM. NORTH WINDS 15/25 MPH.</v>
      </c>
      <c r="AE5" s="15">
        <v>1</v>
      </c>
      <c r="AH5" s="15" t="s">
        <v>34</v>
      </c>
    </row>
    <row r="6" spans="1:34" ht="16.5" customHeight="1">
      <c r="A6" s="88">
        <f>A5+1</f>
        <v>36967</v>
      </c>
      <c r="B6" s="11">
        <v>36</v>
      </c>
      <c r="C6" s="49">
        <v>19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4</v>
      </c>
      <c r="L6" s="11" t="s">
        <v>634</v>
      </c>
      <c r="N6" s="15" t="str">
        <f>I6&amp;" "&amp;J6</f>
        <v xml:space="preserve">LIGHT SNOW OR FLURRIES…MAINLY SOUTH AND N.E. INDIANA..ENDING THIS A.M. BE COMING PARTLY SUNNY. NORTH WINDS 10/15. AT NIGHT, CLEAR AND COLD. </v>
      </c>
      <c r="AE6" s="15">
        <v>1</v>
      </c>
      <c r="AH6" s="15" t="s">
        <v>35</v>
      </c>
    </row>
    <row r="7" spans="1:34" ht="16.5" customHeight="1">
      <c r="A7" s="88">
        <f>A6+1</f>
        <v>36968</v>
      </c>
      <c r="B7" s="11">
        <v>44</v>
      </c>
      <c r="C7" s="49">
        <v>29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11</v>
      </c>
      <c r="K7" s="11">
        <v>1</v>
      </c>
      <c r="L7" s="11" t="s">
        <v>22</v>
      </c>
      <c r="N7" s="15" t="str">
        <f>I7&amp;" "&amp;J7</f>
        <v xml:space="preserve">SUNNY AND WARMER. AT NIGHT, FAIR.  </v>
      </c>
    </row>
    <row r="8" spans="1:34" ht="16.5" customHeight="1">
      <c r="A8" s="88">
        <f>A7+1</f>
        <v>36969</v>
      </c>
      <c r="B8" s="11">
        <v>47</v>
      </c>
      <c r="C8" s="49">
        <v>32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793</v>
      </c>
      <c r="J8" s="912" t="s">
        <v>11</v>
      </c>
      <c r="K8" s="11">
        <v>2</v>
      </c>
      <c r="L8" s="11">
        <v>0</v>
      </c>
      <c r="N8" s="15" t="str">
        <f>I8&amp;" "&amp;J8</f>
        <v xml:space="preserve">MOSTLY CLOUDY.  </v>
      </c>
    </row>
    <row r="9" spans="1:34" ht="16.5" customHeight="1">
      <c r="A9" s="88">
        <f>A8+1</f>
        <v>36970</v>
      </c>
      <c r="B9" s="11">
        <v>51</v>
      </c>
      <c r="C9" s="49">
        <v>35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36971</v>
      </c>
      <c r="B10" s="11">
        <v>49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1060.365</v>
      </c>
      <c r="C2" s="60"/>
      <c r="D2" s="121" t="s">
        <v>325</v>
      </c>
      <c r="E2" s="426">
        <f>Weather_Input!A5</f>
        <v>36966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310.27999999999997</v>
      </c>
      <c r="C5" s="64"/>
      <c r="D5" s="59" t="s">
        <v>582</v>
      </c>
      <c r="E5" s="154">
        <f>PGL_Deliveries!O5/1000</f>
        <v>5.0000000000000001E-3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315.303</v>
      </c>
      <c r="C6" s="169"/>
      <c r="D6" s="59" t="s">
        <v>583</v>
      </c>
      <c r="E6" s="154">
        <f>PGL_Deliveries!P5/1000</f>
        <v>0.72099999999999997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625.58299999999997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232.11600000000001</v>
      </c>
      <c r="C8" s="632"/>
      <c r="D8" s="117" t="s">
        <v>585</v>
      </c>
      <c r="E8" s="154">
        <f>PGL_Deliveries!N5/1000</f>
        <v>7.5999999999999998E-2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61.707999999999998</v>
      </c>
      <c r="C9" s="64"/>
      <c r="D9" s="117" t="s">
        <v>211</v>
      </c>
      <c r="E9" s="154">
        <f>PGL_Deliveries!Q5/1000</f>
        <v>0.26500000000000001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143.59800000000001</v>
      </c>
      <c r="C10" s="64"/>
      <c r="D10" s="117" t="s">
        <v>213</v>
      </c>
      <c r="E10" s="154">
        <f>PGL_Deliveries!S5/1000</f>
        <v>5.0970000000000004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2.2160000000000002</v>
      </c>
      <c r="C11" s="64"/>
      <c r="D11" s="117" t="s">
        <v>587</v>
      </c>
      <c r="E11" s="154">
        <f>PGL_Deliveries!R5/1000</f>
        <v>7.085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13.183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293.8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162.57400000000001</v>
      </c>
      <c r="C14" s="64"/>
      <c r="D14" s="117" t="s">
        <v>220</v>
      </c>
      <c r="E14" s="154">
        <f>PGL_Deliveries!H5/1000</f>
        <v>63.78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-251.42600000000002</v>
      </c>
      <c r="C15" s="64"/>
      <c r="D15" s="59" t="s">
        <v>407</v>
      </c>
      <c r="E15" s="154">
        <f>PGL_Deliveries!K5/1000</f>
        <v>333.99200000000002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19.003</v>
      </c>
      <c r="D16" s="117" t="s">
        <v>223</v>
      </c>
      <c r="E16" s="154">
        <f>PGL_Deliveries!L5/1000</f>
        <v>4.4219999999999997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6.1559999999999997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625.58300000000008</v>
      </c>
      <c r="C18" s="169"/>
      <c r="D18" s="179" t="s">
        <v>592</v>
      </c>
      <c r="E18" s="178">
        <f>SUM(E5:E17)</f>
        <v>434.78200000000004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239.26300000000001</v>
      </c>
      <c r="C19" s="632"/>
      <c r="D19" s="117" t="s">
        <v>320</v>
      </c>
      <c r="E19" s="154">
        <f>PGL_Deliveries!AI5/1000</f>
        <v>3.2000000000000001E-2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3.7829999999999999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7.2</v>
      </c>
      <c r="D21" s="631" t="s">
        <v>593</v>
      </c>
      <c r="E21" s="211">
        <f>SUM(E18:E20)</f>
        <v>438.59700000000004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232.06300000000002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62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172.19399999999999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82.132000000000005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162.57400000000001</v>
      </c>
      <c r="C34" s="64"/>
      <c r="D34" s="60" t="s">
        <v>197</v>
      </c>
      <c r="E34" s="154">
        <f>PGL_Supplies!AC7/1000</f>
        <v>356.46499999999997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252.19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1.254</v>
      </c>
      <c r="C40" s="64"/>
      <c r="D40" s="212" t="s">
        <v>224</v>
      </c>
      <c r="E40" s="211">
        <f>SUM(E22:E37)-SUM(F23:F39)-E33</f>
        <v>438.59699999999998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296.54500000000002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3.7829999999999999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0.49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33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30.7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13.1</v>
      </c>
      <c r="C48" s="162"/>
      <c r="D48" s="251" t="s">
        <v>245</v>
      </c>
      <c r="E48" s="154">
        <f>PGL_Deliveries!AI5/1000</f>
        <v>3.2000000000000001E-2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2.1850000000000001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3.1E-2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173.607</v>
      </c>
      <c r="C3" s="120"/>
      <c r="D3" s="230" t="s">
        <v>325</v>
      </c>
      <c r="E3" s="429">
        <f>Weather_Input!A5</f>
        <v>36966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86.596999999999994</v>
      </c>
      <c r="C5" s="146"/>
      <c r="D5" s="222" t="s">
        <v>327</v>
      </c>
      <c r="E5" s="217">
        <f>NSG_Deliveries!D5/1000</f>
        <v>66.352999999999994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86.596999999999994</v>
      </c>
      <c r="C8" s="161"/>
      <c r="D8" s="821" t="s">
        <v>649</v>
      </c>
      <c r="E8" s="815">
        <f>NSG_Deliveries!F5/1000</f>
        <v>20.657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0.65700000000000003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91.025000000000006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4.4279999999999999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86.597000000000008</v>
      </c>
      <c r="C27" s="148"/>
      <c r="D27" s="241" t="s">
        <v>355</v>
      </c>
      <c r="E27" s="221">
        <f>SUM(E18:E26)-SUM(F18:F26)</f>
        <v>65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36966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220085</v>
      </c>
      <c r="O6" s="204">
        <v>0</v>
      </c>
      <c r="P6" s="204">
        <v>36402659</v>
      </c>
      <c r="Q6" s="204">
        <v>15045098</v>
      </c>
      <c r="R6" s="204">
        <v>21357561</v>
      </c>
      <c r="S6" s="204">
        <v>0</v>
      </c>
    </row>
    <row r="7" spans="1:19">
      <c r="A7" s="4">
        <f>B1</f>
        <v>36966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248883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36651542</v>
      </c>
      <c r="Q7">
        <f>IF(O7&gt;0,Q6+O7,Q6)</f>
        <v>15045098</v>
      </c>
      <c r="R7">
        <f>IF(P7&gt;Q7,P7-Q7,0)</f>
        <v>21606444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A5" sqref="A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36966</v>
      </c>
      <c r="B5" s="1">
        <f>(Weather_Input!B5+Weather_Input!C5)/2</f>
        <v>31.5</v>
      </c>
      <c r="C5" s="913">
        <v>1058000</v>
      </c>
      <c r="D5" s="914">
        <v>310280</v>
      </c>
      <c r="E5" s="914">
        <v>0</v>
      </c>
      <c r="F5" s="914">
        <v>0</v>
      </c>
      <c r="G5" s="914">
        <v>13183</v>
      </c>
      <c r="H5" s="914">
        <v>63780</v>
      </c>
      <c r="I5" s="914">
        <v>315303</v>
      </c>
      <c r="J5" s="914">
        <v>0</v>
      </c>
      <c r="K5" s="914">
        <v>333992</v>
      </c>
      <c r="L5" s="914">
        <v>4422</v>
      </c>
      <c r="M5" s="914">
        <v>6156</v>
      </c>
      <c r="N5" s="914">
        <v>76</v>
      </c>
      <c r="O5" s="914">
        <v>5</v>
      </c>
      <c r="P5" s="914">
        <v>721</v>
      </c>
      <c r="Q5" s="914">
        <v>265</v>
      </c>
      <c r="R5" s="914">
        <v>7085</v>
      </c>
      <c r="S5" s="919">
        <v>5097</v>
      </c>
      <c r="T5" s="1163">
        <v>0</v>
      </c>
      <c r="U5" s="913">
        <f>SUM(D5:S5)-T5</f>
        <v>1060365</v>
      </c>
      <c r="V5" s="913">
        <v>232116</v>
      </c>
      <c r="W5" s="11">
        <v>61708</v>
      </c>
      <c r="X5" s="11">
        <v>143598</v>
      </c>
      <c r="Y5" s="11">
        <v>0</v>
      </c>
      <c r="Z5" s="11">
        <v>293800</v>
      </c>
      <c r="AA5" s="11">
        <v>0</v>
      </c>
      <c r="AB5" s="11">
        <v>0</v>
      </c>
      <c r="AC5" s="11">
        <v>0</v>
      </c>
      <c r="AD5" s="11">
        <v>162574</v>
      </c>
      <c r="AE5" s="11">
        <v>0</v>
      </c>
      <c r="AF5" s="11">
        <v>0</v>
      </c>
      <c r="AG5" s="11">
        <v>0</v>
      </c>
      <c r="AH5" s="11">
        <v>0</v>
      </c>
      <c r="AI5" s="11">
        <v>32</v>
      </c>
      <c r="AJ5" s="11">
        <v>2185</v>
      </c>
      <c r="AK5" s="11">
        <v>31</v>
      </c>
      <c r="AL5" s="11">
        <v>0</v>
      </c>
      <c r="AM5" s="1">
        <v>1023</v>
      </c>
      <c r="AN5" s="1"/>
      <c r="AO5" s="1">
        <v>19003</v>
      </c>
      <c r="AP5" s="1">
        <v>0</v>
      </c>
      <c r="AQ5" s="1">
        <v>0</v>
      </c>
      <c r="AR5" s="1">
        <v>82132</v>
      </c>
      <c r="AS5" s="1">
        <v>0</v>
      </c>
      <c r="AT5" s="1">
        <v>1254</v>
      </c>
      <c r="AU5" s="1">
        <v>252190</v>
      </c>
      <c r="AV5" s="1">
        <v>490</v>
      </c>
      <c r="AW5" s="628">
        <v>3783</v>
      </c>
      <c r="AX5" s="1">
        <v>0</v>
      </c>
      <c r="AY5" s="1"/>
      <c r="AZ5" s="1">
        <v>13183</v>
      </c>
      <c r="BA5" s="1">
        <v>10683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36967</v>
      </c>
      <c r="B6" s="1">
        <f>(Weather_Input!B6+Weather_Input!C6)/2</f>
        <v>27.5</v>
      </c>
      <c r="C6" s="913">
        <v>1020000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36968</v>
      </c>
      <c r="B7" s="932">
        <f>(Weather_Input!B7+Weather_Input!C7)/2</f>
        <v>36.5</v>
      </c>
      <c r="C7" s="913">
        <v>880000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36969</v>
      </c>
      <c r="B8" s="932">
        <f>(Weather_Input!B8+Weather_Input!C8)/2</f>
        <v>39.5</v>
      </c>
      <c r="C8" s="913">
        <v>845000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36970</v>
      </c>
      <c r="B9" s="932">
        <f>(Weather_Input!B9+Weather_Input!C9)/2</f>
        <v>43</v>
      </c>
      <c r="C9" s="913">
        <v>780000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36971</v>
      </c>
      <c r="B10" s="932">
        <f>(Weather_Input!B10+Weather_Input!C10)/2</f>
        <v>40</v>
      </c>
      <c r="C10" s="913">
        <v>840000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36966</v>
      </c>
      <c r="B5" s="1">
        <f>(Weather_Input!B5+Weather_Input!C5)/2</f>
        <v>31.5</v>
      </c>
      <c r="C5" s="913">
        <v>173000</v>
      </c>
      <c r="D5" s="913">
        <v>66353</v>
      </c>
      <c r="E5" s="913">
        <v>86597</v>
      </c>
      <c r="F5" s="913">
        <v>20657</v>
      </c>
      <c r="G5" s="913">
        <v>0</v>
      </c>
      <c r="H5" s="921">
        <f>SUM(D5:G5)</f>
        <v>173607</v>
      </c>
      <c r="I5" s="1">
        <v>1020</v>
      </c>
      <c r="J5" s="1" t="s">
        <v>11</v>
      </c>
      <c r="K5" s="1">
        <v>4428</v>
      </c>
      <c r="L5" s="1">
        <v>0</v>
      </c>
      <c r="M5" s="1">
        <v>0</v>
      </c>
      <c r="N5" s="1">
        <v>657</v>
      </c>
    </row>
    <row r="6" spans="1:14">
      <c r="A6" s="12">
        <f>A5+1</f>
        <v>36967</v>
      </c>
      <c r="B6" s="1">
        <f>(Weather_Input!B6+Weather_Input!C6)/2</f>
        <v>27.5</v>
      </c>
      <c r="C6" s="913">
        <v>164000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36968</v>
      </c>
      <c r="B7" s="932">
        <f>(Weather_Input!B7+Weather_Input!C7)/2</f>
        <v>36.5</v>
      </c>
      <c r="C7" s="913">
        <v>137000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36969</v>
      </c>
      <c r="B8" s="932">
        <f>(Weather_Input!B8+Weather_Input!C8)/2</f>
        <v>39.5</v>
      </c>
      <c r="C8" s="913">
        <v>128000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36970</v>
      </c>
      <c r="B9" s="932">
        <f>(Weather_Input!B9+Weather_Input!C9)/2</f>
        <v>43</v>
      </c>
      <c r="C9" s="913">
        <v>118000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36971</v>
      </c>
      <c r="B10" s="932">
        <f>(Weather_Input!B10+Weather_Input!C10)/2</f>
        <v>40</v>
      </c>
      <c r="C10" s="913">
        <v>126000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36966</v>
      </c>
      <c r="B7" s="922">
        <v>0</v>
      </c>
      <c r="C7" s="923">
        <v>500</v>
      </c>
      <c r="D7" s="626">
        <v>1000</v>
      </c>
      <c r="E7" s="626">
        <v>100</v>
      </c>
      <c r="F7" s="922">
        <v>8700</v>
      </c>
      <c r="G7" s="922">
        <v>19003</v>
      </c>
      <c r="H7" s="924">
        <v>0</v>
      </c>
      <c r="I7" s="625">
        <v>0</v>
      </c>
      <c r="J7" s="625">
        <v>7200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252190</v>
      </c>
      <c r="Q7" s="628">
        <f t="shared" ref="Q7:Q12" si="0">P7*0.015</f>
        <v>3782.85</v>
      </c>
      <c r="R7" s="626">
        <v>490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36966</v>
      </c>
    </row>
    <row r="8" spans="1:89" s="1" customFormat="1" ht="13.2">
      <c r="A8" s="834">
        <f>A7+1</f>
        <v>36967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36968</v>
      </c>
      <c r="AN9" s="625"/>
    </row>
    <row r="10" spans="1:89" s="1" customFormat="1" ht="13.2">
      <c r="A10" s="834">
        <f>A9+1</f>
        <v>36969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36969</v>
      </c>
    </row>
    <row r="11" spans="1:89" s="1" customFormat="1" ht="13.2">
      <c r="A11" s="834">
        <f>A10+1</f>
        <v>36970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36970</v>
      </c>
    </row>
    <row r="12" spans="1:89" s="1" customFormat="1" ht="13.2">
      <c r="A12" s="834">
        <f>A11+1</f>
        <v>36971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1254</v>
      </c>
      <c r="I7" s="626">
        <v>2216</v>
      </c>
      <c r="J7" s="626">
        <v>0</v>
      </c>
      <c r="K7" s="925">
        <v>0</v>
      </c>
      <c r="L7" s="627">
        <v>82132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343283</v>
      </c>
      <c r="W7" s="627">
        <v>0</v>
      </c>
      <c r="X7" s="625">
        <v>0</v>
      </c>
      <c r="Y7" s="925">
        <v>239263</v>
      </c>
      <c r="Z7" s="627">
        <v>62000</v>
      </c>
      <c r="AA7" s="1">
        <v>143615</v>
      </c>
      <c r="AB7" s="625">
        <v>296545</v>
      </c>
      <c r="AC7" s="625">
        <v>356465</v>
      </c>
      <c r="AD7" s="625">
        <v>172194</v>
      </c>
      <c r="AE7" s="925">
        <v>0</v>
      </c>
      <c r="AF7" s="51">
        <f>Weather_Input!A5</f>
        <v>36966</v>
      </c>
      <c r="AI7" s="625"/>
      <c r="AJ7" s="625"/>
      <c r="AK7" s="625"/>
    </row>
    <row r="8" spans="1:37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5000</v>
      </c>
      <c r="J8" s="626">
        <v>0</v>
      </c>
      <c r="K8" s="925">
        <v>0</v>
      </c>
      <c r="L8" s="627">
        <v>51910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343283</v>
      </c>
      <c r="W8" s="627">
        <v>0</v>
      </c>
      <c r="X8" s="625">
        <v>0</v>
      </c>
      <c r="Y8" s="925">
        <v>220975</v>
      </c>
      <c r="Z8" s="627">
        <v>70000</v>
      </c>
      <c r="AA8" s="1">
        <v>153615</v>
      </c>
      <c r="AB8" s="625">
        <v>236672</v>
      </c>
      <c r="AC8" s="625">
        <v>379166</v>
      </c>
      <c r="AD8" s="625">
        <v>156054</v>
      </c>
      <c r="AE8" s="925">
        <v>0</v>
      </c>
      <c r="AF8" s="834">
        <f>AF7+1</f>
        <v>36967</v>
      </c>
      <c r="AI8" s="625"/>
      <c r="AJ8" s="625"/>
      <c r="AK8" s="625"/>
    </row>
    <row r="9" spans="1:37" s="625" customFormat="1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343283</v>
      </c>
      <c r="W9" s="627">
        <v>0</v>
      </c>
      <c r="X9" s="625">
        <v>0</v>
      </c>
      <c r="Y9" s="925">
        <v>221005</v>
      </c>
      <c r="Z9" s="627">
        <v>70000</v>
      </c>
      <c r="AA9" s="1">
        <v>153615</v>
      </c>
      <c r="AB9" s="625">
        <v>236672</v>
      </c>
      <c r="AC9" s="625">
        <v>344136</v>
      </c>
      <c r="AD9" s="625">
        <v>106200</v>
      </c>
      <c r="AE9" s="925">
        <v>0</v>
      </c>
      <c r="AF9" s="834">
        <f>AF8+1</f>
        <v>36968</v>
      </c>
    </row>
    <row r="10" spans="1:37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343283</v>
      </c>
      <c r="W10" s="627">
        <v>0</v>
      </c>
      <c r="X10" s="625">
        <v>0</v>
      </c>
      <c r="Y10" s="925">
        <v>233460</v>
      </c>
      <c r="Z10" s="627">
        <v>70000</v>
      </c>
      <c r="AA10" s="1">
        <v>153615</v>
      </c>
      <c r="AB10" s="625">
        <v>224397</v>
      </c>
      <c r="AC10" s="625">
        <v>298619</v>
      </c>
      <c r="AD10" s="625">
        <v>106200</v>
      </c>
      <c r="AE10" s="925">
        <v>0</v>
      </c>
      <c r="AF10" s="834">
        <f>AF9+1</f>
        <v>36969</v>
      </c>
      <c r="AI10" s="625"/>
      <c r="AJ10" s="625"/>
      <c r="AK10" s="625"/>
    </row>
    <row r="11" spans="1:37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343283</v>
      </c>
      <c r="W11" s="627">
        <v>0</v>
      </c>
      <c r="X11" s="625">
        <v>0</v>
      </c>
      <c r="Y11" s="925">
        <v>233460</v>
      </c>
      <c r="Z11" s="627">
        <v>70000</v>
      </c>
      <c r="AA11" s="1">
        <v>153615</v>
      </c>
      <c r="AB11" s="625">
        <v>224397</v>
      </c>
      <c r="AC11" s="625">
        <v>298619</v>
      </c>
      <c r="AD11" s="625">
        <v>106200</v>
      </c>
      <c r="AE11" s="925">
        <v>0</v>
      </c>
      <c r="AF11" s="834">
        <f>AF10+1</f>
        <v>36970</v>
      </c>
    </row>
    <row r="12" spans="1:37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343283</v>
      </c>
      <c r="W12" s="627">
        <v>0</v>
      </c>
      <c r="X12" s="625">
        <v>0</v>
      </c>
      <c r="Y12" s="925">
        <v>233460</v>
      </c>
      <c r="Z12" s="627">
        <v>70000</v>
      </c>
      <c r="AA12" s="1">
        <v>153615</v>
      </c>
      <c r="AB12" s="625">
        <v>224397</v>
      </c>
      <c r="AC12" s="625">
        <v>298619</v>
      </c>
      <c r="AD12" s="625">
        <v>106200</v>
      </c>
      <c r="AE12" s="925">
        <v>0</v>
      </c>
      <c r="AF12" s="834">
        <f>AF11+1</f>
        <v>36971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I7" sqref="I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4428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36966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1650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36967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36968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36969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36970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36970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36971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E7" sqref="E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657</v>
      </c>
      <c r="F7" s="628">
        <v>0</v>
      </c>
      <c r="G7" s="628">
        <f>(R7+S7+C7+PGL_Requirements!Y7+PGL_Requirements!Z7-NSG_Requirements!C7)*0.05</f>
        <v>6602.05</v>
      </c>
      <c r="H7" s="629">
        <v>0</v>
      </c>
      <c r="I7" s="628">
        <v>0</v>
      </c>
      <c r="J7" s="628">
        <v>0</v>
      </c>
      <c r="K7" s="628">
        <v>0</v>
      </c>
      <c r="L7" s="628">
        <v>65000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91025</v>
      </c>
      <c r="S7" s="628">
        <v>41016</v>
      </c>
      <c r="T7" s="628">
        <v>0</v>
      </c>
      <c r="U7" s="628">
        <v>0</v>
      </c>
      <c r="V7" s="834">
        <f>Weather_Input!A5</f>
        <v>36966</v>
      </c>
      <c r="W7" s="625"/>
      <c r="X7" s="625"/>
    </row>
    <row r="8" spans="1:24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6333.25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85649</v>
      </c>
      <c r="S8" s="628">
        <v>41016</v>
      </c>
      <c r="T8" s="628">
        <v>0</v>
      </c>
      <c r="U8" s="628">
        <v>0</v>
      </c>
      <c r="V8" s="834">
        <f>V7+1</f>
        <v>36967</v>
      </c>
      <c r="W8" s="625"/>
      <c r="X8" s="625"/>
    </row>
    <row r="9" spans="1:24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6333.25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85649</v>
      </c>
      <c r="S9" s="628">
        <v>41016</v>
      </c>
      <c r="T9" s="628">
        <v>0</v>
      </c>
      <c r="U9" s="628">
        <v>0</v>
      </c>
      <c r="V9" s="834">
        <f>V8+1</f>
        <v>36968</v>
      </c>
      <c r="W9" s="625"/>
      <c r="X9" s="625"/>
    </row>
    <row r="10" spans="1:24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6333.25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85649</v>
      </c>
      <c r="S10" s="628">
        <v>41016</v>
      </c>
      <c r="T10" s="628">
        <v>0</v>
      </c>
      <c r="U10" s="628">
        <v>0</v>
      </c>
      <c r="V10" s="834">
        <f>V9+1</f>
        <v>36969</v>
      </c>
      <c r="W10" s="625"/>
      <c r="X10" s="625"/>
    </row>
    <row r="11" spans="1:24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6333.25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85649</v>
      </c>
      <c r="S11" s="628">
        <v>41016</v>
      </c>
      <c r="T11" s="628">
        <v>0</v>
      </c>
      <c r="U11" s="628">
        <v>0</v>
      </c>
      <c r="V11" s="834">
        <f>V10+1</f>
        <v>36970</v>
      </c>
      <c r="W11" s="625"/>
      <c r="X11" s="625"/>
    </row>
    <row r="12" spans="1:24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6333.25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85649</v>
      </c>
      <c r="S12" s="628">
        <v>41016</v>
      </c>
      <c r="T12" s="628">
        <v>0</v>
      </c>
      <c r="U12" s="628">
        <v>0</v>
      </c>
      <c r="V12" s="834">
        <f>V11+1</f>
        <v>36971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36966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6.2" thickBot="1">
      <c r="A4" s="846"/>
      <c r="B4" s="847"/>
      <c r="C4" s="847"/>
      <c r="D4" s="466">
        <f>Weather_Input!A5</f>
        <v>36966</v>
      </c>
      <c r="E4" s="466">
        <f>Weather_Input!A6</f>
        <v>36967</v>
      </c>
      <c r="F4" s="466">
        <f>Weather_Input!A7</f>
        <v>36968</v>
      </c>
      <c r="G4" s="466">
        <f>Weather_Input!A8</f>
        <v>36969</v>
      </c>
      <c r="H4" s="466">
        <f>Weather_Input!A9</f>
        <v>36970</v>
      </c>
      <c r="I4" s="467">
        <f>Weather_Input!A10</f>
        <v>36971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33/30/32</v>
      </c>
      <c r="E5" s="468" t="str">
        <f>TEXT(Weather_Input!B6,"0")&amp;"/"&amp;TEXT(Weather_Input!C6,"0") &amp; "/" &amp; TEXT((Weather_Input!B6+Weather_Input!C6)/2,"0")</f>
        <v>36/19/28</v>
      </c>
      <c r="F5" s="468" t="str">
        <f>TEXT(Weather_Input!B7,"0")&amp;"/"&amp;TEXT(Weather_Input!C7,"0") &amp; "/" &amp; TEXT((Weather_Input!B7+Weather_Input!C7)/2,"0")</f>
        <v>44/29/37</v>
      </c>
      <c r="G5" s="468" t="str">
        <f>TEXT(Weather_Input!B8,"0")&amp;"/"&amp;TEXT(Weather_Input!C8,"0") &amp; "/" &amp; TEXT((Weather_Input!B8+Weather_Input!C8)/2,"0")</f>
        <v>47/32/40</v>
      </c>
      <c r="H5" s="468" t="str">
        <f>TEXT(Weather_Input!B9,"0")&amp;"/"&amp;TEXT(Weather_Input!C9,"0") &amp; "/" &amp; TEXT((Weather_Input!B9+Weather_Input!C9)/2,"0")</f>
        <v>51/35/43</v>
      </c>
      <c r="I5" s="469" t="str">
        <f>TEXT(Weather_Input!B10,"0")&amp;"/"&amp;TEXT(Weather_Input!C10,"0") &amp; "/" &amp; TEXT((Weather_Input!B10+Weather_Input!C10)/2,"0")</f>
        <v>49/31/40</v>
      </c>
    </row>
    <row r="6" spans="1:256">
      <c r="A6" s="853" t="s">
        <v>139</v>
      </c>
      <c r="B6" s="841"/>
      <c r="C6" s="841"/>
      <c r="D6" s="468">
        <f>PGL_Deliveries!C5/1000</f>
        <v>1058</v>
      </c>
      <c r="E6" s="468">
        <f>PGL_Deliveries!C6/1000</f>
        <v>1020</v>
      </c>
      <c r="F6" s="468">
        <f>PGL_Deliveries!C7/1000</f>
        <v>880</v>
      </c>
      <c r="G6" s="468">
        <f>PGL_Deliveries!C8/1000</f>
        <v>845</v>
      </c>
      <c r="H6" s="468">
        <f>PGL_Deliveries!C9/1000</f>
        <v>780</v>
      </c>
      <c r="I6" s="469">
        <f>PGL_Deliveries!C10/1000</f>
        <v>840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252.19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3.7828499999999998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0.49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19.003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7.2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0.5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0.1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8.6999999999999993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1350.96585</v>
      </c>
      <c r="E30" s="472">
        <f t="shared" si="1"/>
        <v>1274.3900000000001</v>
      </c>
      <c r="F30" s="472">
        <f t="shared" si="1"/>
        <v>1134.3900000000001</v>
      </c>
      <c r="G30" s="472">
        <f t="shared" si="1"/>
        <v>1099.3900000000001</v>
      </c>
      <c r="H30" s="472">
        <f t="shared" si="1"/>
        <v>1034.3900000000001</v>
      </c>
      <c r="I30" s="1177">
        <f t="shared" si="1"/>
        <v>1094.3900000000001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1.254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82.132000000000005</v>
      </c>
      <c r="E37" s="468">
        <f>PGL_Supplies!L8/1000</f>
        <v>51.91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239.26300000000001</v>
      </c>
      <c r="E47" s="468">
        <f>PGL_Supplies!Y8/1000</f>
        <v>220.97499999999999</v>
      </c>
      <c r="F47" s="468">
        <f>PGL_Supplies!Y9/1000</f>
        <v>221.005</v>
      </c>
      <c r="G47" s="468">
        <f>PGL_Supplies!Y10/1000</f>
        <v>233.46</v>
      </c>
      <c r="H47" s="468">
        <f>PGL_Supplies!Y11/1000</f>
        <v>233.46</v>
      </c>
      <c r="I47" s="469">
        <f>PGL_Supplies!Y12/1000</f>
        <v>233.46</v>
      </c>
    </row>
    <row r="48" spans="1:9">
      <c r="A48" s="853"/>
      <c r="B48" s="841" t="s">
        <v>143</v>
      </c>
      <c r="C48" s="854"/>
      <c r="D48" s="468">
        <f>PGL_Supplies!Z7/1000</f>
        <v>62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143.61500000000001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>
      <c r="A50" s="853"/>
      <c r="B50" s="841" t="s">
        <v>421</v>
      </c>
      <c r="C50" s="854"/>
      <c r="D50" s="468">
        <f>PGL_Supplies!AB7/1000</f>
        <v>296.54500000000002</v>
      </c>
      <c r="E50" s="468">
        <f>PGL_Supplies!AB8/1000</f>
        <v>236.672</v>
      </c>
      <c r="F50" s="468">
        <f>PGL_Supplies!AB9/1000</f>
        <v>236.672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>
      <c r="A51" s="853"/>
      <c r="B51" s="841" t="s">
        <v>141</v>
      </c>
      <c r="C51" s="841"/>
      <c r="D51" s="468">
        <f>PGL_Supplies!AC7/1000</f>
        <v>356.46499999999997</v>
      </c>
      <c r="E51" s="468">
        <f>PGL_Supplies!AC8/1000</f>
        <v>379.166</v>
      </c>
      <c r="F51" s="468">
        <f>PGL_Supplies!AC9/1000</f>
        <v>344.13600000000002</v>
      </c>
      <c r="G51" s="468">
        <f>PGL_Supplies!AC10/1000</f>
        <v>298.61900000000003</v>
      </c>
      <c r="H51" s="468">
        <f>PGL_Supplies!AC11/1000</f>
        <v>298.61900000000003</v>
      </c>
      <c r="I51" s="469">
        <f>PGL_Supplies!AC12/1000</f>
        <v>298.61900000000003</v>
      </c>
    </row>
    <row r="52" spans="1:10">
      <c r="A52" s="853"/>
      <c r="B52" s="841" t="s">
        <v>142</v>
      </c>
      <c r="C52" s="841"/>
      <c r="D52" s="468">
        <f>PGL_Supplies!AD7/1000</f>
        <v>172.19399999999999</v>
      </c>
      <c r="E52" s="468">
        <f>PGL_Supplies!AD8/1000</f>
        <v>156.054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2.2160000000000002</v>
      </c>
      <c r="E53" s="468">
        <f>PGL_Supplies!I8/1000</f>
        <v>5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1355.6839999999997</v>
      </c>
      <c r="E61" s="478">
        <f t="shared" si="2"/>
        <v>1274.3920000000001</v>
      </c>
      <c r="F61" s="478">
        <f t="shared" si="2"/>
        <v>1135.6280000000002</v>
      </c>
      <c r="G61" s="478">
        <f t="shared" si="2"/>
        <v>1090.2909999999999</v>
      </c>
      <c r="H61" s="478">
        <f t="shared" si="2"/>
        <v>1090.2909999999999</v>
      </c>
      <c r="I61" s="1179">
        <f t="shared" si="2"/>
        <v>1090.2909999999999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4.7181499999996959</v>
      </c>
      <c r="E62" s="479">
        <f t="shared" si="3"/>
        <v>1.9999999999527063E-3</v>
      </c>
      <c r="F62" s="479">
        <f t="shared" si="3"/>
        <v>1.2380000000000564</v>
      </c>
      <c r="G62" s="479">
        <f t="shared" si="3"/>
        <v>0</v>
      </c>
      <c r="H62" s="479">
        <f t="shared" si="3"/>
        <v>55.90099999999984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9.0990000000001601</v>
      </c>
      <c r="H63" s="480">
        <f t="shared" si="4"/>
        <v>0</v>
      </c>
      <c r="I63" s="1181">
        <f t="shared" si="4"/>
        <v>4.0990000000001601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343.28300000000002</v>
      </c>
      <c r="E64" s="1170">
        <f>PGL_Supplies!V8/1000</f>
        <v>343.28300000000002</v>
      </c>
      <c r="F64" s="1170">
        <f>PGL_Supplies!V9/1000</f>
        <v>343.28300000000002</v>
      </c>
      <c r="G64" s="1170">
        <f>PGL_Supplies!V10/1000</f>
        <v>343.28300000000002</v>
      </c>
      <c r="H64" s="1170">
        <f>PGL_Supplies!V11/1000</f>
        <v>343.28300000000002</v>
      </c>
      <c r="I64" s="1171">
        <f>PGL_Supplies!V12/1000</f>
        <v>343.28300000000002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2001-03-17T16:39:00Z</cp:lastPrinted>
  <dcterms:created xsi:type="dcterms:W3CDTF">1997-07-16T16:14:22Z</dcterms:created>
  <dcterms:modified xsi:type="dcterms:W3CDTF">2023-09-10T11:14:11Z</dcterms:modified>
</cp:coreProperties>
</file>