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60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PGL_Nine_to_Nine!$A$1:$J$73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C5" i="11"/>
  <c r="Q5" i="11"/>
  <c r="U5" i="11"/>
  <c r="Z5" i="11"/>
  <c r="C6" i="11"/>
  <c r="Q6" i="11"/>
  <c r="Z6" i="11"/>
  <c r="C7" i="11"/>
  <c r="U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Z20" i="11"/>
  <c r="C21" i="11"/>
  <c r="Q21" i="11"/>
  <c r="C22" i="11"/>
  <c r="Z22" i="11"/>
  <c r="Z23" i="11"/>
  <c r="C24" i="11"/>
  <c r="Q24" i="11"/>
  <c r="U24" i="11"/>
  <c r="C25" i="11"/>
  <c r="D25" i="11"/>
  <c r="Z25" i="11"/>
  <c r="AB25" i="11"/>
  <c r="AD25" i="11"/>
  <c r="C26" i="11"/>
  <c r="Q26" i="11"/>
  <c r="Z26" i="11"/>
  <c r="AB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Q30" i="11"/>
  <c r="Z30" i="11"/>
  <c r="AB30" i="11"/>
  <c r="AD30" i="11"/>
  <c r="B32" i="11"/>
  <c r="Q32" i="11"/>
  <c r="B33" i="11"/>
  <c r="Q33" i="11"/>
  <c r="B34" i="11"/>
  <c r="Q34" i="11"/>
  <c r="Q35" i="11"/>
  <c r="B36" i="11"/>
  <c r="Q36" i="11"/>
  <c r="B37" i="11"/>
  <c r="B38" i="11"/>
  <c r="Q38" i="11"/>
  <c r="B39" i="11"/>
  <c r="Q39" i="11"/>
  <c r="B40" i="11"/>
  <c r="Q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<sst xmlns="http://schemas.openxmlformats.org/spreadsheetml/2006/main" count="2341" uniqueCount="842">
  <si>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</si>
  <si>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</si>
  <si>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</si>
  <si>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</si>
  <si>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</si>
  <si>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</si>
  <si>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</si>
  <si>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</si>
  <si>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</si>
  <si>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</si>
  <si>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</si>
  <si>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</si>
  <si>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</si>
  <si>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</si>
  <si>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</si>
  <si>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</si>
  <si>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</si>
  <si>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</si>
  <si>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</si>
  <si>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</si>
  <si>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</si>
  <si>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</si>
  <si>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</si>
  <si>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</si>
  <si>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</si>
  <si>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</si>
  <si>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</si>
  <si>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</si>
  <si>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</si>
  <si>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</si>
  <si>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</si>
  <si>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</si>
  <si>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</si>
  <si>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</si>
  <si>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</si>
  <si>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</si>
  <si>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</si>
  <si>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</si>
  <si>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</si>
  <si>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</si>
  <si>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</si>
  <si>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</si>
  <si>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</si>
  <si>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</si>
  <si>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</si>
  <si>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</si>
  <si>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</si>
  <si>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</si>
  <si>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</si>
  <si>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</si>
  <si>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</si>
  <si>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</si>
  <si>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</si>
  <si>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</si>
  <si>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</si>
  <si>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</si>
  <si>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</si>
  <si>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</si>
  <si>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</si>
  <si>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</si>
  <si>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</si>
  <si>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</si>
  <si>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</si>
  <si>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</si>
  <si>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</si>
  <si>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</si>
  <si>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</si>
  <si>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</si>
  <si>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</si>
  <si>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</si>
  <si>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</si>
  <si>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</si>
  <si>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</si>
  <si>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</si>
  <si>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</si>
  <si>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</si>
  <si>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</si>
  <si>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</si>
  <si>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</si>
  <si>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</si>
  <si>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</si>
  <si>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</si>
  <si>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</si>
  <si>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</si>
  <si>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</si>
  <si>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</si>
  <si>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</si>
  <si>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</si>
  <si>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</si>
  <si>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</si>
  <si>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</si>
  <si>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</si>
  <si>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</si>
  <si>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</si>
  <si>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</si>
  <si>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</si>
  <si>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</si>
  <si>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</si>
  <si>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</si>
  <si>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</si>
  <si>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</si>
  <si>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</si>
  <si>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</si>
  <si>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</si>
  <si>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</si>
  <si>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</si>
  <si>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</si>
  <si>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</si>
  <si>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</si>
  <si>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</si>
  <si>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</si>
  <si>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</si>
  <si>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</si>
  <si>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</si>
  <si>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</si>
  <si>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</si>
  <si>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</si>
  <si>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</si>
  <si>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</si>
  <si>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</si>
  <si>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</si>
  <si>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</si>
  <si>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</si>
  <si>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</si>
  <si>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</si>
  <si>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</si>
  <si>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</si>
  <si>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</si>
  <si>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</si>
  <si>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</si>
  <si>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</si>
  <si>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</si>
  <si>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</si>
  <si>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</si>
  <si>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</si>
  <si>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</si>
  <si>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</si>
  <si>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</si>
  <si>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</si>
  <si>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</si>
  <si>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</si>
  <si>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</si>
  <si>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</si>
  <si>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</si>
  <si>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</si>
  <si>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</si>
  <si>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</si>
  <si>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</si>
  <si>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</si>
  <si>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</si>
  <si>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</si>
  <si>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</si>
  <si>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</si>
  <si>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</si>
  <si>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</si>
  <si>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</si>
  <si>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</si>
  <si>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</si>
  <si>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</si>
  <si>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</si>
  <si>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</si>
  <si>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</si>
  <si>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</si>
  <si>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</si>
  <si>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</si>
  <si>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</si>
  <si>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</si>
  <si>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</si>
  <si>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</si>
  <si>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</si>
  <si>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</si>
  <si>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</si>
  <si>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</si>
  <si>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</si>
  <si>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</si>
  <si>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</si>
  <si>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</si>
  <si>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</si>
  <si>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</si>
  <si>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</si>
  <si>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</si>
  <si>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</si>
  <si>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</si>
  <si>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</si>
  <si>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</si>
  <si>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</si>
  <si>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</si>
  <si>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</si>
  <si>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</si>
  <si>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</si>
  <si>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</si>
  <si>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</si>
  <si>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</si>
  <si>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</si>
  <si>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</si>
  <si>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</si>
  <si>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</si>
  <si>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</si>
  <si>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</si>
  <si>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</si>
  <si>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</si>
  <si>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</si>
  <si>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</si>
  <si>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</si>
  <si>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</si>
  <si>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</si>
  <si>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</si>
  <si>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</si>
  <si>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</si>
  <si>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</si>
  <si>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</si>
  <si>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</si>
  <si>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</si>
  <si>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</si>
  <si>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</si>
  <si>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</si>
  <si>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</si>
  <si>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</si>
  <si>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</si>
  <si>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</si>
  <si>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</si>
  <si>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</si>
  <si>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</si>
  <si>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</si>
  <si>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</si>
  <si>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</si>
  <si>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</si>
  <si>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</si>
  <si>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</si>
  <si>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</si>
  <si>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</si>
  <si>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</si>
  <si>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</si>
  <si>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</si>
  <si>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</si>
  <si>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</si>
  <si>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</si>
  <si>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</si>
  <si>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</si>
  <si>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</si>
  <si>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</si>
  <si>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</si>
  <si>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</si>
  <si>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</si>
  <si>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</si>
  <si>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</si>
  <si>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</si>
  <si>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</si>
  <si>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</si>
  <si>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</si>
  <si>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</si>
  <si>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</si>
  <si>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</si>
  <si>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</si>
  <si>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</si>
  <si>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</si>
  <si>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</si>
  <si>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</si>
  <si>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</si>
  <si>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</si>
  <si>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</si>
  <si>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</si>
  <si>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</si>
  <si>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</si>
  <si>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</si>
  <si>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</si>
  <si>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</si>
  <si>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</si>
  <si>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</si>
  <si>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</si>
  <si>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</si>
  <si>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</si>
  <si>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</si>
  <si>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</si>
  <si>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</si>
  <si>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</si>
  <si>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</si>
  <si>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</si>
  <si>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</si>
  <si>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</si>
  <si>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</si>
  <si>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</si>
  <si>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</si>
  <si>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</si>
  <si>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</si>
  <si>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</si>
  <si>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</si>
  <si>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</si>
  <si>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</si>
  <si>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</si>
  <si>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</si>
  <si>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</si>
  <si>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</si>
  <si>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</si>
  <si>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</si>
  <si>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</si>
  <si>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</si>
  <si>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</si>
  <si>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</si>
  <si>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</si>
  <si>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</si>
  <si>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</si>
  <si>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</si>
  <si>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</si>
  <si>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</si>
  <si>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</si>
  <si>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</si>
  <si>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</si>
  <si>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</si>
  <si>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</si>
  <si>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</si>
  <si>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</si>
  <si>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</si>
  <si>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</si>
  <si>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</si>
  <si>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</si>
  <si>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</si>
  <si>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</si>
  <si>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</si>
  <si>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</si>
  <si>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</si>
  <si>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</si>
  <si>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</si>
  <si>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</si>
  <si>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</si>
  <si>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</si>
  <si>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</si>
  <si>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</si>
  <si>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</si>
  <si>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</si>
  <si>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</si>
  <si>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</si>
  <si>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</si>
  <si>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</si>
  <si>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</si>
  <si>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</si>
  <si>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</si>
  <si>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</si>
  <si>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</si>
  <si>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</si>
  <si>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</si>
  <si>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</si>
  <si>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</si>
  <si>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</si>
  <si>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</si>
  <si>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</si>
  <si>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</si>
  <si>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</si>
  <si>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</si>
  <si>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</si>
  <si>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</si>
  <si>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</si>
  <si>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</si>
  <si>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</si>
  <si>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</si>
  <si>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</si>
  <si>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</si>
  <si>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</si>
  <si>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</si>
  <si>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</si>
  <si>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</si>
  <si>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</si>
  <si>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</si>
  <si>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</si>
  <si>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</si>
  <si>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</si>
  <si>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</si>
  <si>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</si>
  <si>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</si>
  <si>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</si>
  <si>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</si>
  <si>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</si>
  <si>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</si>
  <si>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</si>
  <si>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</si>
  <si>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</si>
  <si>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</si>
  <si>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</si>
  <si>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</si>
  <si>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</si>
  <si>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</si>
  <si>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</si>
  <si>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</si>
  <si>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</si>
  <si>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</si>
  <si>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</si>
  <si>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</si>
  <si>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</si>
  <si>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</si>
  <si>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</si>
  <si>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</si>
  <si>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</si>
  <si>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</si>
  <si>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</si>
  <si>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</si>
  <si>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</si>
  <si>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</si>
  <si>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</si>
  <si>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</si>
  <si>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</si>
  <si>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</si>
  <si>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</si>
  <si>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</si>
  <si>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</si>
  <si>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</si>
  <si>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</si>
  <si>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</si>
  <si>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</si>
  <si>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</si>
  <si>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</si>
  <si>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</si>
  <si>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</si>
  <si>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</si>
  <si>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</si>
  <si>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</si>
  <si>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</si>
  <si>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</si>
  <si>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</si>
  <si>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</si>
  <si>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</si>
  <si>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</si>
  <si>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</si>
  <si>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</si>
  <si>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</si>
  <si>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</si>
  <si>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</si>
  <si>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</si>
  <si>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</si>
  <si>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</si>
  <si>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</si>
  <si>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</si>
  <si>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</si>
  <si>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</si>
  <si>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</si>
  <si>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</si>
  <si>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</si>
  <si>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</si>
  <si>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</si>
  <si>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</si>
  <si>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</si>
  <si>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</si>
  <si>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</si>
  <si>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</si>
  <si>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</si>
  <si>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</si>
  <si>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</si>
  <si>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</si>
  <si>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</si>
  <si>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</si>
  <si>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</si>
  <si>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</si>
  <si>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</si>
  <si>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</si>
  <si>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</si>
  <si>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</si>
  <si>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</si>
  <si>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</si>
  <si>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</si>
  <si>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</si>
  <si>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</si>
  <si>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</si>
  <si>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</si>
  <si>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</si>
  <si>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</si>
  <si>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</si>
  <si>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</si>
  <si>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</si>
  <si>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</si>
  <si>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</si>
  <si>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</si>
  <si>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</si>
  <si>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</si>
  <si>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</si>
  <si>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</si>
  <si>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</si>
  <si>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</si>
  <si>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</si>
  <si>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</si>
  <si>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</si>
  <si>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</si>
  <si>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</si>
  <si>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</si>
  <si>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</si>
  <si>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</si>
  <si>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</si>
  <si>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</si>
  <si>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</si>
  <si>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</si>
  <si>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</si>
  <si>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</si>
  <si>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</si>
  <si>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</si>
  <si>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</si>
  <si>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</si>
  <si>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</si>
  <si>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</si>
  <si>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</si>
  <si>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</si>
  <si>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</si>
  <si>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</si>
  <si>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</si>
  <si>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</si>
  <si>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</si>
  <si>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</si>
  <si>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</si>
  <si>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</si>
  <si>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</si>
  <si>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</si>
  <si>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</si>
  <si>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</si>
  <si>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</si>
  <si>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</si>
  <si>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</si>
  <si>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</si>
  <si>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</si>
  <si>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</si>
  <si>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</si>
  <si>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</si>
  <si>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</si>
  <si>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</si>
  <si>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</si>
  <si>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</si>
  <si>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</si>
  <si>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</si>
  <si>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</si>
  <si>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</si>
  <si>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</si>
  <si>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</si>
  <si>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</si>
  <si>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</si>
  <si>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</si>
  <si>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</si>
  <si>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</si>
  <si>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</si>
  <si>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</si>
  <si>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</si>
  <si>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</si>
  <si>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</si>
  <si>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</si>
  <si>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</si>
  <si>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</si>
  <si>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</si>
  <si>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</si>
  <si>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</si>
  <si>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</si>
  <si>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</si>
  <si>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</si>
  <si>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</si>
  <si>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</si>
  <si>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</si>
  <si>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</si>
  <si>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</si>
  <si>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</si>
  <si>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</si>
  <si>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</si>
  <si>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</si>
  <si>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</si>
  <si>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</si>
  <si>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</si>
  <si>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</si>
  <si>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</si>
  <si>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</si>
  <si>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</si>
  <si>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</si>
  <si>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</si>
  <si>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</si>
  <si>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</si>
  <si>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</si>
  <si>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</si>
  <si>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</si>
  <si>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</si>
  <si>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</si>
  <si>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</si>
  <si>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</si>
  <si>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</si>
  <si>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</si>
  <si>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</si>
  <si>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</si>
  <si>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</si>
  <si>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</si>
  <si>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</si>
  <si>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</si>
  <si>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</si>
  <si>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</si>
  <si>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</si>
  <si>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</si>
  <si>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</si>
  <si>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</si>
  <si>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</si>
  <si>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</si>
  <si>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</si>
  <si>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</si>
  <si>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</si>
  <si>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</si>
  <si>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</si>
  <si>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</si>
  <si>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</si>
  <si>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</si>
  <si>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</si>
  <si>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</si>
  <si>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</si>
  <si>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</si>
  <si>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</si>
  <si>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</si>
  <si>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</si>
  <si>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</si>
  <si>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</si>
  <si>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</si>
  <si>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</si>
  <si>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</si>
  <si>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</si>
  <si>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</si>
  <si>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</si>
  <si>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</si>
  <si>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</si>
  <si>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</si>
  <si>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</si>
  <si>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</si>
  <si>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</si>
  <si>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</si>
  <si>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</si>
  <si>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</si>
  <si>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</si>
  <si>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</si>
  <si>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</si>
  <si>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</si>
  <si>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</si>
  <si>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</si>
  <si>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</si>
  <si>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</si>
  <si>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</si>
  <si>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</si>
  <si>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</si>
  <si>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</si>
  <si>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</si>
  <si>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</si>
  <si>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</si>
  <si>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</si>
  <si>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</si>
  <si>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</si>
  <si>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</si>
  <si>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</si>
  <si>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</si>
  <si>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</si>
  <si>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</si>
  <si>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</si>
  <si>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</si>
  <si>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</si>
  <si>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</si>
  <si>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</si>
  <si>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</si>
  <si>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</si>
  <si>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</si>
  <si>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</si>
  <si>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</si>
  <si>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</si>
  <si>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</si>
  <si>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</si>
  <si>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</si>
  <si>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</si>
  <si>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</si>
  <si>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</si>
  <si>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</si>
  <si>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</si>
  <si>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</si>
  <si>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</si>
  <si>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</si>
  <si>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</si>
  <si>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</si>
  <si>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</si>
  <si>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</si>
  <si>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</si>
  <si>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</si>
  <si>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</si>
  <si>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</si>
  <si>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</si>
  <si>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</si>
  <si>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</si>
  <si>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</si>
  <si>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</si>
  <si>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</si>
  <si>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</si>
  <si>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</si>
  <si>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</si>
  <si>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</si>
  <si>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</si>
  <si>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</si>
  <si>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</si>
  <si>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</si>
  <si>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</si>
  <si>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</si>
  <si>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</si>
  <si>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</si>
  <si>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</si>
  <si>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</si>
  <si>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</si>
  <si>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</si>
  <si>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</si>
  <si>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</si>
  <si>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</si>
  <si>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</si>
  <si>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</si>
  <si>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</si>
  <si>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</si>
  <si>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</si>
  <si>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</si>
  <si>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</si>
  <si>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</si>
  <si>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</si>
  <si>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</si>
  <si>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</si>
  <si>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</si>
  <si>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</si>
  <si>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</si>
  <si>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</si>
  <si>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</si>
  <si>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</si>
  <si>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</si>
  <si>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</si>
  <si>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</si>
  <si>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</si>
  <si>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</si>
  <si>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</si>
  <si>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</si>
  <si>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</si>
  <si>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</si>
  <si>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</si>
  <si>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</si>
  <si>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</si>
  <si>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</si>
  <si>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</si>
  <si>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</si>
  <si>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</si>
  <si>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</si>
  <si>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</si>
  <si>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</si>
  <si>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</si>
  <si>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</si>
  <si>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</si>
  <si>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</si>
  <si>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</si>
  <si>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</si>
  <si>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</si>
  <si>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</si>
  <si>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</si>
  <si>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</si>
  <si>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</si>
  <si>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</si>
  <si>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</si>
  <si>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</si>
  <si>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</si>
  <si>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</si>
  <si>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</si>
  <si>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</si>
  <si>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</si>
  <si>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</si>
  <si>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</si>
  <si>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</si>
  <si>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</si>
  <si>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</si>
  <si>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</si>
  <si>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</si>
  <si>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</si>
  <si>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</si>
  <si>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</si>
  <si>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</si>
  <si>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</si>
  <si>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</si>
  <si>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</si>
  <si>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</si>
  <si>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</si>
  <si>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</si>
  <si>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</si>
  <si>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</si>
  <si>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</si>
  <si>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</si>
  <si>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</si>
  <si>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</si>
  <si>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</si>
  <si>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</si>
  <si>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</si>
  <si>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</si>
  <si>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</si>
  <si>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</si>
  <si>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</si>
  <si>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</si>
  <si>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</si>
  <si>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</si>
  <si>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</si>
  <si>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</si>
  <si>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</si>
  <si>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</si>
  <si>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</si>
  <si>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</si>
  <si>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</si>
  <si>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</si>
  <si>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</si>
  <si>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</si>
  <si>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</si>
  <si>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</si>
  <si>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</si>
  <si>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</si>
  <si>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</si>
  <si>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</si>
  <si>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</si>
  <si>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</si>
  <si>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</si>
  <si>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</si>
  <si>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</si>
  <si>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</si>
  <si>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</si>
  <si>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</si>
  <si>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</si>
  <si>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</si>
  <si>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</si>
  <si>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</si>
  <si>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</si>
  <si>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</si>
  <si>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</si>
  <si>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</si>
  <si>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</si>
  <si>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</si>
  <si>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</si>
  <si>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</si>
  <si>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</si>
  <si>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</si>
  <si>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</si>
  <si>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</si>
  <si>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</si>
  <si>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</si>
  <si>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</si>
  <si>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</si>
  <si>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</si>
  <si>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 xml:space="preserve">  TODAY - A BRIEF SHOWER OR TWO; PLENTY OF CLOUDS AND COOL.</t>
  </si>
  <si>
    <t xml:space="preserve">  TONIGHT - A BRIEF SHOWER; PLENTY OF CLOUDS AND COOL.</t>
  </si>
  <si>
    <t xml:space="preserve">  RATHER CLOUDY; CONTINUED COOL WITH NOTHING MORE THAN A BRIEF </t>
  </si>
  <si>
    <t xml:space="preserve">  SHOWER OR TWO.</t>
  </si>
  <si>
    <t xml:space="preserve">  CLOUDY MOST OF THE TIME WITH NOTHING MORE THAN A BRIEF SHOWER </t>
  </si>
  <si>
    <t xml:space="preserve">  OR TWO.</t>
  </si>
  <si>
    <t xml:space="preserve">  IT MAY SHOWER WITH PERIODS OF CLOUDS AND SUNSHINE.</t>
  </si>
  <si>
    <t xml:space="preserve">  SUNSHINE AND SOME CLOUDS.</t>
  </si>
  <si>
    <t>Ave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</si>
</sst>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32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166" fontId="28" fillId="0" borderId="84" xfId="0" applyNumberFormat="1" applyFont="1" applyFill="1" applyBorder="1" applyAlignment="1"/>
    <xf numFmtId="0" fontId="29" fillId="0" borderId="195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9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9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9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10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10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10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THU</v>
      </c>
      <c r="I1" s="878">
        <f>D4</f>
        <v>37035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THU</v>
      </c>
      <c r="E3" s="841" t="str">
        <f t="shared" si="0"/>
        <v>FRI</v>
      </c>
      <c r="F3" s="841" t="str">
        <f t="shared" si="0"/>
        <v>SAT</v>
      </c>
      <c r="G3" s="841" t="str">
        <f t="shared" si="0"/>
        <v>SUN</v>
      </c>
      <c r="H3" s="841" t="str">
        <f t="shared" si="0"/>
        <v>MON</v>
      </c>
      <c r="I3" s="842" t="str">
        <f t="shared" si="0"/>
        <v>TUE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37035</v>
      </c>
      <c r="E4" s="845">
        <f>Weather_Input!A6</f>
        <v>37036</v>
      </c>
      <c r="F4" s="845">
        <f>Weather_Input!A7</f>
        <v>37037</v>
      </c>
      <c r="G4" s="845">
        <f>Weather_Input!A8</f>
        <v>37038</v>
      </c>
      <c r="H4" s="845">
        <f>Weather_Input!A9</f>
        <v>37039</v>
      </c>
      <c r="I4" s="846">
        <f>Weather_Input!A10</f>
        <v>37040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59/46/53</v>
      </c>
      <c r="E5" s="879" t="str">
        <f>TEXT(Weather_Input!B6,"0")&amp;"/"&amp;TEXT(Weather_Input!C6,"0") &amp; "/" &amp; TEXT((Weather_Input!B6+Weather_Input!C6)/2,"0")</f>
        <v>61/44/53</v>
      </c>
      <c r="F5" s="879" t="str">
        <f>TEXT(Weather_Input!B7,"0")&amp;"/"&amp;TEXT(Weather_Input!C7,"0") &amp; "/" &amp; TEXT((Weather_Input!B7+Weather_Input!C7)/2,"0")</f>
        <v>60/45/53</v>
      </c>
      <c r="G5" s="879" t="str">
        <f>TEXT(Weather_Input!B8,"0")&amp;"/"&amp;TEXT(Weather_Input!C8,"0") &amp; "/" &amp; TEXT((Weather_Input!B8+Weather_Input!C8)/2,"0")</f>
        <v>65/48/57</v>
      </c>
      <c r="H5" s="879" t="str">
        <f>TEXT(Weather_Input!B9,"0")&amp;"/"&amp;TEXT(Weather_Input!C9,"0") &amp; "/" &amp; TEXT((Weather_Input!B9+Weather_Input!C9)/2,"0")</f>
        <v>69/52/61</v>
      </c>
      <c r="I5" s="880" t="str">
        <f>TEXT(Weather_Input!B10,"0")&amp;"/"&amp;TEXT(Weather_Input!C10,"0") &amp; "/" &amp; TEXT((Weather_Input!B10+Weather_Input!C10)/2,"0")</f>
        <v>69/52/61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63.8</v>
      </c>
      <c r="E6" s="848">
        <f ca="1">VLOOKUP(E4,NSG_Sendouts,CELL("Col",NSG_Deliveries!C6),FALSE)/1000</f>
        <v>57</v>
      </c>
      <c r="F6" s="848">
        <f ca="1">VLOOKUP(F4,NSG_Sendouts,CELL("Col",NSG_Deliveries!C7),FALSE)/1000</f>
        <v>52</v>
      </c>
      <c r="G6" s="848">
        <f ca="1">VLOOKUP(G4,NSG_Sendouts,CELL("Col",NSG_Deliveries!C8),FALSE)/1000</f>
        <v>50</v>
      </c>
      <c r="H6" s="848">
        <f ca="1">VLOOKUP(H4,NSG_Sendouts,CELL("Col",NSG_Deliveries!C9),FALSE)/1000</f>
        <v>48</v>
      </c>
      <c r="I6" s="853">
        <f ca="1">VLOOKUP(I4,NSG_Sendouts,CELL("Col",NSG_Deliveries!C10),FALSE)/1000</f>
        <v>48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63.8</v>
      </c>
      <c r="E19" s="857">
        <f t="shared" ca="1" si="1"/>
        <v>58.25</v>
      </c>
      <c r="F19" s="857">
        <f t="shared" ca="1" si="1"/>
        <v>53.25</v>
      </c>
      <c r="G19" s="857">
        <f t="shared" ca="1" si="1"/>
        <v>51.25</v>
      </c>
      <c r="H19" s="857">
        <f t="shared" ca="1" si="1"/>
        <v>49.25</v>
      </c>
      <c r="I19" s="858">
        <f t="shared" ca="1" si="1"/>
        <v>49.25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2.5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2.5499999999999998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38.747999999999998</v>
      </c>
      <c r="E32" s="848">
        <f>NSG_Supplies!R8/1000</f>
        <v>29.742999999999999</v>
      </c>
      <c r="F32" s="848">
        <f>NSG_Supplies!R9/1000</f>
        <v>29.742999999999999</v>
      </c>
      <c r="G32" s="848">
        <f>NSG_Supplies!R10/1000</f>
        <v>29.742999999999999</v>
      </c>
      <c r="H32" s="848">
        <f>NSG_Supplies!R11/1000</f>
        <v>29.742999999999999</v>
      </c>
      <c r="I32" s="849">
        <f>NSG_Supplies!R12/1000</f>
        <v>29.742999999999999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63.797999999999995</v>
      </c>
      <c r="E37" s="888">
        <f t="shared" si="2"/>
        <v>49.742999999999995</v>
      </c>
      <c r="F37" s="888">
        <f t="shared" si="2"/>
        <v>49.742999999999995</v>
      </c>
      <c r="G37" s="888">
        <f t="shared" si="2"/>
        <v>49.742999999999995</v>
      </c>
      <c r="H37" s="888">
        <f t="shared" si="2"/>
        <v>49.742999999999995</v>
      </c>
      <c r="I37" s="889">
        <f t="shared" si="2"/>
        <v>49.742999999999995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0.492999999999995</v>
      </c>
      <c r="I38" s="893">
        <f t="shared" ca="1" si="3"/>
        <v>0.492999999999995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2.0000000000024443E-3</v>
      </c>
      <c r="E39" s="874">
        <f t="shared" ca="1" si="4"/>
        <v>8.507000000000005</v>
      </c>
      <c r="F39" s="874">
        <f t="shared" ca="1" si="4"/>
        <v>3.507000000000005</v>
      </c>
      <c r="G39" s="874">
        <f t="shared" ca="1" si="4"/>
        <v>1.507000000000005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18.847999999999999</v>
      </c>
      <c r="E40" s="1167">
        <f>NSG_Supplies!S8/1000</f>
        <v>18.847999999999999</v>
      </c>
      <c r="F40" s="1167">
        <f>NSG_Supplies!S9/1000</f>
        <v>18.847999999999999</v>
      </c>
      <c r="G40" s="1167">
        <f>NSG_Supplies!S10/1000</f>
        <v>18.847999999999999</v>
      </c>
      <c r="H40" s="1167">
        <f>NSG_Supplies!S11/1000</f>
        <v>18.847999999999999</v>
      </c>
      <c r="I40" s="1168">
        <f>NSG_Supplies!S12/1000</f>
        <v>18.847999999999999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6</v>
      </c>
      <c r="E42" s="899">
        <f>Weather_Input!D6</f>
        <v>8</v>
      </c>
      <c r="F42" s="899">
        <f>Weather_Input!D7</f>
        <v>12</v>
      </c>
      <c r="G42" s="900"/>
      <c r="H42" s="895"/>
      <c r="I42" s="895"/>
    </row>
    <row r="43" spans="1:13" ht="15.6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72"/>
  <sheetViews>
    <sheetView topLeftCell="A62" zoomScale="75" workbookViewId="0">
      <selection activeCell="I66" sqref="I66"/>
    </sheetView>
  </sheetViews>
  <sheetFormatPr defaultColWidth="8.90625" defaultRowHeight="15"/>
  <cols>
    <col min="1" max="1" width="22.81640625" customWidth="1"/>
    <col min="2" max="9" width="10.81640625" customWidth="1"/>
    <col min="16" max="16" width="23.81640625" customWidth="1"/>
    <col min="17" max="17" width="8.81640625" customWidth="1"/>
    <col min="18" max="18" width="9.81640625" customWidth="1"/>
    <col min="19" max="19" width="8.81640625" customWidth="1"/>
    <col min="20" max="20" width="22.81640625" customWidth="1"/>
    <col min="21" max="23" width="8.81640625" customWidth="1"/>
    <col min="24" max="24" width="19.81640625" customWidth="1"/>
    <col min="25" max="30" width="8.81640625" customWidth="1"/>
  </cols>
  <sheetData>
    <row r="1" spans="1:32" ht="18.600000000000001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37035</v>
      </c>
      <c r="G1" s="769" t="str">
        <f>CHOOSE(WEEKDAY(F1),"SUN","MON","TUE","WED","THU","FRI","SAT")</f>
        <v>THU</v>
      </c>
      <c r="H1" s="591" t="s">
        <v>257</v>
      </c>
      <c r="I1" s="592"/>
      <c r="P1" s="1229" t="s">
        <v>11</v>
      </c>
      <c r="Q1" s="1226" t="s">
        <v>11</v>
      </c>
      <c r="R1" s="1227" t="s">
        <v>740</v>
      </c>
      <c r="S1" s="1228"/>
      <c r="T1" s="1229" t="s">
        <v>11</v>
      </c>
      <c r="U1" s="1230" t="s">
        <v>800</v>
      </c>
      <c r="V1" s="1231" t="s">
        <v>11</v>
      </c>
      <c r="W1" s="1232"/>
      <c r="X1" s="1280" t="s">
        <v>11</v>
      </c>
      <c r="Y1" s="587"/>
      <c r="Z1" s="587"/>
      <c r="AA1" s="588" t="s">
        <v>172</v>
      </c>
      <c r="AB1" s="1313">
        <f>Weather_Input!A5</f>
        <v>37035</v>
      </c>
      <c r="AC1" s="1314" t="str">
        <f>CHOOSE(WEEKDAY(AB1),"SUN","MON","TUE","WED","THU","FRI","SAT")</f>
        <v>THU</v>
      </c>
      <c r="AD1" s="592"/>
    </row>
    <row r="2" spans="1:32" ht="16.8" thickTop="1" thickBot="1">
      <c r="A2" s="257" t="s">
        <v>11</v>
      </c>
      <c r="B2" s="608" t="s">
        <v>688</v>
      </c>
      <c r="C2" s="960">
        <v>50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1204"/>
      <c r="V2" s="562" t="s">
        <v>11</v>
      </c>
      <c r="W2" s="1218" t="s">
        <v>11</v>
      </c>
      <c r="X2" s="258" t="s">
        <v>534</v>
      </c>
      <c r="Y2" s="1247" t="s">
        <v>408</v>
      </c>
      <c r="Z2" s="1252" t="s">
        <v>175</v>
      </c>
      <c r="AA2" s="1253" t="s">
        <v>23</v>
      </c>
      <c r="AB2" s="1252" t="s">
        <v>175</v>
      </c>
      <c r="AC2" s="1247" t="s">
        <v>23</v>
      </c>
      <c r="AD2" s="1254" t="s">
        <v>175</v>
      </c>
      <c r="AF2" s="1225" t="s">
        <v>11</v>
      </c>
    </row>
    <row r="3" spans="1:32" ht="15.6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1">
        <f>PGL_Requirements!J7/1000</f>
        <v>0.1</v>
      </c>
      <c r="R3" s="983" t="s">
        <v>11</v>
      </c>
      <c r="S3" s="312"/>
      <c r="T3" s="567" t="s">
        <v>474</v>
      </c>
      <c r="U3" s="323">
        <f>PGL_Supplies!I7/1000</f>
        <v>15</v>
      </c>
      <c r="V3" s="387" t="s">
        <v>11</v>
      </c>
      <c r="W3" s="1218" t="s">
        <v>11</v>
      </c>
      <c r="X3" s="1281" t="s">
        <v>11</v>
      </c>
      <c r="Y3" s="961">
        <f>Weather_Input!B5</f>
        <v>59</v>
      </c>
      <c r="Z3" s="962">
        <f>Weather_Input!C5</f>
        <v>46</v>
      </c>
      <c r="AA3" s="603" t="s">
        <v>11</v>
      </c>
      <c r="AB3" s="268" t="s">
        <v>11</v>
      </c>
      <c r="AC3" s="268"/>
      <c r="AD3" s="266"/>
    </row>
    <row r="4" spans="1:32" ht="16.2" thickBot="1">
      <c r="A4" s="257" t="s">
        <v>11</v>
      </c>
      <c r="B4" s="961">
        <f>Weather_Input!B5</f>
        <v>59</v>
      </c>
      <c r="C4" s="962">
        <f>Weather_Input!C5</f>
        <v>46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797</v>
      </c>
      <c r="Q4" s="1272">
        <v>0</v>
      </c>
      <c r="R4" s="121"/>
      <c r="S4" s="1008"/>
      <c r="T4" s="536" t="s">
        <v>475</v>
      </c>
      <c r="U4" s="1306">
        <v>0</v>
      </c>
      <c r="V4" s="525" t="s">
        <v>11</v>
      </c>
      <c r="W4" s="1219"/>
      <c r="X4" t="s">
        <v>841</v>
      </c>
      <c r="Y4" s="1110"/>
      <c r="Z4" s="1321">
        <v>50</v>
      </c>
      <c r="AA4" s="433"/>
      <c r="AB4" s="1113"/>
      <c r="AC4" s="433"/>
      <c r="AD4" s="811"/>
    </row>
    <row r="5" spans="1:32" ht="16.2" thickBot="1">
      <c r="A5" s="257" t="s">
        <v>627</v>
      </c>
      <c r="B5" s="963"/>
      <c r="C5" s="964">
        <f>PGL_Requirements!H7/1000</f>
        <v>19.22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151.785</v>
      </c>
      <c r="R5" s="1114" t="s">
        <v>11</v>
      </c>
      <c r="S5" s="348"/>
      <c r="T5" s="1291" t="s">
        <v>451</v>
      </c>
      <c r="U5" s="998">
        <f>U3+U4</f>
        <v>15</v>
      </c>
      <c r="V5" s="565" t="s">
        <v>11</v>
      </c>
      <c r="W5" s="1220" t="s">
        <v>11</v>
      </c>
      <c r="X5" s="1282" t="s">
        <v>418</v>
      </c>
      <c r="Y5" s="1157" t="s">
        <v>11</v>
      </c>
      <c r="Z5" s="965">
        <f>PGL_Deliveries!C5/1000</f>
        <v>313</v>
      </c>
      <c r="AA5" s="601"/>
      <c r="AB5" s="268"/>
      <c r="AC5" s="601"/>
      <c r="AD5" s="266"/>
    </row>
    <row r="6" spans="1:32" ht="16.2" thickBot="1">
      <c r="A6" s="261" t="s">
        <v>418</v>
      </c>
      <c r="B6" s="1157" t="s">
        <v>11</v>
      </c>
      <c r="C6" s="965">
        <f>PGL_Deliveries!C5/1000</f>
        <v>313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151.685</v>
      </c>
      <c r="R6" s="1119" t="s">
        <v>11</v>
      </c>
      <c r="S6" s="530"/>
      <c r="T6" s="638" t="s">
        <v>11</v>
      </c>
      <c r="U6" s="1006" t="s">
        <v>37</v>
      </c>
      <c r="V6" s="1007"/>
      <c r="W6" s="1221"/>
      <c r="X6" s="121" t="s">
        <v>765</v>
      </c>
      <c r="Y6" s="1158"/>
      <c r="Z6" s="1130">
        <f>PGL_Requirements!X7/1000</f>
        <v>0</v>
      </c>
      <c r="AA6" s="1158"/>
      <c r="AB6" s="1159"/>
      <c r="AC6" s="121"/>
      <c r="AD6" s="118"/>
    </row>
    <row r="7" spans="1:32" ht="16.2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2"/>
      <c r="X7" s="497"/>
      <c r="Y7" s="496" t="s">
        <v>11</v>
      </c>
      <c r="Z7" s="496" t="s">
        <v>11</v>
      </c>
      <c r="AA7" s="497"/>
      <c r="AB7" s="497"/>
      <c r="AC7" s="497"/>
      <c r="AD7" s="498"/>
    </row>
    <row r="8" spans="1:32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</v>
      </c>
      <c r="V8" s="380" t="s">
        <v>11</v>
      </c>
      <c r="W8" s="1212"/>
      <c r="X8" s="1098" t="s">
        <v>476</v>
      </c>
      <c r="Y8" s="292" t="s">
        <v>11</v>
      </c>
      <c r="Z8" s="613">
        <f>Q2</f>
        <v>0</v>
      </c>
      <c r="AA8" s="618"/>
      <c r="AB8" s="268"/>
      <c r="AC8" s="618"/>
      <c r="AD8" s="266" t="s">
        <v>11</v>
      </c>
    </row>
    <row r="9" spans="1:32">
      <c r="A9" s="424" t="s">
        <v>794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0.3</v>
      </c>
      <c r="V9" s="323"/>
      <c r="W9" s="1212"/>
      <c r="X9" s="121" t="s">
        <v>740</v>
      </c>
      <c r="Y9" s="1110"/>
      <c r="Z9" s="1126">
        <f>+Q6</f>
        <v>151.685</v>
      </c>
      <c r="AA9" s="1110"/>
      <c r="AB9" s="1113"/>
      <c r="AC9" s="433"/>
      <c r="AD9" s="284" t="s">
        <v>11</v>
      </c>
    </row>
    <row r="10" spans="1:32" ht="15.6" thickBot="1">
      <c r="A10" s="248" t="s">
        <v>740</v>
      </c>
      <c r="B10" s="1110"/>
      <c r="C10" s="1126">
        <f>+B34</f>
        <v>151.685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821</v>
      </c>
      <c r="U10" s="1014">
        <f>PGL_Supplies!AD7/1000</f>
        <v>16.5</v>
      </c>
      <c r="V10" s="526"/>
      <c r="W10" s="1213"/>
      <c r="X10" s="1283" t="s">
        <v>813</v>
      </c>
      <c r="Y10" s="281" t="s">
        <v>11</v>
      </c>
      <c r="Z10" s="613">
        <f>Q13</f>
        <v>0</v>
      </c>
      <c r="AA10" s="601"/>
      <c r="AB10" s="613" t="s">
        <v>11</v>
      </c>
      <c r="AC10" s="601"/>
      <c r="AD10" s="284" t="s">
        <v>11</v>
      </c>
    </row>
    <row r="11" spans="1:32" ht="16.2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16.8</v>
      </c>
      <c r="V11" s="998" t="s">
        <v>11</v>
      </c>
      <c r="W11" s="531"/>
      <c r="X11" s="1283" t="s">
        <v>60</v>
      </c>
      <c r="Y11" s="281" t="s">
        <v>11</v>
      </c>
      <c r="Z11" s="613">
        <f>Q21</f>
        <v>-149.68</v>
      </c>
      <c r="AA11" s="601"/>
      <c r="AB11" s="268" t="s">
        <v>11</v>
      </c>
      <c r="AC11" s="601"/>
      <c r="AD11" s="266"/>
    </row>
    <row r="12" spans="1:32" ht="16.2" thickBot="1">
      <c r="A12" s="492" t="s">
        <v>560</v>
      </c>
      <c r="B12" s="281" t="s">
        <v>11</v>
      </c>
      <c r="C12" s="613">
        <f>B55</f>
        <v>-149.68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4" t="s">
        <v>11</v>
      </c>
      <c r="U12" s="1273" t="s">
        <v>743</v>
      </c>
      <c r="V12" s="358"/>
      <c r="W12" s="1217"/>
      <c r="X12" s="1283" t="s">
        <v>814</v>
      </c>
      <c r="Y12" s="281" t="s">
        <v>11</v>
      </c>
      <c r="Z12" s="613">
        <f>Q30</f>
        <v>0</v>
      </c>
      <c r="AA12" s="601"/>
      <c r="AB12" s="268" t="s">
        <v>11</v>
      </c>
      <c r="AC12" s="601"/>
      <c r="AD12" s="266"/>
    </row>
    <row r="13" spans="1:32" ht="16.2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1204" t="s">
        <v>11</v>
      </c>
      <c r="V13" s="1082" t="s">
        <v>11</v>
      </c>
      <c r="W13" s="1222" t="s">
        <v>11</v>
      </c>
      <c r="X13" s="1283" t="s">
        <v>815</v>
      </c>
      <c r="Y13" s="285" t="s">
        <v>11</v>
      </c>
      <c r="Z13" s="613">
        <f>Q36</f>
        <v>254.529</v>
      </c>
      <c r="AA13" s="601"/>
      <c r="AB13" s="268" t="s">
        <v>11</v>
      </c>
      <c r="AC13" s="601"/>
      <c r="AD13" s="266"/>
    </row>
    <row r="14" spans="1:32" ht="16.2" thickBot="1">
      <c r="A14" s="492" t="s">
        <v>562</v>
      </c>
      <c r="B14" s="285" t="s">
        <v>11</v>
      </c>
      <c r="C14" s="613">
        <f>I65</f>
        <v>225.90899999999999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3"/>
      <c r="X14" s="1283" t="s">
        <v>421</v>
      </c>
      <c r="Y14" s="281" t="s">
        <v>11</v>
      </c>
      <c r="Z14" s="966">
        <f>U5</f>
        <v>15</v>
      </c>
      <c r="AA14" s="601"/>
      <c r="AB14" s="268" t="s">
        <v>11</v>
      </c>
      <c r="AC14" s="601"/>
      <c r="AD14" s="266"/>
    </row>
    <row r="15" spans="1:32" ht="16.2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76" t="s">
        <v>695</v>
      </c>
      <c r="U15" s="1009"/>
      <c r="V15" s="1009"/>
      <c r="W15" s="1243"/>
      <c r="X15" s="1283" t="s">
        <v>816</v>
      </c>
      <c r="Y15" s="281" t="s">
        <v>171</v>
      </c>
      <c r="Z15" s="613">
        <f>U11</f>
        <v>16.8</v>
      </c>
      <c r="AA15" s="601"/>
      <c r="AB15" s="268" t="s">
        <v>11</v>
      </c>
      <c r="AC15" s="601"/>
      <c r="AD15" s="266"/>
    </row>
    <row r="16" spans="1:32" ht="16.2" thickBot="1">
      <c r="A16" s="492" t="s">
        <v>563</v>
      </c>
      <c r="B16" s="281" t="s">
        <v>171</v>
      </c>
      <c r="C16" s="613">
        <f>+B64</f>
        <v>16.8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77" t="s">
        <v>11</v>
      </c>
      <c r="U16" s="1233" t="s">
        <v>476</v>
      </c>
      <c r="V16" s="1278"/>
      <c r="W16" s="1279"/>
      <c r="X16" s="1283" t="s">
        <v>564</v>
      </c>
      <c r="Y16" s="281" t="s">
        <v>171</v>
      </c>
      <c r="Z16" s="966">
        <f>PGL_Supplies!B7/1000</f>
        <v>0</v>
      </c>
      <c r="AA16" s="601"/>
      <c r="AB16" s="268" t="s">
        <v>11</v>
      </c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2"/>
      <c r="T17" s="541" t="s">
        <v>477</v>
      </c>
      <c r="U17" s="561">
        <f>+PGL_Supplies!K7/1000</f>
        <v>0</v>
      </c>
      <c r="V17" s="1304" t="s">
        <v>11</v>
      </c>
      <c r="W17" s="1224" t="s">
        <v>11</v>
      </c>
      <c r="X17" s="1275" t="s">
        <v>565</v>
      </c>
      <c r="Y17" s="306" t="s">
        <v>11</v>
      </c>
      <c r="Z17" s="983">
        <f>-PGL_Requirements!G7/1000</f>
        <v>0</v>
      </c>
      <c r="AA17" s="601"/>
      <c r="AB17" s="268"/>
      <c r="AC17" s="601"/>
      <c r="AD17" s="266"/>
    </row>
    <row r="18" spans="1:30" ht="16.2" thickBot="1">
      <c r="A18" s="291" t="s">
        <v>565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2"/>
      <c r="T18" s="638" t="s">
        <v>11</v>
      </c>
      <c r="U18" s="1233" t="s">
        <v>801</v>
      </c>
      <c r="V18" s="1007"/>
      <c r="W18" s="1221"/>
      <c r="X18" t="s">
        <v>832</v>
      </c>
      <c r="Y18" s="1110"/>
      <c r="Z18" s="1309">
        <f>-U19</f>
        <v>-9.4</v>
      </c>
      <c r="AA18" s="1110"/>
      <c r="AB18" s="224"/>
      <c r="AC18" s="1110"/>
      <c r="AD18" s="811"/>
    </row>
    <row r="19" spans="1:30" ht="16.2" thickBot="1">
      <c r="A19" s="615" t="s">
        <v>695</v>
      </c>
      <c r="B19" s="616" t="s">
        <v>11</v>
      </c>
      <c r="C19" s="510">
        <f>SUM(C9:C17)-C18</f>
        <v>259.714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0.68</v>
      </c>
      <c r="R19" s="312"/>
      <c r="S19" s="1212"/>
      <c r="T19" s="1234" t="s">
        <v>802</v>
      </c>
      <c r="U19" s="1305">
        <f>PGL_Requirements!K7/1000</f>
        <v>9.4</v>
      </c>
      <c r="V19" s="1096"/>
      <c r="W19" s="1235"/>
      <c r="X19" t="s">
        <v>566</v>
      </c>
      <c r="Y19" s="1308"/>
      <c r="Z19" s="1310">
        <f>-U24</f>
        <v>-19.22</v>
      </c>
      <c r="AA19" s="1308"/>
      <c r="AB19" s="159"/>
      <c r="AC19" s="1308"/>
      <c r="AD19" s="1307"/>
    </row>
    <row r="20" spans="1:30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3"/>
      <c r="T20" s="121"/>
      <c r="U20" s="121"/>
      <c r="V20" s="121"/>
      <c r="W20" s="1246"/>
      <c r="X20" s="1284" t="s">
        <v>695</v>
      </c>
      <c r="Y20" s="616" t="s">
        <v>11</v>
      </c>
      <c r="Z20" s="510">
        <f>SUM(Z8:Z19)</f>
        <v>259.71400000000006</v>
      </c>
      <c r="AA20" s="620" t="s">
        <v>11</v>
      </c>
      <c r="AB20" s="510" t="s">
        <v>11</v>
      </c>
      <c r="AC20" s="620" t="s">
        <v>11</v>
      </c>
      <c r="AD20" s="621"/>
    </row>
    <row r="21" spans="1:30" ht="16.2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1302">
        <f>-Q15+Q16+Q18-Q19-Q17+Q22+Q23</f>
        <v>-149.68</v>
      </c>
      <c r="R21" s="519"/>
      <c r="S21" s="531"/>
      <c r="T21" s="1236" t="s">
        <v>803</v>
      </c>
      <c r="U21" s="1272">
        <v>0</v>
      </c>
      <c r="V21" s="1111"/>
      <c r="W21" s="435"/>
      <c r="X21" s="496" t="s">
        <v>38</v>
      </c>
      <c r="Y21" s="504" t="s">
        <v>11</v>
      </c>
      <c r="Z21" s="967"/>
      <c r="AA21" s="506"/>
      <c r="AB21" s="506" t="s">
        <v>812</v>
      </c>
      <c r="AC21" s="506"/>
      <c r="AD21" s="968"/>
    </row>
    <row r="22" spans="1:30">
      <c r="A22" s="492" t="s">
        <v>424</v>
      </c>
      <c r="B22" s="281" t="s">
        <v>11</v>
      </c>
      <c r="C22" s="613">
        <f>C6+C7-C19</f>
        <v>53.286000000000001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4"/>
      <c r="T22" s="1236" t="s">
        <v>804</v>
      </c>
      <c r="U22" s="1272">
        <v>0</v>
      </c>
      <c r="V22" s="1111"/>
      <c r="W22" s="435"/>
      <c r="X22" s="1283" t="s">
        <v>628</v>
      </c>
      <c r="Y22" s="281" t="s">
        <v>11</v>
      </c>
      <c r="Z22" s="969">
        <f>-PGL_Supplies!J7/1000</f>
        <v>0</v>
      </c>
      <c r="AA22" s="265"/>
      <c r="AB22" s="268"/>
      <c r="AC22" s="265"/>
      <c r="AD22" s="259"/>
    </row>
    <row r="23" spans="1:30" ht="18" customHeight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8">
        <v>0</v>
      </c>
      <c r="R23" s="549"/>
      <c r="S23" s="1215"/>
      <c r="T23" s="1237" t="s">
        <v>805</v>
      </c>
      <c r="U23" s="1293">
        <v>0</v>
      </c>
      <c r="V23" s="1009"/>
      <c r="W23" s="1238"/>
      <c r="X23" s="1283" t="s">
        <v>424</v>
      </c>
      <c r="Y23" s="281" t="s">
        <v>11</v>
      </c>
      <c r="Z23" s="613">
        <f>Z5+Z6-Z20</f>
        <v>53.285999999999945</v>
      </c>
      <c r="AA23" s="265"/>
      <c r="AB23" s="613" t="s">
        <v>11</v>
      </c>
      <c r="AC23" s="265"/>
      <c r="AD23" s="295"/>
    </row>
    <row r="24" spans="1:30" ht="16.2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09" t="s">
        <v>792</v>
      </c>
      <c r="Q24" s="1190">
        <f>SUM(Q2)</f>
        <v>0</v>
      </c>
      <c r="R24" s="1210"/>
      <c r="S24" s="1211"/>
      <c r="T24" s="550" t="s">
        <v>806</v>
      </c>
      <c r="U24" s="1305">
        <f>PGL_Requirements!H7/1000</f>
        <v>19.22</v>
      </c>
      <c r="V24" s="1096"/>
      <c r="W24" s="1076"/>
      <c r="X24" s="1285" t="s">
        <v>425</v>
      </c>
      <c r="Y24" s="281" t="s">
        <v>11</v>
      </c>
      <c r="Z24" s="613"/>
      <c r="AA24" s="296" t="s">
        <v>11</v>
      </c>
      <c r="AB24" s="970"/>
      <c r="AC24" s="296" t="s">
        <v>11</v>
      </c>
      <c r="AD24" s="259"/>
    </row>
    <row r="25" spans="1:30" ht="16.8" thickTop="1" thickBot="1">
      <c r="A25" s="636" t="s">
        <v>427</v>
      </c>
      <c r="B25" s="976" t="s">
        <v>11</v>
      </c>
      <c r="C25" s="977">
        <f>SUM(C22:C24)</f>
        <v>55.536000000000001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1"/>
      <c r="T25" s="1239" t="s">
        <v>807</v>
      </c>
      <c r="U25" s="1294"/>
      <c r="V25" s="1240"/>
      <c r="W25" s="1241"/>
      <c r="X25" s="1283" t="s">
        <v>426</v>
      </c>
      <c r="Y25" s="971" t="s">
        <v>11</v>
      </c>
      <c r="Z25" s="972">
        <f>SUM(Q20+Q22+Q23)</f>
        <v>2.25</v>
      </c>
      <c r="AA25" s="973"/>
      <c r="AB25" s="972">
        <f>SUM(R20+R22+R23)</f>
        <v>0</v>
      </c>
      <c r="AC25" s="974" t="s">
        <v>11</v>
      </c>
      <c r="AD25" s="1315">
        <f>SUM(S20+S22+S23)</f>
        <v>0</v>
      </c>
    </row>
    <row r="26" spans="1:30" ht="16.8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2"/>
      <c r="T26" s="121"/>
      <c r="U26" s="1131"/>
      <c r="V26" s="121"/>
      <c r="W26" s="160"/>
      <c r="X26" s="1286" t="s">
        <v>427</v>
      </c>
      <c r="Y26" s="976" t="s">
        <v>11</v>
      </c>
      <c r="Z26" s="977">
        <f>SUM(Z23:Z25)</f>
        <v>55.535999999999945</v>
      </c>
      <c r="AA26" s="977" t="s">
        <v>11</v>
      </c>
      <c r="AB26" s="977">
        <f>SUM(AB23:AB25)</f>
        <v>0</v>
      </c>
      <c r="AC26" s="978" t="s">
        <v>11</v>
      </c>
      <c r="AD26" s="979" t="s">
        <v>11</v>
      </c>
    </row>
    <row r="27" spans="1:30" ht="15.75" customHeight="1" thickTop="1" thickBot="1">
      <c r="A27" s="492" t="s">
        <v>435</v>
      </c>
      <c r="B27" s="986"/>
      <c r="C27" s="983">
        <f>PGL_Requirements!O7/1000</f>
        <v>21.61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798</v>
      </c>
      <c r="Q27" s="1003">
        <f>PGL_Supplies!D7/1000</f>
        <v>0</v>
      </c>
      <c r="R27" s="1301"/>
      <c r="S27" s="1212"/>
      <c r="T27" s="1234" t="s">
        <v>808</v>
      </c>
      <c r="U27" s="1292"/>
      <c r="V27" s="1096"/>
      <c r="W27" s="1235"/>
      <c r="X27" s="1287" t="s">
        <v>731</v>
      </c>
      <c r="Y27" s="980"/>
      <c r="Z27" s="969">
        <f>SUM(-PGL_Supplies!M7/1000)</f>
        <v>0</v>
      </c>
      <c r="AA27" s="1101"/>
      <c r="AB27" s="1102"/>
      <c r="AC27" s="513"/>
      <c r="AD27" s="985"/>
    </row>
    <row r="28" spans="1:30" ht="15.6">
      <c r="A28" s="492" t="s">
        <v>436</v>
      </c>
      <c r="B28" s="988"/>
      <c r="C28" s="1251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12"/>
      <c r="S28" s="1212"/>
      <c r="T28" s="121"/>
      <c r="U28" s="1131"/>
      <c r="V28" s="121"/>
      <c r="W28" s="160"/>
      <c r="X28" s="1283" t="s">
        <v>435</v>
      </c>
      <c r="Y28" s="986"/>
      <c r="Z28" s="983">
        <f>PGL_Requirements!O7/1000</f>
        <v>21.61</v>
      </c>
      <c r="AA28" s="306"/>
      <c r="AB28" s="964" t="s">
        <v>11</v>
      </c>
      <c r="AC28" s="513"/>
      <c r="AD28" s="982" t="s">
        <v>11</v>
      </c>
    </row>
    <row r="29" spans="1:30" ht="15.6" thickBot="1">
      <c r="A29" s="424" t="s">
        <v>196</v>
      </c>
      <c r="B29" s="990"/>
      <c r="C29" s="983">
        <f>-PGL_Supplies!AC7/1000</f>
        <v>-77.147999999999996</v>
      </c>
      <c r="D29" s="984" t="s">
        <v>11</v>
      </c>
      <c r="E29" s="983">
        <f>-PGL_Supplies!AC7/1000</f>
        <v>-77.147999999999996</v>
      </c>
      <c r="F29" s="306"/>
      <c r="G29" s="983">
        <f>-PGL_Supplies!AC7/1000</f>
        <v>-77.147999999999996</v>
      </c>
      <c r="H29" s="513"/>
      <c r="I29" s="985">
        <f>-PGL_Supplies!AC7/1000</f>
        <v>-77.147999999999996</v>
      </c>
      <c r="L29" s="1098"/>
      <c r="P29" s="424" t="s">
        <v>799</v>
      </c>
      <c r="Q29" s="323">
        <f>PGL_Supplies!S7/1000</f>
        <v>0</v>
      </c>
      <c r="R29" s="351"/>
      <c r="S29" s="1212"/>
      <c r="T29" s="1242" t="s">
        <v>468</v>
      </c>
      <c r="U29" s="1293"/>
      <c r="V29" s="1009"/>
      <c r="W29" s="1243"/>
      <c r="X29" s="1283" t="s">
        <v>436</v>
      </c>
      <c r="Y29" s="988"/>
      <c r="Z29" s="1251">
        <f>-PGL_Supplies!L7/1000</f>
        <v>0</v>
      </c>
      <c r="AA29" s="306"/>
      <c r="AB29" s="983" t="s">
        <v>11</v>
      </c>
      <c r="AC29" s="513"/>
      <c r="AD29" s="989" t="s">
        <v>11</v>
      </c>
    </row>
    <row r="30" spans="1:30" ht="16.2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5" t="s">
        <v>809</v>
      </c>
      <c r="U30" s="1272"/>
      <c r="V30" s="1111"/>
      <c r="W30" s="1216"/>
      <c r="X30" s="1288" t="s">
        <v>196</v>
      </c>
      <c r="Y30" s="1248"/>
      <c r="Z30" s="1130">
        <f>-PGL_Supplies!AC7/1000</f>
        <v>-77.147999999999996</v>
      </c>
      <c r="AA30" s="1249"/>
      <c r="AB30" s="1130">
        <f>-PGL_Supplies!AC7/1000</f>
        <v>-77.147999999999996</v>
      </c>
      <c r="AC30" s="1250"/>
      <c r="AD30" s="1319">
        <f>-PGL_Supplies!AC7/1000</f>
        <v>-77.147999999999996</v>
      </c>
    </row>
    <row r="31" spans="1:30" ht="16.2" thickBot="1">
      <c r="A31" s="424" t="s">
        <v>791</v>
      </c>
      <c r="B31" s="323">
        <v>0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11</v>
      </c>
      <c r="Q31" s="1320" t="s">
        <v>420</v>
      </c>
      <c r="R31" s="358"/>
      <c r="S31" s="359"/>
      <c r="T31" s="159" t="s">
        <v>810</v>
      </c>
      <c r="U31" s="1295"/>
      <c r="V31" s="1109"/>
      <c r="W31" s="1244"/>
      <c r="X31" s="328" t="s">
        <v>201</v>
      </c>
      <c r="Y31" s="327"/>
      <c r="Z31" s="1257"/>
      <c r="AA31" s="1258"/>
      <c r="AB31" s="330"/>
      <c r="AC31" s="330"/>
      <c r="AD31" s="330"/>
    </row>
    <row r="32" spans="1:30" ht="16.2" thickBot="1">
      <c r="A32" s="424" t="s">
        <v>793</v>
      </c>
      <c r="B32" s="987">
        <f>PGL_Requirements!J7/1000</f>
        <v>0.1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811</v>
      </c>
      <c r="U32" s="1296"/>
      <c r="V32" s="429"/>
      <c r="W32" s="1076"/>
      <c r="X32" s="1287" t="s">
        <v>459</v>
      </c>
      <c r="Y32" s="1204"/>
      <c r="Z32" s="534"/>
      <c r="AA32" s="1303" t="s">
        <v>817</v>
      </c>
      <c r="AB32" s="121"/>
      <c r="AC32" s="1240"/>
      <c r="AD32" s="1260"/>
    </row>
    <row r="33" spans="1:30" ht="15.6" thickBot="1">
      <c r="A33" s="1127" t="s">
        <v>4</v>
      </c>
      <c r="B33" s="323">
        <f>PGL_Supplies!Y7/1000</f>
        <v>151.785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14</v>
      </c>
      <c r="R33" s="1003" t="s">
        <v>11</v>
      </c>
      <c r="S33" s="1004" t="s">
        <v>11</v>
      </c>
      <c r="T33" s="121"/>
      <c r="U33" s="121"/>
      <c r="V33" s="121"/>
      <c r="W33" s="160"/>
      <c r="X33" s="1289" t="s">
        <v>460</v>
      </c>
      <c r="Y33" s="348"/>
      <c r="Z33" s="1212"/>
      <c r="AA33" s="1262" t="s">
        <v>468</v>
      </c>
      <c r="AB33" s="1113"/>
      <c r="AC33" s="1111"/>
      <c r="AD33" s="1008"/>
    </row>
    <row r="34" spans="1:30" ht="16.2" thickBot="1">
      <c r="A34" s="558" t="s">
        <v>442</v>
      </c>
      <c r="B34" s="1118">
        <f>+B33-B32-B31</f>
        <v>151.685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233.529</v>
      </c>
      <c r="R34" s="1003" t="s">
        <v>11</v>
      </c>
      <c r="S34" s="1004" t="s">
        <v>11</v>
      </c>
      <c r="T34" s="121"/>
      <c r="U34" s="121"/>
      <c r="V34" s="121"/>
      <c r="W34" s="160"/>
      <c r="X34" s="1290" t="s">
        <v>461</v>
      </c>
      <c r="Y34" s="312"/>
      <c r="Z34" s="1259"/>
      <c r="AA34" s="1262" t="s">
        <v>469</v>
      </c>
      <c r="AB34" s="1113"/>
      <c r="AC34" s="1111"/>
      <c r="AD34" s="1008"/>
    </row>
    <row r="35" spans="1:30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</v>
      </c>
      <c r="R35" s="1003" t="s">
        <v>11</v>
      </c>
      <c r="S35" s="1008"/>
      <c r="T35" s="121"/>
      <c r="U35" s="121"/>
      <c r="V35" s="121"/>
      <c r="W35" s="160"/>
      <c r="X35" s="1290" t="s">
        <v>462</v>
      </c>
      <c r="Y35" s="312"/>
      <c r="Z35" s="1212"/>
      <c r="AA35" s="1263" t="s">
        <v>470</v>
      </c>
      <c r="AB35" s="1113"/>
      <c r="AC35" s="1111"/>
      <c r="AD35" s="1008"/>
    </row>
    <row r="36" spans="1:30" ht="16.2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5" t="s">
        <v>690</v>
      </c>
      <c r="Q36" s="1292">
        <f>-Q32+Q33+Q34+Q35</f>
        <v>254.529</v>
      </c>
      <c r="R36" s="1096"/>
      <c r="S36" s="1079" t="s">
        <v>11</v>
      </c>
      <c r="T36" s="121"/>
      <c r="U36" s="121"/>
      <c r="V36" s="121"/>
      <c r="W36" s="160"/>
      <c r="X36" s="1290" t="s">
        <v>463</v>
      </c>
      <c r="Y36" s="312"/>
      <c r="Z36" s="1212"/>
      <c r="AA36" s="1263" t="s">
        <v>402</v>
      </c>
      <c r="AB36" s="1113"/>
      <c r="AC36" s="1111"/>
      <c r="AD36" s="1008"/>
    </row>
    <row r="37" spans="1:30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829</v>
      </c>
      <c r="Q37" s="1082"/>
      <c r="R37" s="1082"/>
      <c r="S37" s="1080" t="s">
        <v>11</v>
      </c>
      <c r="T37" s="121"/>
      <c r="U37" s="121"/>
      <c r="V37" s="121"/>
      <c r="W37" s="121"/>
      <c r="X37" s="1316" t="s">
        <v>464</v>
      </c>
      <c r="Y37" s="312"/>
      <c r="Z37" s="1212"/>
      <c r="AA37" s="1264" t="s">
        <v>471</v>
      </c>
      <c r="AB37" s="1113"/>
      <c r="AC37" s="1111"/>
      <c r="AD37" s="1008"/>
    </row>
    <row r="38" spans="1:30" ht="15.6" thickBot="1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830</v>
      </c>
      <c r="Q38" s="323">
        <f>Q36-Q37-Q39</f>
        <v>235.309</v>
      </c>
      <c r="R38" s="1083" t="s">
        <v>11</v>
      </c>
      <c r="S38" s="1081" t="s">
        <v>11</v>
      </c>
      <c r="T38" s="121"/>
      <c r="U38" s="121"/>
      <c r="V38" s="121"/>
      <c r="W38" s="121"/>
      <c r="X38" s="1311" t="s">
        <v>465</v>
      </c>
      <c r="Y38" s="312"/>
      <c r="Z38" s="1212"/>
      <c r="AA38" s="593" t="s">
        <v>472</v>
      </c>
      <c r="AB38" s="121"/>
      <c r="AC38" s="1203"/>
      <c r="AD38" s="1261"/>
    </row>
    <row r="39" spans="1:30" ht="16.2" thickBot="1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831</v>
      </c>
      <c r="Q39" s="1317">
        <f>U24</f>
        <v>19.22</v>
      </c>
      <c r="R39" s="1110"/>
      <c r="S39" s="1176" t="s">
        <v>11</v>
      </c>
      <c r="T39" s="121" t="s">
        <v>822</v>
      </c>
      <c r="U39" s="121"/>
      <c r="V39" s="121"/>
      <c r="W39" s="121"/>
      <c r="X39" s="1312" t="s">
        <v>466</v>
      </c>
      <c r="Y39" s="400"/>
      <c r="Z39" s="535"/>
      <c r="AA39" s="550" t="s">
        <v>223</v>
      </c>
      <c r="AB39" s="429"/>
      <c r="AC39" s="429"/>
      <c r="AD39" s="431"/>
    </row>
    <row r="40" spans="1:30" ht="16.2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5" t="s">
        <v>3</v>
      </c>
      <c r="Q40" s="1318">
        <f>Q37+Q38+Q39</f>
        <v>254.529</v>
      </c>
      <c r="R40" s="1206"/>
      <c r="S40" s="1207" t="s">
        <v>11</v>
      </c>
      <c r="T40" s="119"/>
      <c r="U40" s="119"/>
      <c r="V40" s="119"/>
      <c r="W40" s="119"/>
      <c r="X40" s="119"/>
      <c r="Y40" s="1018" t="s">
        <v>818</v>
      </c>
      <c r="Z40" s="1266"/>
      <c r="AA40" s="1270" t="s">
        <v>819</v>
      </c>
      <c r="AB40" s="119"/>
      <c r="AC40" s="119" t="s">
        <v>820</v>
      </c>
      <c r="AD40" s="1267"/>
    </row>
    <row r="41" spans="1:30" ht="16.8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68"/>
      <c r="Z41" s="1268"/>
      <c r="AA41" s="1269"/>
      <c r="AB41" s="788"/>
      <c r="AC41" s="788"/>
      <c r="AD41" s="788"/>
    </row>
    <row r="42" spans="1:30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5"/>
      <c r="Z42" s="593"/>
      <c r="AA42" s="1256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5"/>
      <c r="Z43" s="593"/>
      <c r="AA43" s="1256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6"/>
    </row>
    <row r="45" spans="1:30" ht="15.6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2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2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6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6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2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0.68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2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2" thickBot="1">
      <c r="A55" s="517" t="s">
        <v>451</v>
      </c>
      <c r="B55" s="518">
        <f>-B49+B50+B52-B53-B51+B56+B57</f>
        <v>-149.68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14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233.529</v>
      </c>
      <c r="I57" s="1004" t="s">
        <v>11</v>
      </c>
    </row>
    <row r="58" spans="1:9" ht="15.6" thickBot="1">
      <c r="A58" s="424" t="s">
        <v>792</v>
      </c>
      <c r="B58" s="1190">
        <f>SUM(B31)</f>
        <v>0</v>
      </c>
      <c r="C58" s="593"/>
      <c r="D58" s="1191"/>
      <c r="E58" s="393"/>
      <c r="F58" s="121" t="s">
        <v>622</v>
      </c>
      <c r="G58" s="121"/>
      <c r="H58" s="1003">
        <f>PGL_Supplies!T7/1000</f>
        <v>7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19.22</v>
      </c>
    </row>
    <row r="60" spans="1:9" ht="16.2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H56+H57+H58-I55</f>
        <v>254.529</v>
      </c>
    </row>
    <row r="61" spans="1:9">
      <c r="A61" s="424" t="s">
        <v>454</v>
      </c>
      <c r="B61" s="387">
        <f>PGL_Requirements!F7/1000</f>
        <v>0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0.3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235.309</v>
      </c>
    </row>
    <row r="63" spans="1:9" ht="15.6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I64</f>
        <v>19.22</v>
      </c>
    </row>
    <row r="64" spans="1:9" ht="16.2" thickBot="1">
      <c r="A64" s="798" t="s">
        <v>558</v>
      </c>
      <c r="B64" s="1016">
        <f>+B63+B62-B61+B60</f>
        <v>16.8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(PGL_Requirements!H7)/1000</f>
        <v>19.22</v>
      </c>
    </row>
    <row r="65" spans="1:23" ht="15.6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+I61+I62+I63-I66-I64</f>
        <v>225.90899999999999</v>
      </c>
      <c r="P65" s="541"/>
      <c r="Q65" s="1022"/>
      <c r="R65" s="1032"/>
      <c r="S65" s="1032"/>
    </row>
    <row r="66" spans="1:23" ht="15.6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9.4</v>
      </c>
      <c r="P66" s="369"/>
      <c r="Q66" s="1025"/>
      <c r="R66" s="1031"/>
      <c r="S66" s="1031"/>
    </row>
    <row r="67" spans="1:23" ht="16.2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2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2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2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2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THU</v>
      </c>
      <c r="G1" s="1078">
        <f>Weather_Input!A5</f>
        <v>37035</v>
      </c>
      <c r="H1" s="588" t="s">
        <v>257</v>
      </c>
      <c r="I1" s="592"/>
    </row>
    <row r="2" spans="1:9" ht="20.399999999999999">
      <c r="A2" s="641" t="s">
        <v>11</v>
      </c>
      <c r="B2" s="792" t="s">
        <v>554</v>
      </c>
      <c r="C2" s="951">
        <v>50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1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59</v>
      </c>
      <c r="C4" s="757">
        <f>Weather_Input!C5</f>
        <v>46</v>
      </c>
      <c r="D4" s="651"/>
      <c r="E4" s="652"/>
      <c r="F4" s="651"/>
      <c r="G4" s="652"/>
      <c r="H4" s="653"/>
      <c r="I4" s="654"/>
    </row>
    <row r="5" spans="1:9" ht="23.4" thickBot="1">
      <c r="A5" s="655" t="s">
        <v>138</v>
      </c>
      <c r="B5" s="656"/>
      <c r="C5" s="657">
        <f>NSG_Deliveries!C5/1000</f>
        <v>63.8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41.3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22.5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3.4" thickBot="1">
      <c r="A19" s="702" t="s">
        <v>427</v>
      </c>
      <c r="B19" s="703"/>
      <c r="C19" s="704">
        <f>C7+C12</f>
        <v>41.3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435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436</v>
      </c>
      <c r="B25" s="713"/>
      <c r="C25" s="710">
        <f>-NSG_Supplies!F7/1000</f>
        <v>-2.5499999999999998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196</v>
      </c>
      <c r="B26" s="716"/>
      <c r="C26" s="710">
        <f>-NSG_Supplies!R7/1000</f>
        <v>-38.747999999999998</v>
      </c>
      <c r="D26" s="717"/>
      <c r="E26" s="710">
        <f>-NSG_Supplies!R7/1000</f>
        <v>-38.747999999999998</v>
      </c>
      <c r="F26" s="717"/>
      <c r="G26" s="710">
        <f>-NSG_Supplies!R7/1000</f>
        <v>-38.747999999999998</v>
      </c>
      <c r="H26" s="716"/>
      <c r="I26" s="775">
        <f>-NSG_Supplies!R7/1000</f>
        <v>-38.747999999999998</v>
      </c>
    </row>
    <row r="27" spans="1:9" ht="20.399999999999999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399999999999999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506</v>
      </c>
      <c r="B41" s="820">
        <f>NSG_Requirements!J7/1000</f>
        <v>0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507</v>
      </c>
      <c r="B42" s="821">
        <f>NSG_Supplies!E7/1000</f>
        <v>2.5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504</v>
      </c>
      <c r="B46" s="822">
        <f>B45+B42-B41</f>
        <v>22.5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37035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59</v>
      </c>
      <c r="C5" s="265">
        <f>Weather_Input!C5</f>
        <v>46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313</v>
      </c>
      <c r="C8" s="273">
        <f>NSG_Deliveries!C5/1000</f>
        <v>63.8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177.15200000000002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18.585000000000008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-211.73700000000002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101.26299999999998</v>
      </c>
      <c r="C20" s="294">
        <f>C8+C18+C19</f>
        <v>63.8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103.51299999999998</v>
      </c>
      <c r="C23" s="300">
        <f>C20</f>
        <v>63.8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0.68</v>
      </c>
      <c r="C27" s="309">
        <f>NSG_Requirements!P7/1000</f>
        <v>0</v>
      </c>
      <c r="D27" s="309">
        <f>PGL_Requirements!R7/1000</f>
        <v>0.68</v>
      </c>
      <c r="E27" s="309">
        <f>NSG_Requirements!P7/1000</f>
        <v>0</v>
      </c>
      <c r="F27" s="309">
        <f>PGL_Requirements!R7/1000</f>
        <v>0.68</v>
      </c>
      <c r="G27" s="309">
        <f>NSG_Requirements!P7/1000</f>
        <v>0</v>
      </c>
      <c r="H27" s="310">
        <f>+B27</f>
        <v>0.68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-77.147999999999996</v>
      </c>
      <c r="C32" s="314">
        <f>-NSG_Supplies!R7/1000</f>
        <v>-38.747999999999998</v>
      </c>
      <c r="D32" s="314">
        <f>B32</f>
        <v>-77.147999999999996</v>
      </c>
      <c r="E32" s="314">
        <f>C32</f>
        <v>-38.747999999999998</v>
      </c>
      <c r="F32" s="314">
        <f>B32</f>
        <v>-77.147999999999996</v>
      </c>
      <c r="G32" s="314">
        <f>C32</f>
        <v>-38.747999999999998</v>
      </c>
      <c r="H32" s="319">
        <f>B32</f>
        <v>-77.147999999999996</v>
      </c>
      <c r="I32" s="320">
        <f>C32</f>
        <v>-38.747999999999998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-18.847999999999999</v>
      </c>
      <c r="D33" s="314">
        <f>B33</f>
        <v>0</v>
      </c>
      <c r="E33" s="314">
        <f>C33</f>
        <v>-18.847999999999999</v>
      </c>
      <c r="F33" s="314">
        <f>B33</f>
        <v>0</v>
      </c>
      <c r="G33" s="314">
        <f>C33</f>
        <v>-18.847999999999999</v>
      </c>
      <c r="H33" s="319">
        <f>B33</f>
        <v>0</v>
      </c>
      <c r="I33" s="320">
        <f>C33</f>
        <v>-18.847999999999999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21.61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0</v>
      </c>
      <c r="C36" s="314">
        <f>-NSG_Supplies!F7/1000</f>
        <v>-2.5499999999999998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177.25200000000001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0.1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177.15200000000002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151.785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16.8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18.585000000000008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THU</v>
      </c>
      <c r="H73" s="405">
        <f>Weather_Input!A5</f>
        <v>37035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21.61</v>
      </c>
      <c r="D97" s="601"/>
      <c r="E97" s="613">
        <f>+C97</f>
        <v>21.61</v>
      </c>
      <c r="F97" s="601"/>
      <c r="G97" s="613">
        <f>+C97</f>
        <v>21.61</v>
      </c>
      <c r="H97" s="601"/>
      <c r="I97" s="284">
        <f>+C97</f>
        <v>21.61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77.25200000000001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168.58500000000001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-18.847999999999999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21.61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6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2" thickBot="1">
      <c r="A133" s="558" t="s">
        <v>442</v>
      </c>
      <c r="B133" s="565">
        <f>B126+B127+B130+B131+B132-B125-B128-B129</f>
        <v>21.61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100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6" thickBot="1">
      <c r="A140" s="424" t="s">
        <v>392</v>
      </c>
      <c r="B140" s="323">
        <f>PGL_Supplies!V7/1000</f>
        <v>177.25200000000001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2" thickBot="1">
      <c r="A141" s="558" t="s">
        <v>442</v>
      </c>
      <c r="B141" s="560">
        <f>-B135+B136+B137-B138+B139+B140</f>
        <v>77.25200000000001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6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6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6" thickBot="1">
      <c r="A156" s="424" t="s">
        <v>455</v>
      </c>
      <c r="B156" s="323">
        <f>PGL_Supplies!G7/1000</f>
        <v>0.3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6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6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2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6" thickBot="1">
      <c r="A160" s="424" t="s">
        <v>392</v>
      </c>
      <c r="B160" s="610">
        <f>PGL_Supplies!Y7/1000</f>
        <v>151.785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2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2" thickBot="1">
      <c r="A162" s="398" t="s">
        <v>451</v>
      </c>
      <c r="B162" s="611">
        <f>B154+B156+B158+B159+B160-B153-B155-B157-B161</f>
        <v>168.58500000000001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6">
      <c r="D11" s="196" t="s">
        <v>263</v>
      </c>
    </row>
    <row r="12" spans="1:10" ht="15.6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37036.148074884259</v>
      </c>
      <c r="F22" s="163" t="s">
        <v>270</v>
      </c>
      <c r="G22" s="190">
        <f ca="1">NOW()</f>
        <v>37036.148074884259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6" thickBot="1"/>
    <row r="26" spans="2:9" ht="15.6" thickBot="1">
      <c r="B26" s="208" t="s">
        <v>11</v>
      </c>
      <c r="C26" s="163" t="s">
        <v>274</v>
      </c>
    </row>
    <row r="27" spans="2:9" ht="15.6" thickBot="1">
      <c r="B27" s="208" t="s">
        <v>11</v>
      </c>
      <c r="C27" s="163" t="s">
        <v>275</v>
      </c>
    </row>
    <row r="28" spans="2:9" ht="15.6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6">
      <c r="B34" s="163" t="s">
        <v>277</v>
      </c>
      <c r="E34" s="189">
        <v>0</v>
      </c>
      <c r="F34" t="s">
        <v>278</v>
      </c>
    </row>
    <row r="36" spans="2:8" ht="15.6">
      <c r="B36" s="163" t="s">
        <v>279</v>
      </c>
      <c r="E36" s="189">
        <v>0</v>
      </c>
      <c r="F36" t="s">
        <v>278</v>
      </c>
    </row>
    <row r="38" spans="2:8" ht="15.6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6">
      <c r="E39" s="165">
        <f>+E38+1</f>
        <v>35917</v>
      </c>
      <c r="F39" s="189">
        <v>0</v>
      </c>
      <c r="G39" t="s">
        <v>278</v>
      </c>
    </row>
    <row r="40" spans="2:8" ht="15.6">
      <c r="E40" s="165">
        <f>+E39+1</f>
        <v>35918</v>
      </c>
      <c r="F40" s="189">
        <v>0</v>
      </c>
      <c r="G40" t="s">
        <v>278</v>
      </c>
    </row>
    <row r="41" spans="2:8" ht="15.6">
      <c r="E41" s="165">
        <f>+E40+1</f>
        <v>35919</v>
      </c>
      <c r="F41" s="189">
        <v>0</v>
      </c>
      <c r="G41" t="s">
        <v>278</v>
      </c>
    </row>
    <row r="42" spans="2:8" ht="15.6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37035</v>
      </c>
      <c r="C5" s="15"/>
      <c r="D5" s="22" t="s">
        <v>288</v>
      </c>
      <c r="E5" s="23">
        <f>Weather_Input!B5</f>
        <v>59</v>
      </c>
      <c r="F5" s="24" t="s">
        <v>289</v>
      </c>
      <c r="G5" s="25">
        <f>Weather_Input!H5</f>
        <v>14</v>
      </c>
      <c r="H5" s="26" t="s">
        <v>290</v>
      </c>
      <c r="I5" s="27">
        <f ca="1">G5-(VLOOKUP(B5,DD_Normal_Data,CELL("Col",B6),FALSE))</f>
        <v>9</v>
      </c>
    </row>
    <row r="6" spans="1:109" ht="15">
      <c r="A6" s="18"/>
      <c r="B6" s="21"/>
      <c r="C6" s="15"/>
      <c r="D6" s="22" t="s">
        <v>175</v>
      </c>
      <c r="E6" s="23">
        <f>Weather_Input!C5</f>
        <v>46</v>
      </c>
      <c r="F6" s="24" t="s">
        <v>291</v>
      </c>
      <c r="G6" s="25">
        <f>Weather_Input!F5</f>
        <v>122</v>
      </c>
      <c r="H6" s="26" t="s">
        <v>292</v>
      </c>
      <c r="I6" s="27">
        <f ca="1">G6-(VLOOKUP(B5,DD_Normal_Data,CELL("Col",C7),FALSE))</f>
        <v>-72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52.5</v>
      </c>
      <c r="F7" s="24" t="s">
        <v>294</v>
      </c>
      <c r="G7" s="25">
        <f>Weather_Input!G5</f>
        <v>6529</v>
      </c>
      <c r="H7" s="26" t="s">
        <v>294</v>
      </c>
      <c r="I7" s="122">
        <f ca="1">G7-(VLOOKUP(B5,DD_Normal_Data,CELL("Col",D4),FALSE))</f>
        <v>184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TODAY - A BRIEF SHOWER OR TWO; PLENTY OF CLOUDS AND COOL.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A BRIEF SHOWER; PLENTY OF CLOUDS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37036</v>
      </c>
      <c r="C10" s="15"/>
      <c r="D10" s="152" t="s">
        <v>288</v>
      </c>
      <c r="E10" s="23">
        <f>Weather_Input!B6</f>
        <v>61</v>
      </c>
      <c r="F10" s="24" t="s">
        <v>289</v>
      </c>
      <c r="G10" s="25">
        <f>IF(E12&lt;65,65-(Weather_Input!B6+Weather_Input!C6)/2,0)</f>
        <v>12.5</v>
      </c>
      <c r="H10" s="26" t="s">
        <v>290</v>
      </c>
      <c r="I10" s="27">
        <f ca="1">G10-(VLOOKUP(B10,DD_Normal_Data,CELL("Col",B11),FALSE))</f>
        <v>7.5</v>
      </c>
    </row>
    <row r="11" spans="1:109" ht="15">
      <c r="A11" s="18"/>
      <c r="B11" s="21"/>
      <c r="C11" s="15"/>
      <c r="D11" s="22" t="s">
        <v>175</v>
      </c>
      <c r="E11" s="23">
        <f>Weather_Input!C6</f>
        <v>44</v>
      </c>
      <c r="F11" s="24" t="s">
        <v>291</v>
      </c>
      <c r="G11" s="25">
        <f>IF(DAY(B10)=1,G10,G6+G10)</f>
        <v>134.5</v>
      </c>
      <c r="H11" s="30" t="s">
        <v>292</v>
      </c>
      <c r="I11" s="27">
        <f ca="1">G11-(VLOOKUP(B10,DD_Normal_Data,CELL("Col",C12),FALSE))</f>
        <v>-64.5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52.5</v>
      </c>
      <c r="F12" s="24" t="s">
        <v>294</v>
      </c>
      <c r="G12" s="25">
        <f>IF(AND(DAY(B10)=1,MONTH(B10)=8),G10,G7+G10)</f>
        <v>6541.5</v>
      </c>
      <c r="H12" s="26" t="s">
        <v>294</v>
      </c>
      <c r="I12" s="27">
        <f ca="1">G12-(VLOOKUP(B10,DD_Normal_Data,CELL("Col",D9),FALSE))</f>
        <v>191.5</v>
      </c>
    </row>
    <row r="13" spans="1:109" ht="15">
      <c r="A13" s="18"/>
      <c r="B13" s="21"/>
      <c r="C13" s="15"/>
      <c r="D13" s="32" t="str">
        <f>IF(Weather_Input!I6=""," ",Weather_Input!I6)</f>
        <v xml:space="preserve">  RATHER CLOUDY; CONTINUED COOL WITH NOTHING MORE THAN A BRIEF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SHOWER OR TWO.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37037</v>
      </c>
      <c r="C15" s="15"/>
      <c r="D15" s="22" t="s">
        <v>288</v>
      </c>
      <c r="E15" s="23">
        <f>Weather_Input!B7</f>
        <v>60</v>
      </c>
      <c r="F15" s="24" t="s">
        <v>289</v>
      </c>
      <c r="G15" s="25">
        <f>IF(E17&lt;65,65-(Weather_Input!B7+Weather_Input!C7)/2,0)</f>
        <v>12.5</v>
      </c>
      <c r="H15" s="26" t="s">
        <v>290</v>
      </c>
      <c r="I15" s="27">
        <f ca="1">G15-(VLOOKUP(B15,DD_Normal_Data,CELL("Col",B16),FALSE))</f>
        <v>7.5</v>
      </c>
    </row>
    <row r="16" spans="1:109" ht="15">
      <c r="A16" s="18"/>
      <c r="B16" s="20"/>
      <c r="C16" s="15"/>
      <c r="D16" s="22" t="s">
        <v>175</v>
      </c>
      <c r="E16" s="23">
        <f>Weather_Input!C7</f>
        <v>45</v>
      </c>
      <c r="F16" s="24" t="s">
        <v>291</v>
      </c>
      <c r="G16" s="25">
        <f>IF(DAY(B15)=1,G15,G11+G15)</f>
        <v>147</v>
      </c>
      <c r="H16" s="30" t="s">
        <v>292</v>
      </c>
      <c r="I16" s="27">
        <f ca="1">G16-(VLOOKUP(B15,DD_Normal_Data,CELL("Col",C17),FALSE))</f>
        <v>-57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52.5</v>
      </c>
      <c r="F17" s="24" t="s">
        <v>294</v>
      </c>
      <c r="G17" s="25">
        <f>IF(AND(DAY(B15)=1,MONTH(B15)=8),G15,G12+G15)</f>
        <v>6554</v>
      </c>
      <c r="H17" s="26" t="s">
        <v>294</v>
      </c>
      <c r="I17" s="27">
        <f ca="1">G17-(VLOOKUP(B15,DD_Normal_Data,CELL("Col",D14),FALSE))</f>
        <v>199</v>
      </c>
    </row>
    <row r="18" spans="1:109" ht="15">
      <c r="A18" s="18"/>
      <c r="B18" s="20"/>
      <c r="C18" s="15"/>
      <c r="D18" s="32" t="str">
        <f>IF(Weather_Input!I7=""," ",Weather_Input!I7)</f>
        <v xml:space="preserve">  CLOUDY MOST OF THE TIME WITH NOTHING MORE THAN A BRIEF SHOWER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OR TWO.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37038</v>
      </c>
      <c r="C20" s="15"/>
      <c r="D20" s="22" t="s">
        <v>288</v>
      </c>
      <c r="E20" s="23">
        <f>Weather_Input!B8</f>
        <v>65</v>
      </c>
      <c r="F20" s="24" t="s">
        <v>289</v>
      </c>
      <c r="G20" s="25">
        <f>IF(E22&lt;65,65-(Weather_Input!B8+Weather_Input!C8)/2,0)</f>
        <v>8.5</v>
      </c>
      <c r="H20" s="26" t="s">
        <v>290</v>
      </c>
      <c r="I20" s="27">
        <f ca="1">G20-(VLOOKUP(B20,DD_Normal_Data,CELL("Col",B21),FALSE))</f>
        <v>3.5</v>
      </c>
    </row>
    <row r="21" spans="1:109" ht="15">
      <c r="A21" s="18"/>
      <c r="B21" s="21"/>
      <c r="C21" s="15"/>
      <c r="D21" s="22" t="s">
        <v>175</v>
      </c>
      <c r="E21" s="23">
        <f>Weather_Input!C8</f>
        <v>48</v>
      </c>
      <c r="F21" s="24" t="s">
        <v>291</v>
      </c>
      <c r="G21" s="25">
        <f>IF(DAY(B20)=1,G20,G16+G20)</f>
        <v>155.5</v>
      </c>
      <c r="H21" s="30" t="s">
        <v>292</v>
      </c>
      <c r="I21" s="27">
        <f ca="1">G21-(VLOOKUP(B20,DD_Normal_Data,CELL("Col",C22),FALSE))</f>
        <v>-53.5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56.5</v>
      </c>
      <c r="F22" s="24" t="s">
        <v>294</v>
      </c>
      <c r="G22" s="25">
        <f>IF(AND(DAY(B20)=1,MONTH(B20)=8),G20,G17+G20)</f>
        <v>6562.5</v>
      </c>
      <c r="H22" s="26" t="s">
        <v>294</v>
      </c>
      <c r="I22" s="27">
        <f ca="1">G22-(VLOOKUP(B20,DD_Normal_Data,CELL("Col",D19),FALSE))</f>
        <v>202.5</v>
      </c>
    </row>
    <row r="23" spans="1:109" ht="15">
      <c r="A23" s="18"/>
      <c r="B23" s="21"/>
      <c r="C23" s="15"/>
      <c r="D23" s="32" t="str">
        <f>IF(Weather_Input!I8=""," ",Weather_Input!I8)</f>
        <v xml:space="preserve">  IT MAY SHOWER WITH PERIODS OF CLOUDS AND SUNSHINE.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37039</v>
      </c>
      <c r="C25" s="15"/>
      <c r="D25" s="22" t="s">
        <v>288</v>
      </c>
      <c r="E25" s="23">
        <f>Weather_Input!B9</f>
        <v>69</v>
      </c>
      <c r="F25" s="24" t="s">
        <v>289</v>
      </c>
      <c r="G25" s="25">
        <f>IF(E27&lt;65,65-(Weather_Input!B9+Weather_Input!C9)/2,0)</f>
        <v>4.5</v>
      </c>
      <c r="H25" s="26" t="s">
        <v>290</v>
      </c>
      <c r="I25" s="27">
        <f ca="1">G25-(VLOOKUP(B25,DD_Normal_Data,CELL("Col",B26),FALSE))</f>
        <v>0.5</v>
      </c>
    </row>
    <row r="26" spans="1:109" ht="15">
      <c r="A26" s="18"/>
      <c r="B26" s="21"/>
      <c r="C26" s="15"/>
      <c r="D26" s="22" t="s">
        <v>175</v>
      </c>
      <c r="E26" s="23">
        <f>Weather_Input!C9</f>
        <v>52</v>
      </c>
      <c r="F26" s="24" t="s">
        <v>291</v>
      </c>
      <c r="G26" s="25">
        <f>IF(DAY(B25)=1,G25,G21+G25)</f>
        <v>160</v>
      </c>
      <c r="H26" s="30" t="s">
        <v>292</v>
      </c>
      <c r="I26" s="27">
        <f ca="1">G26-(VLOOKUP(B25,DD_Normal_Data,CELL("Col",C27),FALSE))</f>
        <v>-53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60.5</v>
      </c>
      <c r="F27" s="24" t="s">
        <v>294</v>
      </c>
      <c r="G27" s="25">
        <f>IF(AND(DAY(B25)=1,MONTH(B25)=8),G25,G22+G25)</f>
        <v>6567</v>
      </c>
      <c r="H27" s="26" t="s">
        <v>294</v>
      </c>
      <c r="I27" s="27">
        <f ca="1">G27-(VLOOKUP(B25,DD_Normal_Data,CELL("Col",D24),FALSE))</f>
        <v>203</v>
      </c>
    </row>
    <row r="28" spans="1:109" ht="15">
      <c r="A28" s="18"/>
      <c r="B28" s="20"/>
      <c r="C28" s="15"/>
      <c r="D28" s="32" t="str">
        <f>IF(Weather_Input!I9=""," ",Weather_Input!I9)</f>
        <v xml:space="preserve">  SUNSHINE AND SOME CLOUDS.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37040</v>
      </c>
      <c r="C30" s="15"/>
      <c r="D30" s="22" t="s">
        <v>288</v>
      </c>
      <c r="E30" s="23">
        <f>Weather_Input!B10</f>
        <v>69</v>
      </c>
      <c r="F30" s="24" t="s">
        <v>289</v>
      </c>
      <c r="G30" s="25">
        <f>IF(E32&lt;65,65-(Weather_Input!B10+Weather_Input!C10)/2,0)</f>
        <v>4.5</v>
      </c>
      <c r="H30" s="26" t="s">
        <v>290</v>
      </c>
      <c r="I30" s="27">
        <f ca="1">G30-(VLOOKUP(B30,DD_Normal_Data,CELL("Col",B31),FALSE))</f>
        <v>0.5</v>
      </c>
    </row>
    <row r="31" spans="1:109" ht="15">
      <c r="A31" s="15"/>
      <c r="B31" s="15"/>
      <c r="C31" s="15"/>
      <c r="D31" s="22" t="s">
        <v>175</v>
      </c>
      <c r="E31" s="23">
        <f>Weather_Input!C10</f>
        <v>52</v>
      </c>
      <c r="F31" s="24" t="s">
        <v>291</v>
      </c>
      <c r="G31" s="25">
        <f>IF(DAY(B30)=1,G30,G26+G30)</f>
        <v>164.5</v>
      </c>
      <c r="H31" s="30" t="s">
        <v>292</v>
      </c>
      <c r="I31" s="27">
        <f ca="1">G31-(VLOOKUP(B30,DD_Normal_Data,CELL("Col",C32),FALSE))</f>
        <v>-52.5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60.5</v>
      </c>
      <c r="F32" s="24" t="s">
        <v>294</v>
      </c>
      <c r="G32" s="25">
        <f>IF(AND(DAY(B30)=1,MONTH(B30)=8),G30,G27+G30)</f>
        <v>6571.5</v>
      </c>
      <c r="H32" s="26" t="s">
        <v>294</v>
      </c>
      <c r="I32" s="27">
        <f ca="1">G32-(VLOOKUP(B30,DD_Normal_Data,CELL("Col",D29),FALSE))</f>
        <v>203.5</v>
      </c>
    </row>
    <row r="33" spans="1:9" ht="15">
      <c r="A33" s="15"/>
      <c r="B33" s="34"/>
      <c r="C33" s="15"/>
      <c r="D33" s="32" t="str">
        <f>IF(Weather_Input!I10=""," ",Weather_Input!I10)</f>
        <v xml:space="preserve">  SUNSHINE AND SOME CLOUDS.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37035</v>
      </c>
      <c r="C36" s="91">
        <f>B10</f>
        <v>37036</v>
      </c>
      <c r="D36" s="91">
        <f>B15</f>
        <v>37037</v>
      </c>
      <c r="E36" s="91">
        <f xml:space="preserve">       B20</f>
        <v>37038</v>
      </c>
      <c r="F36" s="91">
        <f>B25</f>
        <v>37039</v>
      </c>
      <c r="G36" s="91">
        <f>B30</f>
        <v>37040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313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255</v>
      </c>
      <c r="E37" s="41">
        <f ca="1">(VLOOKUP(E36,PGL_Sendouts,(CELL("COL",PGL_Deliveries!C9))))/1000</f>
        <v>245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299</v>
      </c>
      <c r="B38" s="41">
        <f>PGL_6_Day_Report!D30</f>
        <v>556.46</v>
      </c>
      <c r="C38" s="41">
        <f>PGL_6_Day_Report!E30</f>
        <v>498.13</v>
      </c>
      <c r="D38" s="41">
        <f>PGL_6_Day_Report!F30</f>
        <v>448.13</v>
      </c>
      <c r="E38" s="41">
        <f>PGL_6_Day_Report!G30</f>
        <v>438.13</v>
      </c>
      <c r="F38" s="41">
        <f>PGL_6_Day_Report!H30</f>
        <v>433.13</v>
      </c>
      <c r="G38" s="41">
        <f>PGL_6_Day_Report!I30</f>
        <v>433.13</v>
      </c>
      <c r="H38" s="14"/>
      <c r="I38" s="15"/>
    </row>
    <row r="39" spans="1:9" ht="15">
      <c r="A39" s="42" t="s">
        <v>108</v>
      </c>
      <c r="B39" s="41">
        <f>SUM(PGL_Supplies!Z7:AE7)/1000</f>
        <v>367.37700000000001</v>
      </c>
      <c r="C39" s="41">
        <f>SUM(PGL_Supplies!Z8:AE8)/1000</f>
        <v>270.63900000000001</v>
      </c>
      <c r="D39" s="41">
        <f>SUM(PGL_Supplies!Z9:AE9)/1000</f>
        <v>269.13799999999998</v>
      </c>
      <c r="E39" s="41">
        <f>SUM(PGL_Supplies!Z10:AE10)/1000</f>
        <v>269.13799999999998</v>
      </c>
      <c r="F39" s="41">
        <f>SUM(PGL_Supplies!Z11:AE11)/1000</f>
        <v>269.13799999999998</v>
      </c>
      <c r="G39" s="41">
        <f>SUM(PGL_Supplies!Z12:AE12)/1000</f>
        <v>269.13799999999998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40.880000000000003</v>
      </c>
      <c r="C41" s="41">
        <f>SUM(PGL_Requirements!R7:U7)/1000</f>
        <v>40.880000000000003</v>
      </c>
      <c r="D41" s="41">
        <f>SUM(PGL_Requirements!R7:U7)/1000</f>
        <v>40.880000000000003</v>
      </c>
      <c r="E41" s="41">
        <f>SUM(PGL_Requirements!R7:U7)/1000</f>
        <v>40.880000000000003</v>
      </c>
      <c r="F41" s="41">
        <f>SUM(PGL_Requirements!R7:U7)/1000</f>
        <v>40.880000000000003</v>
      </c>
      <c r="G41" s="41">
        <f>SUM(PGL_Requirements!R7:U7)/1000</f>
        <v>40.880000000000003</v>
      </c>
      <c r="H41" s="14"/>
      <c r="I41" s="15"/>
    </row>
    <row r="42" spans="1:9" ht="15">
      <c r="A42" s="15" t="s">
        <v>131</v>
      </c>
      <c r="B42" s="41">
        <f>PGL_Supplies!V7/1000</f>
        <v>177.25200000000001</v>
      </c>
      <c r="C42" s="41">
        <f>PGL_Supplies!V8/1000</f>
        <v>177.25200000000001</v>
      </c>
      <c r="D42" s="41">
        <f>PGL_Supplies!V9/1000</f>
        <v>177.25200000000001</v>
      </c>
      <c r="E42" s="41">
        <f>PGL_Supplies!V10/1000</f>
        <v>177.25200000000001</v>
      </c>
      <c r="F42" s="41">
        <f>PGL_Supplies!V11/1000</f>
        <v>177.25200000000001</v>
      </c>
      <c r="G42" s="41">
        <f>PGL_Supplies!V12/1000</f>
        <v>177.25200000000001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37035</v>
      </c>
      <c r="C44" s="91">
        <f t="shared" si="0"/>
        <v>37036</v>
      </c>
      <c r="D44" s="91">
        <f t="shared" si="0"/>
        <v>37037</v>
      </c>
      <c r="E44" s="91">
        <f t="shared" si="0"/>
        <v>37038</v>
      </c>
      <c r="F44" s="91">
        <f t="shared" si="0"/>
        <v>37039</v>
      </c>
      <c r="G44" s="91">
        <f t="shared" si="0"/>
        <v>37040</v>
      </c>
      <c r="H44" s="14"/>
      <c r="I44" s="15"/>
    </row>
    <row r="45" spans="1:9" ht="15">
      <c r="A45" s="15" t="s">
        <v>56</v>
      </c>
      <c r="B45" s="41">
        <f ca="1">NSG_6_Day_Report!D6</f>
        <v>63.8</v>
      </c>
      <c r="C45" s="41">
        <f ca="1">NSG_6_Day_Report!E6</f>
        <v>57</v>
      </c>
      <c r="D45" s="41">
        <f ca="1">NSG_6_Day_Report!F6</f>
        <v>52</v>
      </c>
      <c r="E45" s="41">
        <f ca="1">NSG_6_Day_Report!G6</f>
        <v>50</v>
      </c>
      <c r="F45" s="41">
        <f ca="1">NSG_6_Day_Report!H6</f>
        <v>48</v>
      </c>
      <c r="G45" s="41">
        <f ca="1">NSG_6_Day_Report!I6</f>
        <v>48</v>
      </c>
      <c r="H45" s="14"/>
      <c r="I45" s="15"/>
    </row>
    <row r="46" spans="1:9" ht="15">
      <c r="A46" s="42" t="s">
        <v>299</v>
      </c>
      <c r="B46" s="41">
        <f ca="1">NSG_6_Day_Report!D19</f>
        <v>63.8</v>
      </c>
      <c r="C46" s="41">
        <f ca="1">NSG_6_Day_Report!E19</f>
        <v>58.25</v>
      </c>
      <c r="D46" s="41">
        <f ca="1">NSG_6_Day_Report!F19</f>
        <v>53.25</v>
      </c>
      <c r="E46" s="41">
        <f ca="1">NSG_6_Day_Report!G19</f>
        <v>51.25</v>
      </c>
      <c r="F46" s="41">
        <f ca="1">NSG_6_Day_Report!H19</f>
        <v>49.25</v>
      </c>
      <c r="G46" s="41">
        <f ca="1">NSG_6_Day_Report!I19</f>
        <v>49.25</v>
      </c>
      <c r="H46" s="14"/>
      <c r="I46" s="15"/>
    </row>
    <row r="47" spans="1:9" ht="15">
      <c r="A47" s="42" t="s">
        <v>108</v>
      </c>
      <c r="B47" s="41">
        <f>SUM(NSG_Supplies!P7:R7)/1000</f>
        <v>58.747999999999998</v>
      </c>
      <c r="C47" s="41">
        <f>SUM(NSG_Supplies!P8:R8)/1000</f>
        <v>49.743000000000002</v>
      </c>
      <c r="D47" s="41">
        <f>SUM(NSG_Supplies!P9:R9)/1000</f>
        <v>49.743000000000002</v>
      </c>
      <c r="E47" s="41">
        <f>SUM(NSG_Supplies!P10:R10)/1000</f>
        <v>49.743000000000002</v>
      </c>
      <c r="F47" s="41">
        <f>SUM(NSG_Supplies!P11:R11)/1000</f>
        <v>49.743000000000002</v>
      </c>
      <c r="G47" s="41">
        <f>SUM(NSG_Supplies!P12:R12)/1000</f>
        <v>49.743000000000002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18.847999999999999</v>
      </c>
      <c r="C50" s="41">
        <f>NSG_Supplies!S8/1000</f>
        <v>18.847999999999999</v>
      </c>
      <c r="D50" s="41">
        <f>NSG_Supplies!S9/1000</f>
        <v>18.847999999999999</v>
      </c>
      <c r="E50" s="41">
        <f>NSG_Supplies!S10/1000</f>
        <v>18.847999999999999</v>
      </c>
      <c r="F50" s="41">
        <f>NSG_Supplies!S11/1000</f>
        <v>18.847999999999999</v>
      </c>
      <c r="G50" s="41">
        <f>NSG_Supplies!S12/1000</f>
        <v>18.847999999999999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37035</v>
      </c>
      <c r="C52" s="91">
        <f t="shared" si="1"/>
        <v>37036</v>
      </c>
      <c r="D52" s="91">
        <f t="shared" si="1"/>
        <v>37037</v>
      </c>
      <c r="E52" s="91">
        <f t="shared" si="1"/>
        <v>37038</v>
      </c>
      <c r="F52" s="91">
        <f t="shared" si="1"/>
        <v>37039</v>
      </c>
      <c r="G52" s="91">
        <f t="shared" si="1"/>
        <v>37040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309</v>
      </c>
    </row>
    <row r="4" spans="1:8">
      <c r="A4" s="99"/>
      <c r="B4" s="1135" t="str">
        <f>Six_Day_Summary!A10</f>
        <v>Friday</v>
      </c>
      <c r="C4" s="1136" t="str">
        <f>Six_Day_Summary!A15</f>
        <v>Saturday</v>
      </c>
      <c r="D4" s="1136" t="str">
        <f>Six_Day_Summary!A20</f>
        <v>Sunday</v>
      </c>
      <c r="E4" s="1136" t="str">
        <f>Six_Day_Summary!A25</f>
        <v>Monday</v>
      </c>
      <c r="F4" s="1137" t="str">
        <f>Six_Day_Summary!A30</f>
        <v>Tuesday</v>
      </c>
      <c r="G4" s="100"/>
    </row>
    <row r="5" spans="1:8">
      <c r="A5" s="103" t="s">
        <v>310</v>
      </c>
      <c r="B5" s="1138">
        <f>Weather_Input!A6</f>
        <v>37036</v>
      </c>
      <c r="C5" s="1139">
        <f>Weather_Input!A7</f>
        <v>37037</v>
      </c>
      <c r="D5" s="1139">
        <f>Weather_Input!A8</f>
        <v>37038</v>
      </c>
      <c r="E5" s="1139">
        <f>Weather_Input!A9</f>
        <v>37039</v>
      </c>
      <c r="F5" s="1140">
        <f>Weather_Input!A10</f>
        <v>37040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56.11</v>
      </c>
      <c r="C6" s="1141">
        <f>PGL_Supplies!AC9/1000+PGL_Supplies!L9/1000-PGL_Requirements!O9/1000+C15-PGL_Requirements!T9/1000</f>
        <v>52.109000000000002</v>
      </c>
      <c r="D6" s="1141">
        <f>PGL_Supplies!AC10/1000+PGL_Supplies!L10/1000-PGL_Requirements!O10/1000+D15-PGL_Requirements!T10/1000</f>
        <v>52.109000000000002</v>
      </c>
      <c r="E6" s="1141">
        <f>PGL_Supplies!AC11/1000+PGL_Supplies!L11/1000-PGL_Requirements!O11/1000+E15-PGL_Requirements!T11/1000</f>
        <v>52.109000000000002</v>
      </c>
      <c r="F6" s="1142">
        <f>PGL_Supplies!AC12/1000+PGL_Supplies!L12/1000-PGL_Requirements!O12/1000+F15-PGL_Requirements!T12/1000</f>
        <v>52.109000000000002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780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Friday</v>
      </c>
      <c r="C21" s="1151" t="str">
        <f t="shared" si="0"/>
        <v>Saturday</v>
      </c>
      <c r="D21" s="1151" t="str">
        <f t="shared" si="0"/>
        <v>Sunday</v>
      </c>
      <c r="E21" s="1151" t="str">
        <f t="shared" si="0"/>
        <v>Monday</v>
      </c>
      <c r="F21" s="1152" t="str">
        <f t="shared" si="0"/>
        <v>Tuesday</v>
      </c>
      <c r="G21" s="100"/>
    </row>
    <row r="22" spans="1:7">
      <c r="A22" s="107" t="s">
        <v>310</v>
      </c>
      <c r="B22" s="1153">
        <f t="shared" si="0"/>
        <v>37036</v>
      </c>
      <c r="C22" s="1153">
        <f t="shared" si="0"/>
        <v>37037</v>
      </c>
      <c r="D22" s="1153">
        <f t="shared" si="0"/>
        <v>37038</v>
      </c>
      <c r="E22" s="1153">
        <f t="shared" si="0"/>
        <v>37039</v>
      </c>
      <c r="F22" s="1154">
        <f t="shared" si="0"/>
        <v>37040</v>
      </c>
      <c r="G22" s="100"/>
    </row>
    <row r="23" spans="1:7">
      <c r="A23" s="100" t="s">
        <v>311</v>
      </c>
      <c r="B23" s="1147">
        <f>NSG_Supplies!R8/1000+NSG_Supplies!F8/1000-NSG_Requirements!H8/1000</f>
        <v>28.492999999999999</v>
      </c>
      <c r="C23" s="1147">
        <f>NSG_Supplies!R9/1000+NSG_Supplies!F9/1000-NSG_Requirements!H9/1000</f>
        <v>28.492999999999999</v>
      </c>
      <c r="D23" s="1147">
        <f>NSG_Supplies!R10/1000+NSG_Supplies!F10/1000-NSG_Requirements!H10/1000</f>
        <v>28.492999999999999</v>
      </c>
      <c r="E23" s="1147">
        <f>NSG_Supplies!R12/1000+NSG_Supplies!F11/1000-NSG_Requirements!H11/1000</f>
        <v>28.492999999999999</v>
      </c>
      <c r="F23" s="1142">
        <f>NSG_Supplies!R12/1000+NSG_Supplies!F12/1000-NSG_Requirements!H12/1000</f>
        <v>28.492999999999999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7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380</v>
      </c>
      <c r="C1" s="907">
        <f>Weather_Input!A6</f>
        <v>37036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172.82900000000001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170.47300000000001</v>
      </c>
      <c r="D11" s="788"/>
      <c r="E11" s="1124"/>
      <c r="F11" s="434" t="s">
        <v>377</v>
      </c>
      <c r="G11" s="446">
        <f>G8+G10</f>
        <v>176.32900000000001</v>
      </c>
      <c r="H11" s="433"/>
      <c r="I11" s="435"/>
    </row>
    <row r="12" spans="1:11" ht="15.75" customHeight="1">
      <c r="B12" s="248" t="s">
        <v>779</v>
      </c>
      <c r="C12" s="153">
        <v>0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170.47300000000001</v>
      </c>
      <c r="D14" s="437"/>
      <c r="E14" s="439">
        <f>AVERAGE(C14/24)</f>
        <v>7.1030416666666669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156.32900000000001</v>
      </c>
      <c r="H15" s="437" t="s">
        <v>11</v>
      </c>
      <c r="I15" s="439">
        <f>AVERAGE(G15/24)</f>
        <v>6.5137083333333337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20</v>
      </c>
      <c r="H16" s="447" t="s">
        <v>11</v>
      </c>
      <c r="I16" s="439">
        <f>AVERAGE(G16/24)</f>
        <v>0.83333333333333337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1.5</v>
      </c>
      <c r="H25" s="429"/>
      <c r="I25" s="904">
        <f>AVERAGE(G25/24)</f>
        <v>6.25E-2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6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37036</v>
      </c>
      <c r="I1" s="930"/>
      <c r="J1" s="932"/>
      <c r="K1" s="932"/>
    </row>
    <row r="2" spans="1:22" ht="16.5" customHeight="1">
      <c r="A2" s="950" t="s">
        <v>679</v>
      </c>
      <c r="C2" s="1042">
        <v>371</v>
      </c>
      <c r="F2" s="1043">
        <v>368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57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-8.507000000000005</v>
      </c>
      <c r="N11" s="933"/>
      <c r="O11" s="958"/>
      <c r="U11" s="932"/>
      <c r="V11" s="946"/>
    </row>
    <row r="12" spans="1:22" ht="14.4" customHeight="1">
      <c r="A12" s="930" t="s">
        <v>742</v>
      </c>
      <c r="H12" s="952"/>
      <c r="U12" s="932"/>
      <c r="V12" s="952"/>
    </row>
    <row r="13" spans="1:22" ht="14.4" customHeight="1">
      <c r="A13" s="1045">
        <f>PGL_Supplies!Y8/1000</f>
        <v>170.47300000000001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375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440</v>
      </c>
      <c r="D18" s="1050"/>
      <c r="E18" s="1050"/>
      <c r="F18" s="1043">
        <v>806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28.492999999999999</v>
      </c>
      <c r="N19" s="1053"/>
    </row>
    <row r="20" spans="1:17" ht="17.25" customHeight="1">
      <c r="A20" s="952">
        <f>Billy_Sheet!G15</f>
        <v>156.32900000000001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9.4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285</v>
      </c>
      <c r="L26" s="930" t="s">
        <v>683</v>
      </c>
      <c r="M26" s="952">
        <f>NSG_Deliveries!C6/1000</f>
        <v>57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174.30200000000002</v>
      </c>
      <c r="L28" s="933" t="s">
        <v>734</v>
      </c>
      <c r="M28" s="958">
        <f>SUM(J2+K17+K19+H11+H9-M26)</f>
        <v>-8.507000000000005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37035</v>
      </c>
      <c r="G29" s="952">
        <f>PGL_Requirements!H7/1000</f>
        <v>19.22</v>
      </c>
      <c r="H29" s="931"/>
      <c r="J29" s="933" t="s">
        <v>687</v>
      </c>
      <c r="K29" s="952">
        <f>PGL_Supplies!AC8/1000+PGL_Supplies!L8/1000-PGL_Requirements!O8/1000</f>
        <v>56.11</v>
      </c>
    </row>
    <row r="30" spans="1:17" ht="10.5" customHeight="1">
      <c r="A30" s="935"/>
      <c r="B30" s="952"/>
      <c r="C30" s="933"/>
      <c r="D30" s="952"/>
      <c r="F30" s="1107">
        <f>PGL_Requirements!A8</f>
        <v>37036</v>
      </c>
      <c r="G30" s="952">
        <f>PGL_Requirements!H8/1000</f>
        <v>20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-54.587999999999965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450</v>
      </c>
      <c r="F38" s="1048">
        <v>754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344.30200000000002</v>
      </c>
      <c r="B40" s="946"/>
      <c r="C40" s="945"/>
      <c r="D40" s="946"/>
      <c r="E40" s="946"/>
      <c r="F40" s="1058"/>
      <c r="G40" s="1058">
        <f>SUM(G30:G35)</f>
        <v>170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174.30200000000002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371.5</v>
      </c>
      <c r="E45" s="1063"/>
      <c r="F45" s="1064">
        <v>6.7000000000000004E-2</v>
      </c>
      <c r="G45" s="1065">
        <f>(C45-D45)*F45</f>
        <v>2.5795000000000003</v>
      </c>
      <c r="H45" s="1065">
        <f>(D45-B45)*F45</f>
        <v>8.1405000000000012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373</v>
      </c>
      <c r="E47" s="1063"/>
      <c r="F47" s="1064">
        <v>0.14099999999999999</v>
      </c>
      <c r="G47" s="1065">
        <f>(C47-D47)*F47</f>
        <v>5.2169999999999996</v>
      </c>
      <c r="H47" s="1065">
        <f>(D47-B47)*F47</f>
        <v>17.343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445</v>
      </c>
      <c r="E48" s="1063"/>
      <c r="F48" s="1064">
        <v>0.161</v>
      </c>
      <c r="G48" s="1065">
        <f>(C48-D48)*F48</f>
        <v>49.105000000000004</v>
      </c>
      <c r="H48" s="1065">
        <f>(D48-B48)*F48</f>
        <v>25.76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56.901500000000006</v>
      </c>
      <c r="H49" s="1065">
        <f>SUM(H45:H48)</f>
        <v>51.243499999999997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37035</v>
      </c>
      <c r="B5" s="11">
        <v>59</v>
      </c>
      <c r="C5" s="49">
        <v>46</v>
      </c>
      <c r="D5" s="49">
        <v>6</v>
      </c>
      <c r="E5" s="11" t="s">
        <v>796</v>
      </c>
      <c r="F5" s="11">
        <v>122</v>
      </c>
      <c r="G5" s="11">
        <v>6529</v>
      </c>
      <c r="H5" s="11">
        <v>14</v>
      </c>
      <c r="I5" s="909" t="s">
        <v>833</v>
      </c>
      <c r="J5" s="909" t="s">
        <v>834</v>
      </c>
      <c r="K5" s="11">
        <v>5</v>
      </c>
      <c r="L5" s="11">
        <v>1</v>
      </c>
      <c r="N5" s="15" t="str">
        <f>I5&amp;" "&amp;I5</f>
        <v xml:space="preserve">  TODAY - A BRIEF SHOWER OR TWO; PLENTY OF CLOUDS AND COOL.   TODAY - A BRIEF SHOWER OR TWO; PLENTY OF CLOUDS AND COOL.</v>
      </c>
      <c r="AE5" s="15">
        <v>1</v>
      </c>
      <c r="AH5" s="15" t="s">
        <v>34</v>
      </c>
    </row>
    <row r="6" spans="1:34" ht="16.5" customHeight="1">
      <c r="A6" s="88">
        <f>A5+1</f>
        <v>37036</v>
      </c>
      <c r="B6" s="11">
        <v>61</v>
      </c>
      <c r="C6" s="49">
        <v>44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9" t="s">
        <v>835</v>
      </c>
      <c r="J6" s="909" t="s">
        <v>836</v>
      </c>
      <c r="K6" s="11">
        <v>5</v>
      </c>
      <c r="L6" s="11" t="s">
        <v>625</v>
      </c>
      <c r="N6" s="15" t="str">
        <f>I6&amp;" "&amp;J6</f>
        <v xml:space="preserve">  RATHER CLOUDY; CONTINUED COOL WITH NOTHING MORE THAN A BRIEF    SHOWER OR TWO.</v>
      </c>
      <c r="AE6" s="15">
        <v>1</v>
      </c>
      <c r="AH6" s="15" t="s">
        <v>35</v>
      </c>
    </row>
    <row r="7" spans="1:34" ht="16.5" customHeight="1">
      <c r="A7" s="88">
        <f>A6+1</f>
        <v>37037</v>
      </c>
      <c r="B7" s="11">
        <v>60</v>
      </c>
      <c r="C7" s="49">
        <v>45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837</v>
      </c>
      <c r="J7" s="909" t="s">
        <v>838</v>
      </c>
      <c r="K7" s="11">
        <v>5</v>
      </c>
      <c r="L7" s="11" t="s">
        <v>22</v>
      </c>
      <c r="N7" s="15" t="str">
        <f>I7&amp;" "&amp;J7</f>
        <v xml:space="preserve">  CLOUDY MOST OF THE TIME WITH NOTHING MORE THAN A BRIEF SHOWER    OR TWO.</v>
      </c>
    </row>
    <row r="8" spans="1:34" ht="16.5" customHeight="1">
      <c r="A8" s="88">
        <f>A7+1</f>
        <v>37038</v>
      </c>
      <c r="B8" s="11">
        <v>65</v>
      </c>
      <c r="C8" s="49">
        <v>48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839</v>
      </c>
      <c r="J8" s="909" t="s">
        <v>11</v>
      </c>
      <c r="K8" s="11">
        <v>5</v>
      </c>
      <c r="L8" s="11"/>
      <c r="N8" s="15" t="str">
        <f>I8&amp;" "&amp;J8</f>
        <v xml:space="preserve">  IT MAY SHOWER WITH PERIODS OF CLOUDS AND SUNSHINE.  </v>
      </c>
    </row>
    <row r="9" spans="1:34" ht="16.5" customHeight="1">
      <c r="A9" s="88">
        <f>A8+1</f>
        <v>37039</v>
      </c>
      <c r="B9" s="11">
        <v>69</v>
      </c>
      <c r="C9" s="49">
        <v>52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840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SUNSHINE AND SOME CLOUDS.  </v>
      </c>
    </row>
    <row r="10" spans="1:34" ht="16.5" customHeight="1">
      <c r="A10" s="88">
        <f>A9+1</f>
        <v>37040</v>
      </c>
      <c r="B10" s="11">
        <v>69</v>
      </c>
      <c r="C10" s="49">
        <v>52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840</v>
      </c>
      <c r="J10" s="909" t="s">
        <v>11</v>
      </c>
      <c r="K10" s="11">
        <v>3</v>
      </c>
      <c r="L10" s="11" t="s">
        <v>413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37035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151.785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2" thickBot="1">
      <c r="A21" s="171" t="s">
        <v>748</v>
      </c>
      <c r="C21" s="175">
        <f>PGL_Requirements!J7/1000</f>
        <v>0.1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151.685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21.61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77.147999999999996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55.537999999999997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9.4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233.529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739</v>
      </c>
      <c r="B44" s="209" t="s">
        <v>11</v>
      </c>
      <c r="C44" s="225">
        <f>PGL_Requirements!R7/1000</f>
        <v>0.68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59</v>
      </c>
      <c r="C45" s="184"/>
      <c r="D45" s="60" t="s">
        <v>622</v>
      </c>
      <c r="E45" s="807">
        <f>PGL_Supplies!T7/1000</f>
        <v>7</v>
      </c>
      <c r="F45" s="170"/>
    </row>
    <row r="46" spans="1:13" ht="15">
      <c r="A46" s="171" t="s">
        <v>613</v>
      </c>
      <c r="B46" s="238">
        <f>Weather_Input!C5</f>
        <v>46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6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6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37035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38.747999999999998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37.350999999999999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8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355</v>
      </c>
      <c r="B1" s="51">
        <f>Weather_Input!A5</f>
        <v>37035</v>
      </c>
      <c r="C1" s="4"/>
    </row>
    <row r="2" spans="1:19">
      <c r="A2" s="111" t="s">
        <v>356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192202</v>
      </c>
      <c r="O6" s="203">
        <v>0</v>
      </c>
      <c r="P6" s="203">
        <v>48782408</v>
      </c>
      <c r="Q6" s="203">
        <v>15045098</v>
      </c>
      <c r="R6" s="203">
        <v>33737310</v>
      </c>
      <c r="S6" s="203">
        <v>0</v>
      </c>
    </row>
    <row r="7" spans="1:19">
      <c r="A7" s="4">
        <f>B1</f>
        <v>37035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168285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48950693</v>
      </c>
      <c r="Q7">
        <f>IF(O7&gt;0,Q6+O7,Q6)</f>
        <v>15045098</v>
      </c>
      <c r="R7">
        <f>IF(P7&gt;Q7,P7-Q7,0)</f>
        <v>33905595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37035</v>
      </c>
      <c r="B5" s="1">
        <f>(Weather_Input!B5+Weather_Input!C5)/2</f>
        <v>52.5</v>
      </c>
      <c r="C5" s="910">
        <v>313000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37036</v>
      </c>
      <c r="B6" s="929">
        <f>(Weather_Input!B6+Weather_Input!C6)/2</f>
        <v>52.5</v>
      </c>
      <c r="C6" s="910">
        <v>285000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37037</v>
      </c>
      <c r="B7" s="929">
        <f>(Weather_Input!B7+Weather_Input!C7)/2</f>
        <v>52.5</v>
      </c>
      <c r="C7" s="910">
        <v>255000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37038</v>
      </c>
      <c r="B8" s="929">
        <f>(Weather_Input!B8+Weather_Input!C8)/2</f>
        <v>56.5</v>
      </c>
      <c r="C8" s="910">
        <v>245000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37039</v>
      </c>
      <c r="B9" s="929">
        <f>(Weather_Input!B9+Weather_Input!C9)/2</f>
        <v>60.5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37040</v>
      </c>
      <c r="B10" s="929">
        <f>(Weather_Input!B10+Weather_Input!C10)/2</f>
        <v>60.5</v>
      </c>
      <c r="C10" s="910">
        <v>240000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37035</v>
      </c>
      <c r="B5" s="1">
        <f>(Weather_Input!B5+Weather_Input!C5)/2</f>
        <v>52.5</v>
      </c>
      <c r="C5" s="910">
        <v>63800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37036</v>
      </c>
      <c r="B6" s="929">
        <f>(Weather_Input!B6+Weather_Input!C6)/2</f>
        <v>52.5</v>
      </c>
      <c r="C6" s="910">
        <v>57000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37037</v>
      </c>
      <c r="B7" s="929">
        <f>(Weather_Input!B7+Weather_Input!C7)/2</f>
        <v>52.5</v>
      </c>
      <c r="C7" s="910">
        <v>52000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37038</v>
      </c>
      <c r="B8" s="929">
        <f>(Weather_Input!B8+Weather_Input!C8)/2</f>
        <v>56.5</v>
      </c>
      <c r="C8" s="910">
        <v>50000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37039</v>
      </c>
      <c r="B9" s="929">
        <f>(Weather_Input!B9+Weather_Input!C9)/2</f>
        <v>60.5</v>
      </c>
      <c r="C9" s="910">
        <v>48000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37040</v>
      </c>
      <c r="B10" s="929">
        <f>(Weather_Input!B10+Weather_Input!C10)/2</f>
        <v>60.5</v>
      </c>
      <c r="C10" s="910">
        <v>48000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7" t="s">
        <v>823</v>
      </c>
      <c r="W4" s="1298"/>
      <c r="X4" s="1299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3.2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824</v>
      </c>
      <c r="W5" s="56" t="s">
        <v>827</v>
      </c>
      <c r="X5" s="3" t="s">
        <v>828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3.2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0" t="s">
        <v>825</v>
      </c>
      <c r="W6" s="1300" t="s">
        <v>826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3.2">
      <c r="A7" s="831">
        <f>Weather_Input!A5</f>
        <v>37035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19220</v>
      </c>
      <c r="I7" s="623">
        <v>0</v>
      </c>
      <c r="J7" s="623">
        <v>100</v>
      </c>
      <c r="K7" s="624">
        <v>9400</v>
      </c>
      <c r="L7" s="623">
        <v>0</v>
      </c>
      <c r="M7" s="624">
        <v>0</v>
      </c>
      <c r="N7" s="624">
        <v>0</v>
      </c>
      <c r="O7" s="625">
        <v>21610</v>
      </c>
      <c r="P7" s="624">
        <v>150000</v>
      </c>
      <c r="Q7" s="626">
        <f t="shared" ref="Q7:Q12" si="0">P7*0.015</f>
        <v>2250</v>
      </c>
      <c r="R7" s="624">
        <v>680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37035</v>
      </c>
    </row>
    <row r="8" spans="1:89" s="1" customFormat="1" ht="13.2">
      <c r="A8" s="831">
        <f>A7+1</f>
        <v>37036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20000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680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37036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37037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680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37037</v>
      </c>
      <c r="AN9" s="623"/>
    </row>
    <row r="10" spans="1:89" s="1" customFormat="1" ht="13.2">
      <c r="A10" s="831">
        <f>A9+1</f>
        <v>37038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680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37038</v>
      </c>
    </row>
    <row r="11" spans="1:89" s="1" customFormat="1" ht="13.2">
      <c r="A11" s="831">
        <f>A10+1</f>
        <v>37039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680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37039</v>
      </c>
    </row>
    <row r="12" spans="1:89" s="1" customFormat="1" ht="13.2">
      <c r="A12" s="831">
        <f>A11+1</f>
        <v>37040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680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37040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37035</v>
      </c>
      <c r="B7" s="626">
        <v>0</v>
      </c>
      <c r="C7" s="627">
        <v>0</v>
      </c>
      <c r="D7" s="626">
        <v>0</v>
      </c>
      <c r="E7" s="626">
        <v>14000</v>
      </c>
      <c r="F7" s="626">
        <v>0</v>
      </c>
      <c r="G7" s="919">
        <v>300</v>
      </c>
      <c r="H7" s="624">
        <v>1000</v>
      </c>
      <c r="I7" s="624">
        <v>15000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177252</v>
      </c>
      <c r="W7" s="625">
        <v>0</v>
      </c>
      <c r="X7" s="623">
        <v>0</v>
      </c>
      <c r="Y7" s="922">
        <v>151785</v>
      </c>
      <c r="Z7" s="625">
        <v>40200</v>
      </c>
      <c r="AA7" s="1">
        <v>0</v>
      </c>
      <c r="AB7" s="623">
        <v>233529</v>
      </c>
      <c r="AC7" s="623">
        <v>77148</v>
      </c>
      <c r="AD7" s="623">
        <v>16500</v>
      </c>
      <c r="AE7" s="922">
        <v>0</v>
      </c>
      <c r="AF7" s="51">
        <f>Weather_Input!A5</f>
        <v>37035</v>
      </c>
      <c r="AI7" s="623"/>
      <c r="AJ7" s="623"/>
      <c r="AK7" s="623"/>
    </row>
    <row r="8" spans="1:37">
      <c r="A8" s="831">
        <f>A7+1</f>
        <v>37036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177252</v>
      </c>
      <c r="W8" s="625">
        <v>0</v>
      </c>
      <c r="X8" s="623">
        <v>0</v>
      </c>
      <c r="Y8" s="922">
        <v>170473</v>
      </c>
      <c r="Z8" s="625">
        <v>40200</v>
      </c>
      <c r="AA8" s="1">
        <v>0</v>
      </c>
      <c r="AB8" s="623">
        <v>172829</v>
      </c>
      <c r="AC8" s="623">
        <v>56110</v>
      </c>
      <c r="AD8" s="623">
        <v>1500</v>
      </c>
      <c r="AE8" s="922">
        <v>0</v>
      </c>
      <c r="AF8" s="831">
        <f>AF7+1</f>
        <v>37036</v>
      </c>
      <c r="AI8" s="623"/>
      <c r="AJ8" s="623"/>
      <c r="AK8" s="623"/>
    </row>
    <row r="9" spans="1:37" s="623" customFormat="1">
      <c r="A9" s="831">
        <f>A8+1</f>
        <v>37037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177252</v>
      </c>
      <c r="W9" s="625">
        <v>0</v>
      </c>
      <c r="X9" s="623">
        <v>0</v>
      </c>
      <c r="Y9" s="922">
        <v>170473</v>
      </c>
      <c r="Z9" s="625">
        <v>40200</v>
      </c>
      <c r="AA9" s="1">
        <v>0</v>
      </c>
      <c r="AB9" s="623">
        <v>172829</v>
      </c>
      <c r="AC9" s="623">
        <v>52109</v>
      </c>
      <c r="AD9" s="623">
        <v>4000</v>
      </c>
      <c r="AE9" s="922">
        <v>0</v>
      </c>
      <c r="AF9" s="831">
        <f>AF8+1</f>
        <v>37037</v>
      </c>
    </row>
    <row r="10" spans="1:37">
      <c r="A10" s="831">
        <f>A9+1</f>
        <v>37038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177252</v>
      </c>
      <c r="W10" s="625">
        <v>0</v>
      </c>
      <c r="X10" s="623">
        <v>0</v>
      </c>
      <c r="Y10" s="922">
        <v>170473</v>
      </c>
      <c r="Z10" s="625">
        <v>40200</v>
      </c>
      <c r="AA10" s="1">
        <v>0</v>
      </c>
      <c r="AB10" s="623">
        <v>172829</v>
      </c>
      <c r="AC10" s="623">
        <v>52109</v>
      </c>
      <c r="AD10" s="623">
        <v>4000</v>
      </c>
      <c r="AE10" s="922">
        <v>0</v>
      </c>
      <c r="AF10" s="831">
        <f>AF9+1</f>
        <v>37038</v>
      </c>
      <c r="AI10" s="623"/>
      <c r="AJ10" s="623"/>
      <c r="AK10" s="623"/>
    </row>
    <row r="11" spans="1:37">
      <c r="A11" s="831">
        <f>A10+1</f>
        <v>37039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177252</v>
      </c>
      <c r="W11" s="625">
        <v>0</v>
      </c>
      <c r="X11" s="623">
        <v>0</v>
      </c>
      <c r="Y11" s="922">
        <v>170473</v>
      </c>
      <c r="Z11" s="625">
        <v>40200</v>
      </c>
      <c r="AA11" s="1">
        <v>0</v>
      </c>
      <c r="AB11" s="623">
        <v>172829</v>
      </c>
      <c r="AC11" s="623">
        <v>52109</v>
      </c>
      <c r="AD11" s="623">
        <v>4000</v>
      </c>
      <c r="AE11" s="922">
        <v>0</v>
      </c>
      <c r="AF11" s="831">
        <f>AF10+1</f>
        <v>37039</v>
      </c>
    </row>
    <row r="12" spans="1:37">
      <c r="A12" s="831">
        <f>A11+1</f>
        <v>37040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177252</v>
      </c>
      <c r="W12" s="625">
        <v>0</v>
      </c>
      <c r="X12" s="623">
        <v>0</v>
      </c>
      <c r="Y12" s="922">
        <v>170473</v>
      </c>
      <c r="Z12" s="625">
        <v>40200</v>
      </c>
      <c r="AA12" s="1">
        <v>0</v>
      </c>
      <c r="AB12" s="623">
        <v>172829</v>
      </c>
      <c r="AC12" s="623">
        <v>52109</v>
      </c>
      <c r="AD12" s="623">
        <v>4000</v>
      </c>
      <c r="AE12" s="922">
        <v>0</v>
      </c>
      <c r="AF12" s="831">
        <f>AF11+1</f>
        <v>37040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3.2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3.2">
      <c r="A7" s="832">
        <f>Weather_Input!A5</f>
        <v>37035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37035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37036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37036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37037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37037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37038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37038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37039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37039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37040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37040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37035</v>
      </c>
      <c r="B7" s="626">
        <v>0</v>
      </c>
      <c r="C7" s="627">
        <v>0</v>
      </c>
      <c r="D7" s="626">
        <v>0</v>
      </c>
      <c r="E7" s="626">
        <v>2500</v>
      </c>
      <c r="F7" s="626">
        <v>2550</v>
      </c>
      <c r="G7" s="626">
        <f>(R7+S7+C7+PGL_Requirements!Y7+PGL_Requirements!Z7-NSG_Requirements!C7)*0.05</f>
        <v>2879.8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38748</v>
      </c>
      <c r="S7" s="626">
        <v>18848</v>
      </c>
      <c r="T7" s="626">
        <v>0</v>
      </c>
      <c r="U7" s="626">
        <v>0</v>
      </c>
      <c r="V7" s="831">
        <f>Weather_Input!A5</f>
        <v>37035</v>
      </c>
      <c r="W7" s="623"/>
      <c r="X7" s="623"/>
    </row>
    <row r="8" spans="1:24">
      <c r="A8" s="831">
        <f>A7+1</f>
        <v>37036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2429.5500000000002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29743</v>
      </c>
      <c r="S8" s="626">
        <v>18848</v>
      </c>
      <c r="T8" s="626">
        <v>0</v>
      </c>
      <c r="U8" s="626">
        <v>0</v>
      </c>
      <c r="V8" s="831">
        <f>V7+1</f>
        <v>37036</v>
      </c>
      <c r="W8" s="623"/>
      <c r="X8" s="623"/>
    </row>
    <row r="9" spans="1:24">
      <c r="A9" s="831">
        <f>A8+1</f>
        <v>37037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2429.5500000000002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29743</v>
      </c>
      <c r="S9" s="626">
        <v>18848</v>
      </c>
      <c r="T9" s="626">
        <v>0</v>
      </c>
      <c r="U9" s="626">
        <v>0</v>
      </c>
      <c r="V9" s="831">
        <f>V8+1</f>
        <v>37037</v>
      </c>
      <c r="W9" s="623"/>
      <c r="X9" s="623"/>
    </row>
    <row r="10" spans="1:24">
      <c r="A10" s="831">
        <f>A9+1</f>
        <v>37038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2429.5500000000002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29743</v>
      </c>
      <c r="S10" s="626">
        <v>18848</v>
      </c>
      <c r="T10" s="626">
        <v>0</v>
      </c>
      <c r="U10" s="626">
        <v>0</v>
      </c>
      <c r="V10" s="831">
        <f>V9+1</f>
        <v>37038</v>
      </c>
      <c r="W10" s="623"/>
      <c r="X10" s="623"/>
    </row>
    <row r="11" spans="1:24">
      <c r="A11" s="831">
        <f>A10+1</f>
        <v>37039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2429.5500000000002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29743</v>
      </c>
      <c r="S11" s="626">
        <v>18848</v>
      </c>
      <c r="T11" s="626">
        <v>0</v>
      </c>
      <c r="U11" s="626">
        <v>0</v>
      </c>
      <c r="V11" s="831">
        <f>V10+1</f>
        <v>37039</v>
      </c>
      <c r="W11" s="623"/>
      <c r="X11" s="623"/>
    </row>
    <row r="12" spans="1:24">
      <c r="A12" s="831">
        <f>A11+1</f>
        <v>37040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2429.5500000000002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29743</v>
      </c>
      <c r="S12" s="626">
        <v>18848</v>
      </c>
      <c r="T12" s="626">
        <v>0</v>
      </c>
      <c r="U12" s="626">
        <v>0</v>
      </c>
      <c r="V12" s="831">
        <f>V11+1</f>
        <v>37040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THU</v>
      </c>
      <c r="I1" s="836">
        <f>D4</f>
        <v>37035</v>
      </c>
    </row>
    <row r="2" spans="1:256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THU</v>
      </c>
      <c r="E3" s="841" t="str">
        <f t="shared" si="0"/>
        <v>FRI</v>
      </c>
      <c r="F3" s="841" t="str">
        <f t="shared" si="0"/>
        <v>SAT</v>
      </c>
      <c r="G3" s="841" t="str">
        <f t="shared" si="0"/>
        <v>SUN</v>
      </c>
      <c r="H3" s="841" t="str">
        <f t="shared" si="0"/>
        <v>MON</v>
      </c>
      <c r="I3" s="842" t="str">
        <f t="shared" si="0"/>
        <v>TUE</v>
      </c>
    </row>
    <row r="4" spans="1:256" ht="16.2" thickBot="1">
      <c r="A4" s="843"/>
      <c r="B4" s="844"/>
      <c r="C4" s="844"/>
      <c r="D4" s="465">
        <f>Weather_Input!A5</f>
        <v>37035</v>
      </c>
      <c r="E4" s="465">
        <f>Weather_Input!A6</f>
        <v>37036</v>
      </c>
      <c r="F4" s="465">
        <f>Weather_Input!A7</f>
        <v>37037</v>
      </c>
      <c r="G4" s="465">
        <f>Weather_Input!A8</f>
        <v>37038</v>
      </c>
      <c r="H4" s="465">
        <f>Weather_Input!A9</f>
        <v>37039</v>
      </c>
      <c r="I4" s="466">
        <f>Weather_Input!A10</f>
        <v>37040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59/46/53</v>
      </c>
      <c r="E5" s="467" t="str">
        <f>TEXT(Weather_Input!B6,"0")&amp;"/"&amp;TEXT(Weather_Input!C6,"0") &amp; "/" &amp; TEXT((Weather_Input!B6+Weather_Input!C6)/2,"0")</f>
        <v>61/44/53</v>
      </c>
      <c r="F5" s="467" t="str">
        <f>TEXT(Weather_Input!B7,"0")&amp;"/"&amp;TEXT(Weather_Input!C7,"0") &amp; "/" &amp; TEXT((Weather_Input!B7+Weather_Input!C7)/2,"0")</f>
        <v>60/45/53</v>
      </c>
      <c r="G5" s="467" t="str">
        <f>TEXT(Weather_Input!B8,"0")&amp;"/"&amp;TEXT(Weather_Input!C8,"0") &amp; "/" &amp; TEXT((Weather_Input!B8+Weather_Input!C8)/2,"0")</f>
        <v>65/48/57</v>
      </c>
      <c r="H5" s="467" t="str">
        <f>TEXT(Weather_Input!B9,"0")&amp;"/"&amp;TEXT(Weather_Input!C9,"0") &amp; "/" &amp; TEXT((Weather_Input!B9+Weather_Input!C9)/2,"0")</f>
        <v>69/52/61</v>
      </c>
      <c r="I5" s="468" t="str">
        <f>TEXT(Weather_Input!B10,"0")&amp;"/"&amp;TEXT(Weather_Input!C10,"0") &amp; "/" &amp; TEXT((Weather_Input!B10+Weather_Input!C10)/2,"0")</f>
        <v>69/52/61</v>
      </c>
    </row>
    <row r="6" spans="1:256">
      <c r="A6" s="850" t="s">
        <v>138</v>
      </c>
      <c r="B6" s="838"/>
      <c r="C6" s="838"/>
      <c r="D6" s="467">
        <f>PGL_Deliveries!C5/1000</f>
        <v>313</v>
      </c>
      <c r="E6" s="467">
        <f>PGL_Deliveries!C6/1000</f>
        <v>285</v>
      </c>
      <c r="F6" s="467">
        <f>PGL_Deliveries!C7/1000</f>
        <v>255</v>
      </c>
      <c r="G6" s="467">
        <f>PGL_Deliveries!C8/1000</f>
        <v>245</v>
      </c>
      <c r="H6" s="467">
        <f>PGL_Deliveries!C9/1000</f>
        <v>240</v>
      </c>
      <c r="I6" s="468">
        <f>PGL_Deliveries!C10/1000</f>
        <v>240</v>
      </c>
    </row>
    <row r="7" spans="1:256">
      <c r="A7" s="850" t="s">
        <v>566</v>
      </c>
      <c r="B7" s="838" t="s">
        <v>415</v>
      </c>
      <c r="C7" s="838"/>
      <c r="D7" s="467">
        <f>PGL_Requirements!H7/1000</f>
        <v>19.22</v>
      </c>
      <c r="E7" s="467">
        <f>PGL_Requirements!H8/1000</f>
        <v>20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787</v>
      </c>
      <c r="B8" s="838"/>
      <c r="C8" s="838"/>
      <c r="D8" s="467">
        <f>PGL_Requirements!I7/1000+PGL_Requirements!K7/1000</f>
        <v>9.4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735</v>
      </c>
      <c r="D15" s="467">
        <f>PGL_Requirements!R7/1000</f>
        <v>0.68</v>
      </c>
      <c r="E15" s="467">
        <f>PGL_Requirements!R8/1000</f>
        <v>0.68</v>
      </c>
      <c r="F15" s="467">
        <f>PGL_Requirements!R9/1000</f>
        <v>0.68</v>
      </c>
      <c r="G15" s="467">
        <f>PGL_Requirements!R10/1000</f>
        <v>0.68</v>
      </c>
      <c r="H15" s="467">
        <f>PGL_Requirements!R11/1000</f>
        <v>0.68</v>
      </c>
      <c r="I15" s="468">
        <f>PGL_Requirements!R12/1000</f>
        <v>0.68</v>
      </c>
    </row>
    <row r="16" spans="1:256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140</v>
      </c>
      <c r="C19" s="838" t="s">
        <v>90</v>
      </c>
      <c r="D19" s="467">
        <f>PGL_Requirements!O7/1000</f>
        <v>21.61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148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149</v>
      </c>
      <c r="B25" s="838" t="s">
        <v>752</v>
      </c>
      <c r="C25" s="838"/>
      <c r="D25" s="467">
        <f>PGL_Requirements!J7/1000</f>
        <v>0.1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95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150</v>
      </c>
      <c r="B30" s="856"/>
      <c r="C30" s="856"/>
      <c r="D30" s="471">
        <f t="shared" ref="D30:I30" si="1">SUM(D6:D29)</f>
        <v>556.46</v>
      </c>
      <c r="E30" s="471">
        <f t="shared" si="1"/>
        <v>498.13</v>
      </c>
      <c r="F30" s="471">
        <f t="shared" si="1"/>
        <v>448.13</v>
      </c>
      <c r="G30" s="471">
        <f t="shared" si="1"/>
        <v>438.13</v>
      </c>
      <c r="H30" s="471">
        <f t="shared" si="1"/>
        <v>433.13</v>
      </c>
      <c r="I30" s="1169">
        <f t="shared" si="1"/>
        <v>433.13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140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620</v>
      </c>
      <c r="B43" s="838" t="s">
        <v>415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762</v>
      </c>
      <c r="B47" s="838" t="s">
        <v>741</v>
      </c>
      <c r="C47" s="838"/>
      <c r="D47" s="467">
        <f>PGL_Supplies!Y7/1000</f>
        <v>151.785</v>
      </c>
      <c r="E47" s="467">
        <f>PGL_Supplies!Y8/1000</f>
        <v>170.47300000000001</v>
      </c>
      <c r="F47" s="467">
        <f>PGL_Supplies!Y9/1000</f>
        <v>170.47300000000001</v>
      </c>
      <c r="G47" s="467">
        <f>PGL_Supplies!Y10/1000</f>
        <v>170.47300000000001</v>
      </c>
      <c r="H47" s="467">
        <f>PGL_Supplies!Y11/1000</f>
        <v>170.47300000000001</v>
      </c>
      <c r="I47" s="468">
        <f>PGL_Supplies!Y12/1000</f>
        <v>170.47300000000001</v>
      </c>
    </row>
    <row r="48" spans="1:9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415</v>
      </c>
      <c r="C50" s="851"/>
      <c r="D50" s="467">
        <f>PGL_Supplies!AB7/1000</f>
        <v>233.529</v>
      </c>
      <c r="E50" s="467">
        <f>PGL_Supplies!AB8/1000</f>
        <v>172.82900000000001</v>
      </c>
      <c r="F50" s="467">
        <f>PGL_Supplies!AB9/1000</f>
        <v>172.82900000000001</v>
      </c>
      <c r="G50" s="467">
        <f>PGL_Supplies!AB10/1000</f>
        <v>172.82900000000001</v>
      </c>
      <c r="H50" s="467">
        <f>PGL_Supplies!AB11/1000</f>
        <v>172.82900000000001</v>
      </c>
      <c r="I50" s="468">
        <f>PGL_Supplies!AB12/1000</f>
        <v>172.82900000000001</v>
      </c>
    </row>
    <row r="51" spans="1:10">
      <c r="A51" s="850"/>
      <c r="B51" s="838" t="s">
        <v>140</v>
      </c>
      <c r="C51" s="838"/>
      <c r="D51" s="467">
        <f>PGL_Supplies!AC7/1000</f>
        <v>77.147999999999996</v>
      </c>
      <c r="E51" s="467">
        <f>PGL_Supplies!AC8/1000</f>
        <v>56.11</v>
      </c>
      <c r="F51" s="467">
        <f>PGL_Supplies!AC9/1000</f>
        <v>52.109000000000002</v>
      </c>
      <c r="G51" s="467">
        <f>PGL_Supplies!AC10/1000</f>
        <v>52.109000000000002</v>
      </c>
      <c r="H51" s="467">
        <f>PGL_Supplies!AC11/1000</f>
        <v>52.109000000000002</v>
      </c>
      <c r="I51" s="468">
        <f>PGL_Supplies!AC12/1000</f>
        <v>52.109000000000002</v>
      </c>
    </row>
    <row r="52" spans="1:10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1.5</v>
      </c>
      <c r="F52" s="467">
        <f>PGL_Supplies!AD9/1000</f>
        <v>4</v>
      </c>
      <c r="G52" s="467">
        <f>PGL_Supplies!AD10/1000</f>
        <v>4</v>
      </c>
      <c r="H52" s="467">
        <f>PGL_Supplies!AD11/1000</f>
        <v>4</v>
      </c>
      <c r="I52" s="468">
        <f>PGL_Supplies!AD12/1000</f>
        <v>4</v>
      </c>
    </row>
    <row r="53" spans="1:10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415</v>
      </c>
      <c r="C59" s="838"/>
      <c r="D59" s="467">
        <f>PGL_Supplies!E7/1000</f>
        <v>14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141</v>
      </c>
      <c r="C60" s="866"/>
      <c r="D60" s="469">
        <f>PGL_Supplies!G7/1000</f>
        <v>0.3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159</v>
      </c>
      <c r="B61" s="869"/>
      <c r="C61" s="869"/>
      <c r="D61" s="477">
        <f t="shared" ref="D61:I61" si="2">SUM(D33:D60)</f>
        <v>556.46199999999999</v>
      </c>
      <c r="E61" s="477">
        <f t="shared" si="2"/>
        <v>464.11200000000002</v>
      </c>
      <c r="F61" s="477">
        <f t="shared" si="2"/>
        <v>455.61099999999999</v>
      </c>
      <c r="G61" s="477">
        <f t="shared" si="2"/>
        <v>455.61099999999999</v>
      </c>
      <c r="H61" s="477">
        <f t="shared" si="2"/>
        <v>455.61099999999999</v>
      </c>
      <c r="I61" s="1171">
        <f t="shared" si="2"/>
        <v>455.61099999999999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1.9999999999527063E-3</v>
      </c>
      <c r="E62" s="478">
        <f t="shared" si="3"/>
        <v>0</v>
      </c>
      <c r="F62" s="478">
        <f t="shared" si="3"/>
        <v>7.4809999999999945</v>
      </c>
      <c r="G62" s="478">
        <f t="shared" si="3"/>
        <v>17.480999999999995</v>
      </c>
      <c r="H62" s="478">
        <f t="shared" si="3"/>
        <v>22.480999999999995</v>
      </c>
      <c r="I62" s="1172">
        <f t="shared" si="3"/>
        <v>22.480999999999995</v>
      </c>
    </row>
    <row r="63" spans="1:10" ht="15.6" thickBot="1">
      <c r="A63" s="872" t="s">
        <v>161</v>
      </c>
      <c r="B63" s="856"/>
      <c r="C63" s="873"/>
      <c r="D63" s="479">
        <f t="shared" ref="D63:I63" si="4">IF(D30-D61&lt;0,0,D30-D61)</f>
        <v>0</v>
      </c>
      <c r="E63" s="479">
        <f t="shared" si="4"/>
        <v>34.017999999999972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766</v>
      </c>
      <c r="B64" s="1161"/>
      <c r="C64" s="1161"/>
      <c r="D64" s="1162">
        <f>PGL_Supplies!V7/1000</f>
        <v>177.25200000000001</v>
      </c>
      <c r="E64" s="1162">
        <f>PGL_Supplies!V8/1000</f>
        <v>177.25200000000001</v>
      </c>
      <c r="F64" s="1162">
        <f>PGL_Supplies!V9/1000</f>
        <v>177.25200000000001</v>
      </c>
      <c r="G64" s="1162">
        <f>PGL_Supplies!V10/1000</f>
        <v>177.25200000000001</v>
      </c>
      <c r="H64" s="1162">
        <f>PGL_Supplies!V11/1000</f>
        <v>177.25200000000001</v>
      </c>
      <c r="I64" s="1163">
        <f>PGL_Supplies!V12/1000</f>
        <v>177.25200000000001</v>
      </c>
    </row>
    <row r="65" spans="3:3" ht="15.6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2001-05-25T08:33:14Z</cp:lastPrinted>
  <dcterms:created xsi:type="dcterms:W3CDTF">1997-07-16T16:14:22Z</dcterms:created>
  <dcterms:modified xsi:type="dcterms:W3CDTF">2023-09-10T11:14:16Z</dcterms:modified>
</cp:coreProperties>
</file>