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drawings/drawing2.xml" ContentType="application/vnd.openxmlformats-officedocument.drawing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11976" windowHeight="3288"/>
  </bookViews>
  <sheets>
    <sheet name="Top_Menu" sheetId="1" r:id="rId1"/>
    <sheet name="Weather_Input" sheetId="2" r:id="rId2"/>
    <sheet name="PGL_Deliveries" sheetId="3" r:id="rId3"/>
    <sheet name="NSG_Deliveries" sheetId="4" r:id="rId4"/>
    <sheet name="PGL_Requirements" sheetId="5" r:id="rId5"/>
    <sheet name="PGL_Supplies" sheetId="6" r:id="rId6"/>
    <sheet name="NSG_Requirements" sheetId="7" r:id="rId7"/>
    <sheet name="NSG_Supplies" sheetId="8" r:id="rId8"/>
    <sheet name="PGL_6_Day_Report" sheetId="9" r:id="rId9"/>
    <sheet name="NSG_6_Day_Report" sheetId="10" r:id="rId10"/>
    <sheet name="PGL_Nine_to_Nine" sheetId="11" r:id="rId11"/>
    <sheet name="NSG_Nine_to_Nine" sheetId="12" r:id="rId12"/>
    <sheet name="Nine_to_Nine" sheetId="13" r:id="rId13"/>
    <sheet name="PGL_Midcon_Form" sheetId="14" r:id="rId14"/>
    <sheet name="NSG_Midcon_Form" sheetId="15" r:id="rId15"/>
    <sheet name="Six_Day_Summary" sheetId="16" r:id="rId16"/>
    <sheet name="NPGL_Forecast" sheetId="17" r:id="rId17"/>
    <sheet name="Billy_Sheet" sheetId="18" r:id="rId18"/>
    <sheet name="MAHOMET PIPELINE GRAPHICS" sheetId="34" r:id="rId19"/>
    <sheet name="PGL_Gas_Summary" sheetId="20" r:id="rId20"/>
    <sheet name="NSG_Gas_Summary" sheetId="21" r:id="rId21"/>
    <sheet name="NGPL_Gas_Summary" sheetId="22" r:id="rId22"/>
    <sheet name="Sheet1" sheetId="33" r:id="rId23"/>
    <sheet name="End_of_Month_Reports" sheetId="29" r:id="rId24"/>
    <sheet name="Imbalances" sheetId="30" r:id="rId25"/>
    <sheet name="Normal_Degree_Day_Data" sheetId="32" r:id="rId26"/>
  </sheets>
  <definedNames>
    <definedName name="Average_Temp">Weather_Input!$E$5</definedName>
    <definedName name="Day_1_Cell">Six_Day_Summary!$C$5</definedName>
    <definedName name="Day_1_Code">Weather_Input!$K$5</definedName>
    <definedName name="Day_2_Cell">Six_Day_Summary!$C$10</definedName>
    <definedName name="Day_2_Code">Weather_Input!$K$6</definedName>
    <definedName name="Day_3_Cell">Six_Day_Summary!$C$15</definedName>
    <definedName name="Day_3_Code">Weather_Input!$K$7</definedName>
    <definedName name="Day_4_Cell">Six_Day_Summary!$C$20</definedName>
    <definedName name="Day_4_Code">Weather_Input!$K$8</definedName>
    <definedName name="Day_5_Cell">Six_Day_Summary!$C$25</definedName>
    <definedName name="Day_5_Code">Weather_Input!$K$9</definedName>
    <definedName name="Day_6_Cell">Six_Day_Summary!$C$30</definedName>
    <definedName name="Day_6_Code">Weather_Input!$K$10</definedName>
    <definedName name="DD_Normal_Data">Normal_Degree_Day_Data!$A$3:$D$374</definedName>
    <definedName name="First_date">Weather_Input!$A$5</definedName>
    <definedName name="Imbalances">Imbalances!$B$7:$S$7</definedName>
    <definedName name="NSG_Sendout_Input">NSG_Deliveries!$C$6:$C$10</definedName>
    <definedName name="NSG_Sendouts">NSG_Deliveries!$A$5:$G$11</definedName>
    <definedName name="Old_Imbalance">Imbalances!$B$6:$S$6</definedName>
    <definedName name="PGL_Nom_Input">PGL_Requirements!$K$8:$AE$12</definedName>
    <definedName name="PGL_Noms">PGL_Requirements!$A$7:$Z$12</definedName>
    <definedName name="PGL_Sendout_Input">PGL_Deliveries!$C$6:$C$10</definedName>
    <definedName name="PGL_Sendouts">PGL_Deliveries!$A$5:$S$10</definedName>
    <definedName name="_xlnm.Print_Area" localSheetId="25">Normal_Degree_Day_Data!$A$124:$D$128</definedName>
    <definedName name="_xlnm.Print_Area" localSheetId="9">NSG_6_Day_Report!$A$1:$I$45</definedName>
    <definedName name="_xlnm.Print_Area" localSheetId="6">NSG_Requirements!$S$3:$AF$12</definedName>
    <definedName name="_xlnm.Print_Area" localSheetId="7">NSG_Supplies!$A$3:$S$12</definedName>
    <definedName name="_xlnm.Print_Area" localSheetId="4">PGL_Requirements!$I$3:$AJ$12</definedName>
    <definedName name="_xlnm.Print_Area" localSheetId="5">PGL_Supplies!$T$3:$AF$12</definedName>
    <definedName name="_xlnm.Print_Area" localSheetId="1">Weather_Input!$A$2:$H$5</definedName>
    <definedName name="Print_Area_MI">NSG_6_Day_Report!$A$1:$A$38</definedName>
    <definedName name="Six_day_NSG_PRANGE">NSG_6_Day_Report!$A$1:$I$42</definedName>
    <definedName name="Six_Day_PGL_PRANGE">PGL_6_Day_Report!$A$1:$I$64</definedName>
    <definedName name="Six_Day_SUM_PRANGE">Six_Day_Summary!$A$1:$I$60</definedName>
    <definedName name="Weather_Input">Weather_Input!$B$6:$K$10</definedName>
    <definedName name="Z_66C35B70_1DF5_11D4_B46C_0004ACEC7D4A_.wvu.Cols" localSheetId="24" hidden="1">Imbalances!$D:$E,Imbalances!$J:$K,Imbalances!$P:$Q</definedName>
    <definedName name="Z_66C35B70_1DF5_11D4_B46C_0004ACEC7D4A_.wvu.Cols" localSheetId="1" hidden="1">Weather_Input!$K:$K</definedName>
    <definedName name="Z_66C35B70_1DF5_11D4_B46C_0004ACEC7D4A_.wvu.PrintArea" localSheetId="25" hidden="1">Normal_Degree_Day_Data!$A$124:$D$128</definedName>
    <definedName name="Z_66C35B70_1DF5_11D4_B46C_0004ACEC7D4A_.wvu.PrintArea" localSheetId="9" hidden="1">NSG_6_Day_Report!$A$1:$I$35</definedName>
    <definedName name="Z_66C35B70_1DF5_11D4_B46C_0004ACEC7D4A_.wvu.PrintArea" localSheetId="6" hidden="1">NSG_Requirements!$S$3:$AF$12</definedName>
    <definedName name="Z_66C35B70_1DF5_11D4_B46C_0004ACEC7D4A_.wvu.PrintArea" localSheetId="7" hidden="1">NSG_Supplies!$A$3:$S$12</definedName>
    <definedName name="Z_66C35B70_1DF5_11D4_B46C_0004ACEC7D4A_.wvu.PrintArea" localSheetId="4" hidden="1">PGL_Requirements!$I$3:$AJ$12</definedName>
    <definedName name="Z_66C35B70_1DF5_11D4_B46C_0004ACEC7D4A_.wvu.PrintArea" localSheetId="5" hidden="1">PGL_Supplies!$T$3:$AF$12</definedName>
    <definedName name="Z_66C35B70_1DF5_11D4_B46C_0004ACEC7D4A_.wvu.PrintArea" localSheetId="1" hidden="1">Weather_Input!$A$2:$H$5</definedName>
  </definedNames>
  <calcPr calcId="0" fullCalcOnLoad="1"/>
  <customWorkbookViews>
    <customWorkbookView name="GLASC - Personal View" guid="{66C35B70-1DF5-11D4-B46C-0004ACEC7D4A}" mergeInterval="0" personalView="1" maximized="1" windowWidth="796" windowHeight="411" activeSheetId="1" showObjects="placeholders"/>
  </customWorkbookViews>
</workbook>
</file>

<file path=xl/calcChain.xml><?xml version="1.0" encoding="utf-8"?>
<calcChain xmlns="http://schemas.openxmlformats.org/spreadsheetml/2006/main">
  <c r="C1" i="18" l="1"/>
  <c r="C3" i="18"/>
  <c r="C4" i="18"/>
  <c r="D4" i="18"/>
  <c r="H4" i="18"/>
  <c r="I4" i="18"/>
  <c r="C5" i="18"/>
  <c r="E5" i="18"/>
  <c r="G5" i="18"/>
  <c r="I5" i="18"/>
  <c r="G6" i="18"/>
  <c r="C7" i="18"/>
  <c r="C8" i="18"/>
  <c r="G8" i="18"/>
  <c r="C9" i="18"/>
  <c r="G9" i="18"/>
  <c r="C10" i="18"/>
  <c r="E10" i="18"/>
  <c r="G10" i="18"/>
  <c r="C11" i="18"/>
  <c r="G11" i="18"/>
  <c r="G12" i="18"/>
  <c r="D13" i="18"/>
  <c r="H13" i="18"/>
  <c r="C14" i="18"/>
  <c r="E14" i="18"/>
  <c r="I14" i="18"/>
  <c r="C15" i="18"/>
  <c r="G15" i="18"/>
  <c r="I15" i="18"/>
  <c r="C16" i="18"/>
  <c r="D16" i="18"/>
  <c r="G16" i="18"/>
  <c r="I16" i="18"/>
  <c r="C17" i="18"/>
  <c r="I17" i="18"/>
  <c r="C18" i="18"/>
  <c r="D19" i="18"/>
  <c r="H19" i="18"/>
  <c r="C20" i="18"/>
  <c r="E20" i="18"/>
  <c r="C21" i="18"/>
  <c r="G21" i="18"/>
  <c r="C22" i="18"/>
  <c r="G22" i="18"/>
  <c r="C23" i="18"/>
  <c r="G23" i="18"/>
  <c r="D24" i="18"/>
  <c r="H24" i="18"/>
  <c r="C25" i="18"/>
  <c r="E25" i="18"/>
  <c r="G25" i="18"/>
  <c r="I25" i="18"/>
  <c r="B1" i="30"/>
  <c r="A6" i="30"/>
  <c r="A7" i="30"/>
  <c r="B7" i="30"/>
  <c r="C7" i="30"/>
  <c r="D7" i="30"/>
  <c r="E7" i="30"/>
  <c r="F7" i="30"/>
  <c r="G7" i="30"/>
  <c r="H7" i="30"/>
  <c r="I7" i="30"/>
  <c r="J7" i="30"/>
  <c r="K7" i="30"/>
  <c r="L7" i="30"/>
  <c r="M7" i="30"/>
  <c r="N7" i="30"/>
  <c r="O7" i="30"/>
  <c r="P7" i="30"/>
  <c r="Q7" i="30"/>
  <c r="R7" i="30"/>
  <c r="S7" i="30"/>
  <c r="H1" i="34"/>
  <c r="J2" i="34"/>
  <c r="A3" i="34"/>
  <c r="K4" i="34"/>
  <c r="A5" i="34"/>
  <c r="A7" i="34"/>
  <c r="A9" i="34"/>
  <c r="L9" i="34"/>
  <c r="A11" i="34"/>
  <c r="H11" i="34"/>
  <c r="L11" i="34"/>
  <c r="A13" i="34"/>
  <c r="K17" i="34"/>
  <c r="K19" i="34"/>
  <c r="A20" i="34"/>
  <c r="A23" i="34"/>
  <c r="A26" i="34"/>
  <c r="K26" i="34"/>
  <c r="M26" i="34"/>
  <c r="K28" i="34"/>
  <c r="M28" i="34"/>
  <c r="A29" i="34"/>
  <c r="F29" i="34"/>
  <c r="G29" i="34"/>
  <c r="K29" i="34"/>
  <c r="F30" i="34"/>
  <c r="G30" i="34"/>
  <c r="K31" i="34"/>
  <c r="A32" i="34"/>
  <c r="G32" i="34"/>
  <c r="G35" i="34"/>
  <c r="A40" i="34"/>
  <c r="G40" i="34"/>
  <c r="A42" i="34"/>
  <c r="D45" i="34"/>
  <c r="G45" i="34"/>
  <c r="H45" i="34"/>
  <c r="G46" i="34"/>
  <c r="H46" i="34"/>
  <c r="D47" i="34"/>
  <c r="G47" i="34"/>
  <c r="H47" i="34"/>
  <c r="D48" i="34"/>
  <c r="G48" i="34"/>
  <c r="H48" i="34"/>
  <c r="G49" i="34"/>
  <c r="H49" i="34"/>
  <c r="F1" i="13"/>
  <c r="B5" i="13"/>
  <c r="C5" i="13"/>
  <c r="B8" i="13"/>
  <c r="C8" i="13"/>
  <c r="B10" i="13"/>
  <c r="B11" i="13"/>
  <c r="E11" i="13"/>
  <c r="G11" i="13"/>
  <c r="I11" i="13"/>
  <c r="B12" i="13"/>
  <c r="B13" i="13"/>
  <c r="B14" i="13"/>
  <c r="B15" i="13"/>
  <c r="B16" i="13"/>
  <c r="B17" i="13"/>
  <c r="B18" i="13"/>
  <c r="C18" i="13"/>
  <c r="E18" i="13"/>
  <c r="G18" i="13"/>
  <c r="B19" i="13"/>
  <c r="C19" i="13"/>
  <c r="B20" i="13"/>
  <c r="C20" i="13"/>
  <c r="B22" i="13"/>
  <c r="B23" i="13"/>
  <c r="C23" i="13"/>
  <c r="B24" i="13"/>
  <c r="C24" i="13"/>
  <c r="D24" i="13"/>
  <c r="E24" i="13"/>
  <c r="F24" i="13"/>
  <c r="G24" i="13"/>
  <c r="H24" i="13"/>
  <c r="I24" i="13"/>
  <c r="B26" i="13"/>
  <c r="C26" i="13"/>
  <c r="D26" i="13"/>
  <c r="E26" i="13"/>
  <c r="F26" i="13"/>
  <c r="G26" i="13"/>
  <c r="H26" i="13"/>
  <c r="I26" i="13"/>
  <c r="B27" i="13"/>
  <c r="C27" i="13"/>
  <c r="D27" i="13"/>
  <c r="E27" i="13"/>
  <c r="F27" i="13"/>
  <c r="G27" i="13"/>
  <c r="H27" i="13"/>
  <c r="I27" i="13"/>
  <c r="G28" i="13"/>
  <c r="H28" i="13"/>
  <c r="I28" i="13"/>
  <c r="B29" i="13"/>
  <c r="C29" i="13"/>
  <c r="D29" i="13"/>
  <c r="E29" i="13"/>
  <c r="F29" i="13"/>
  <c r="G29" i="13"/>
  <c r="H29" i="13"/>
  <c r="I29" i="13"/>
  <c r="B30" i="13"/>
  <c r="C30" i="13"/>
  <c r="D30" i="13"/>
  <c r="E30" i="13"/>
  <c r="F30" i="13"/>
  <c r="G30" i="13"/>
  <c r="H30" i="13"/>
  <c r="I30" i="13"/>
  <c r="B31" i="13"/>
  <c r="C31" i="13"/>
  <c r="D31" i="13"/>
  <c r="E31" i="13"/>
  <c r="F31" i="13"/>
  <c r="G31" i="13"/>
  <c r="H31" i="13"/>
  <c r="I31" i="13"/>
  <c r="B32" i="13"/>
  <c r="C32" i="13"/>
  <c r="D32" i="13"/>
  <c r="E32" i="13"/>
  <c r="F32" i="13"/>
  <c r="G32" i="13"/>
  <c r="H32" i="13"/>
  <c r="I32" i="13"/>
  <c r="B33" i="13"/>
  <c r="C33" i="13"/>
  <c r="D33" i="13"/>
  <c r="E33" i="13"/>
  <c r="F33" i="13"/>
  <c r="G33" i="13"/>
  <c r="H33" i="13"/>
  <c r="I33" i="13"/>
  <c r="B34" i="13"/>
  <c r="D34" i="13"/>
  <c r="F34" i="13"/>
  <c r="H34" i="13"/>
  <c r="I34" i="13"/>
  <c r="B35" i="13"/>
  <c r="C35" i="13"/>
  <c r="B36" i="13"/>
  <c r="C36" i="13"/>
  <c r="B37" i="13"/>
  <c r="D37" i="13"/>
  <c r="F37" i="13"/>
  <c r="B38" i="13"/>
  <c r="C38" i="13"/>
  <c r="H38" i="13"/>
  <c r="B40" i="13"/>
  <c r="B41" i="13"/>
  <c r="B42" i="13"/>
  <c r="B43" i="13"/>
  <c r="B44" i="13"/>
  <c r="B45" i="13"/>
  <c r="B46" i="13"/>
  <c r="B50" i="13"/>
  <c r="B51" i="13"/>
  <c r="B52" i="13"/>
  <c r="B53" i="13"/>
  <c r="B54" i="13"/>
  <c r="I55" i="13"/>
  <c r="B56" i="13"/>
  <c r="H56" i="13"/>
  <c r="I56" i="13"/>
  <c r="B57" i="13"/>
  <c r="H57" i="13"/>
  <c r="B58" i="13"/>
  <c r="I58" i="13"/>
  <c r="B59" i="13"/>
  <c r="H59" i="13"/>
  <c r="B60" i="13"/>
  <c r="H60" i="13"/>
  <c r="I60" i="13"/>
  <c r="B61" i="13"/>
  <c r="I61" i="13"/>
  <c r="B62" i="13"/>
  <c r="I63" i="13"/>
  <c r="B64" i="13"/>
  <c r="B65" i="13"/>
  <c r="I65" i="13"/>
  <c r="B66" i="13"/>
  <c r="H66" i="13"/>
  <c r="B67" i="13"/>
  <c r="H67" i="13"/>
  <c r="I67" i="13"/>
  <c r="B68" i="13"/>
  <c r="B69" i="13"/>
  <c r="B70" i="13"/>
  <c r="B71" i="13"/>
  <c r="B72" i="13"/>
  <c r="G73" i="13"/>
  <c r="H73" i="13"/>
  <c r="F90" i="13"/>
  <c r="C96" i="13"/>
  <c r="C97" i="13"/>
  <c r="E97" i="13"/>
  <c r="G97" i="13"/>
  <c r="I97" i="13"/>
  <c r="C98" i="13"/>
  <c r="C99" i="13"/>
  <c r="C100" i="13"/>
  <c r="C101" i="13"/>
  <c r="C102" i="13"/>
  <c r="C103" i="13"/>
  <c r="C104" i="13"/>
  <c r="B106" i="13"/>
  <c r="C106" i="13"/>
  <c r="B107" i="13"/>
  <c r="C107" i="13"/>
  <c r="B109" i="13"/>
  <c r="B110" i="13"/>
  <c r="C110" i="13"/>
  <c r="B111" i="13"/>
  <c r="C111" i="13"/>
  <c r="D111" i="13"/>
  <c r="E111" i="13"/>
  <c r="F111" i="13"/>
  <c r="G111" i="13"/>
  <c r="H111" i="13"/>
  <c r="I111" i="13"/>
  <c r="B113" i="13"/>
  <c r="C113" i="13"/>
  <c r="D113" i="13"/>
  <c r="E113" i="13"/>
  <c r="F113" i="13"/>
  <c r="G113" i="13"/>
  <c r="H113" i="13"/>
  <c r="I113" i="13"/>
  <c r="B114" i="13"/>
  <c r="C114" i="13"/>
  <c r="D114" i="13"/>
  <c r="E114" i="13"/>
  <c r="F114" i="13"/>
  <c r="G114" i="13"/>
  <c r="H114" i="13"/>
  <c r="I114" i="13"/>
  <c r="G115" i="13"/>
  <c r="H115" i="13"/>
  <c r="I115" i="13"/>
  <c r="B116" i="13"/>
  <c r="C116" i="13"/>
  <c r="D116" i="13"/>
  <c r="E116" i="13"/>
  <c r="F116" i="13"/>
  <c r="G116" i="13"/>
  <c r="H116" i="13"/>
  <c r="I116" i="13"/>
  <c r="B117" i="13"/>
  <c r="C117" i="13"/>
  <c r="D117" i="13"/>
  <c r="E117" i="13"/>
  <c r="F117" i="13"/>
  <c r="G117" i="13"/>
  <c r="H117" i="13"/>
  <c r="I117" i="13"/>
  <c r="B118" i="13"/>
  <c r="C118" i="13"/>
  <c r="D118" i="13"/>
  <c r="E118" i="13"/>
  <c r="F118" i="13"/>
  <c r="G118" i="13"/>
  <c r="H118" i="13"/>
  <c r="I118" i="13"/>
  <c r="B119" i="13"/>
  <c r="C119" i="13"/>
  <c r="D119" i="13"/>
  <c r="E119" i="13"/>
  <c r="F119" i="13"/>
  <c r="G119" i="13"/>
  <c r="H119" i="13"/>
  <c r="I119" i="13"/>
  <c r="B120" i="13"/>
  <c r="C120" i="13"/>
  <c r="D120" i="13"/>
  <c r="E120" i="13"/>
  <c r="F120" i="13"/>
  <c r="G120" i="13"/>
  <c r="H120" i="13"/>
  <c r="I120" i="13"/>
  <c r="B121" i="13"/>
  <c r="D121" i="13"/>
  <c r="F121" i="13"/>
  <c r="H121" i="13"/>
  <c r="I121" i="13"/>
  <c r="B122" i="13"/>
  <c r="C122" i="13"/>
  <c r="B123" i="13"/>
  <c r="C123" i="13"/>
  <c r="B125" i="13"/>
  <c r="B126" i="13"/>
  <c r="B127" i="13"/>
  <c r="B128" i="13"/>
  <c r="B129" i="13"/>
  <c r="B130" i="13"/>
  <c r="B131" i="13"/>
  <c r="B132" i="13"/>
  <c r="B133" i="13"/>
  <c r="B135" i="13"/>
  <c r="B136" i="13"/>
  <c r="B137" i="13"/>
  <c r="B138" i="13"/>
  <c r="B139" i="13"/>
  <c r="B140" i="13"/>
  <c r="B141" i="13"/>
  <c r="B143" i="13"/>
  <c r="I143" i="13"/>
  <c r="B144" i="13"/>
  <c r="I144" i="13"/>
  <c r="B145" i="13"/>
  <c r="B146" i="13"/>
  <c r="I146" i="13"/>
  <c r="B148" i="13"/>
  <c r="I148" i="13"/>
  <c r="B149" i="13"/>
  <c r="I149" i="13"/>
  <c r="B150" i="13"/>
  <c r="I150" i="13"/>
  <c r="B151" i="13"/>
  <c r="I152" i="13"/>
  <c r="B153" i="13"/>
  <c r="I153" i="13"/>
  <c r="B154" i="13"/>
  <c r="I154" i="13"/>
  <c r="B155" i="13"/>
  <c r="I155" i="13"/>
  <c r="B156" i="13"/>
  <c r="I156" i="13"/>
  <c r="B157" i="13"/>
  <c r="B158" i="13"/>
  <c r="B159" i="13"/>
  <c r="B160" i="13"/>
  <c r="B162" i="13"/>
  <c r="C3" i="32"/>
  <c r="D3" i="32"/>
  <c r="A4" i="32"/>
  <c r="C4" i="32"/>
  <c r="D4" i="32"/>
  <c r="A5" i="32"/>
  <c r="C5" i="32"/>
  <c r="D5" i="32"/>
  <c r="A6" i="32"/>
  <c r="C6" i="32"/>
  <c r="D6" i="32"/>
  <c r="A7" i="32"/>
  <c r="C7" i="32"/>
  <c r="D7" i="32"/>
  <c r="A8" i="32"/>
  <c r="C8" i="32"/>
  <c r="D8" i="32"/>
  <c r="A9" i="32"/>
  <c r="C9" i="32"/>
  <c r="D9" i="32"/>
  <c r="A10" i="32"/>
  <c r="C10" i="32"/>
  <c r="D10" i="32"/>
  <c r="A11" i="32"/>
  <c r="C11" i="32"/>
  <c r="D11" i="32"/>
  <c r="A12" i="32"/>
  <c r="C12" i="32"/>
  <c r="D12" i="32"/>
  <c r="A13" i="32"/>
  <c r="C13" i="32"/>
  <c r="D13" i="32"/>
  <c r="A14" i="32"/>
  <c r="C14" i="32"/>
  <c r="D14" i="32"/>
  <c r="A15" i="32"/>
  <c r="C15" i="32"/>
  <c r="D15" i="32"/>
  <c r="A16" i="32"/>
  <c r="C16" i="32"/>
  <c r="D16" i="32"/>
  <c r="A17" i="32"/>
  <c r="C17" i="32"/>
  <c r="D17" i="32"/>
  <c r="A18" i="32"/>
  <c r="C18" i="32"/>
  <c r="D18" i="32"/>
  <c r="A19" i="32"/>
  <c r="C19" i="32"/>
  <c r="D19" i="32"/>
  <c r="A20" i="32"/>
  <c r="C20" i="32"/>
  <c r="D20" i="32"/>
  <c r="A21" i="32"/>
  <c r="C21" i="32"/>
  <c r="D21" i="32"/>
  <c r="A22" i="32"/>
  <c r="C22" i="32"/>
  <c r="D22" i="32"/>
  <c r="A23" i="32"/>
  <c r="C23" i="32"/>
  <c r="D23" i="32"/>
  <c r="A24" i="32"/>
  <c r="C24" i="32"/>
  <c r="D24" i="32"/>
  <c r="A25" i="32"/>
  <c r="C25" i="32"/>
  <c r="D25" i="32"/>
  <c r="A26" i="32"/>
  <c r="C26" i="32"/>
  <c r="D26" i="32"/>
  <c r="A27" i="32"/>
  <c r="C27" i="32"/>
  <c r="D27" i="32"/>
  <c r="A28" i="32"/>
  <c r="C28" i="32"/>
  <c r="D28" i="32"/>
  <c r="A29" i="32"/>
  <c r="C29" i="32"/>
  <c r="D29" i="32"/>
  <c r="A30" i="32"/>
  <c r="C30" i="32"/>
  <c r="D30" i="32"/>
  <c r="A31" i="32"/>
  <c r="C31" i="32"/>
  <c r="D31" i="32"/>
  <c r="A32" i="32"/>
  <c r="C32" i="32"/>
  <c r="D32" i="32"/>
  <c r="A33" i="32"/>
  <c r="C33" i="32"/>
  <c r="D33" i="32"/>
  <c r="A34" i="32"/>
  <c r="C34" i="32"/>
  <c r="D34" i="32"/>
  <c r="A35" i="32"/>
  <c r="C35" i="32"/>
  <c r="D35" i="32"/>
  <c r="A36" i="32"/>
  <c r="C36" i="32"/>
  <c r="D36" i="32"/>
  <c r="A37" i="32"/>
  <c r="C37" i="32"/>
  <c r="D37" i="32"/>
  <c r="A38" i="32"/>
  <c r="C38" i="32"/>
  <c r="D38" i="32"/>
  <c r="A39" i="32"/>
  <c r="C39" i="32"/>
  <c r="D39" i="32"/>
  <c r="A40" i="32"/>
  <c r="C40" i="32"/>
  <c r="D40" i="32"/>
  <c r="A41" i="32"/>
  <c r="C41" i="32"/>
  <c r="D41" i="32"/>
  <c r="A42" i="32"/>
  <c r="C42" i="32"/>
  <c r="D42" i="32"/>
  <c r="A43" i="32"/>
  <c r="C43" i="32"/>
  <c r="D43" i="32"/>
  <c r="A44" i="32"/>
  <c r="C44" i="32"/>
  <c r="D44" i="32"/>
  <c r="A45" i="32"/>
  <c r="C45" i="32"/>
  <c r="D45" i="32"/>
  <c r="A46" i="32"/>
  <c r="C46" i="32"/>
  <c r="D46" i="32"/>
  <c r="A47" i="32"/>
  <c r="C47" i="32"/>
  <c r="D47" i="32"/>
  <c r="A48" i="32"/>
  <c r="C48" i="32"/>
  <c r="D48" i="32"/>
  <c r="A49" i="32"/>
  <c r="C49" i="32"/>
  <c r="D49" i="32"/>
  <c r="A50" i="32"/>
  <c r="C50" i="32"/>
  <c r="D50" i="32"/>
  <c r="A51" i="32"/>
  <c r="C51" i="32"/>
  <c r="D51" i="32"/>
  <c r="A52" i="32"/>
  <c r="C52" i="32"/>
  <c r="D52" i="32"/>
  <c r="A53" i="32"/>
  <c r="C53" i="32"/>
  <c r="D53" i="32"/>
  <c r="A54" i="32"/>
  <c r="C54" i="32"/>
  <c r="D54" i="32"/>
  <c r="A55" i="32"/>
  <c r="C55" i="32"/>
  <c r="D55" i="32"/>
  <c r="A56" i="32"/>
  <c r="C56" i="32"/>
  <c r="D56" i="32"/>
  <c r="A57" i="32"/>
  <c r="C57" i="32"/>
  <c r="D57" i="32"/>
  <c r="A58" i="32"/>
  <c r="C58" i="32"/>
  <c r="D58" i="32"/>
  <c r="A59" i="32"/>
  <c r="C59" i="32"/>
  <c r="D59" i="32"/>
  <c r="A60" i="32"/>
  <c r="C60" i="32"/>
  <c r="D60" i="32"/>
  <c r="A61" i="32"/>
  <c r="C61" i="32"/>
  <c r="D61" i="32"/>
  <c r="A62" i="32"/>
  <c r="C62" i="32"/>
  <c r="D62" i="32"/>
  <c r="A63" i="32"/>
  <c r="C63" i="32"/>
  <c r="D63" i="32"/>
  <c r="A64" i="32"/>
  <c r="C64" i="32"/>
  <c r="D64" i="32"/>
  <c r="A65" i="32"/>
  <c r="C65" i="32"/>
  <c r="D65" i="32"/>
  <c r="A66" i="32"/>
  <c r="C66" i="32"/>
  <c r="D66" i="32"/>
  <c r="A67" i="32"/>
  <c r="C67" i="32"/>
  <c r="D67" i="32"/>
  <c r="A68" i="32"/>
  <c r="C68" i="32"/>
  <c r="D68" i="32"/>
  <c r="A69" i="32"/>
  <c r="C69" i="32"/>
  <c r="D69" i="32"/>
  <c r="A70" i="32"/>
  <c r="C70" i="32"/>
  <c r="D70" i="32"/>
  <c r="A71" i="32"/>
  <c r="C71" i="32"/>
  <c r="D71" i="32"/>
  <c r="A72" i="32"/>
  <c r="C72" i="32"/>
  <c r="D72" i="32"/>
  <c r="A73" i="32"/>
  <c r="C73" i="32"/>
  <c r="D73" i="32"/>
  <c r="A74" i="32"/>
  <c r="C74" i="32"/>
  <c r="D74" i="32"/>
  <c r="A75" i="32"/>
  <c r="C75" i="32"/>
  <c r="D75" i="32"/>
  <c r="A76" i="32"/>
  <c r="C76" i="32"/>
  <c r="D76" i="32"/>
  <c r="A77" i="32"/>
  <c r="C77" i="32"/>
  <c r="D77" i="32"/>
  <c r="A78" i="32"/>
  <c r="C78" i="32"/>
  <c r="D78" i="32"/>
  <c r="A79" i="32"/>
  <c r="C79" i="32"/>
  <c r="D79" i="32"/>
  <c r="A80" i="32"/>
  <c r="C80" i="32"/>
  <c r="D80" i="32"/>
  <c r="A81" i="32"/>
  <c r="C81" i="32"/>
  <c r="D81" i="32"/>
  <c r="A82" i="32"/>
  <c r="C82" i="32"/>
  <c r="D82" i="32"/>
  <c r="A83" i="32"/>
  <c r="C83" i="32"/>
  <c r="D83" i="32"/>
  <c r="A84" i="32"/>
  <c r="C84" i="32"/>
  <c r="D84" i="32"/>
  <c r="A85" i="32"/>
  <c r="C85" i="32"/>
  <c r="D85" i="32"/>
  <c r="A86" i="32"/>
  <c r="C86" i="32"/>
  <c r="D86" i="32"/>
  <c r="A87" i="32"/>
  <c r="C87" i="32"/>
  <c r="D87" i="32"/>
  <c r="A88" i="32"/>
  <c r="C88" i="32"/>
  <c r="D88" i="32"/>
  <c r="A89" i="32"/>
  <c r="C89" i="32"/>
  <c r="D89" i="32"/>
  <c r="A90" i="32"/>
  <c r="C90" i="32"/>
  <c r="D90" i="32"/>
  <c r="A91" i="32"/>
  <c r="C91" i="32"/>
  <c r="D91" i="32"/>
  <c r="A92" i="32"/>
  <c r="C92" i="32"/>
  <c r="D92" i="32"/>
  <c r="A93" i="32"/>
  <c r="C93" i="32"/>
  <c r="D93" i="32"/>
  <c r="A94" i="32"/>
  <c r="C94" i="32"/>
  <c r="D94" i="32"/>
  <c r="A95" i="32"/>
  <c r="C95" i="32"/>
  <c r="D95" i="32"/>
  <c r="A96" i="32"/>
  <c r="C96" i="32"/>
  <c r="D96" i="32"/>
  <c r="A97" i="32"/>
  <c r="C97" i="32"/>
  <c r="D97" i="32"/>
  <c r="A98" i="32"/>
  <c r="C98" i="32"/>
  <c r="D98" i="32"/>
  <c r="A99" i="32"/>
  <c r="C99" i="32"/>
  <c r="D99" i="32"/>
  <c r="A100" i="32"/>
  <c r="C100" i="32"/>
  <c r="D100" i="32"/>
  <c r="A101" i="32"/>
  <c r="C101" i="32"/>
  <c r="D101" i="32"/>
  <c r="A102" i="32"/>
  <c r="C102" i="32"/>
  <c r="D102" i="32"/>
  <c r="A103" i="32"/>
  <c r="C103" i="32"/>
  <c r="D103" i="32"/>
  <c r="A104" i="32"/>
  <c r="C104" i="32"/>
  <c r="D104" i="32"/>
  <c r="A105" i="32"/>
  <c r="C105" i="32"/>
  <c r="D105" i="32"/>
  <c r="A106" i="32"/>
  <c r="C106" i="32"/>
  <c r="D106" i="32"/>
  <c r="A107" i="32"/>
  <c r="C107" i="32"/>
  <c r="D107" i="32"/>
  <c r="A108" i="32"/>
  <c r="C108" i="32"/>
  <c r="D108" i="32"/>
  <c r="A109" i="32"/>
  <c r="C109" i="32"/>
  <c r="D109" i="32"/>
  <c r="A110" i="32"/>
  <c r="C110" i="32"/>
  <c r="D110" i="32"/>
  <c r="A111" i="32"/>
  <c r="C111" i="32"/>
  <c r="D111" i="32"/>
  <c r="A112" i="32"/>
  <c r="C112" i="32"/>
  <c r="D112" i="32"/>
  <c r="A113" i="32"/>
  <c r="C113" i="32"/>
  <c r="D113" i="32"/>
  <c r="A114" i="32"/>
  <c r="C114" i="32"/>
  <c r="D114" i="32"/>
  <c r="A115" i="32"/>
  <c r="C115" i="32"/>
  <c r="D115" i="32"/>
  <c r="A116" i="32"/>
  <c r="C116" i="32"/>
  <c r="D116" i="32"/>
  <c r="A117" i="32"/>
  <c r="C117" i="32"/>
  <c r="D117" i="32"/>
  <c r="A118" i="32"/>
  <c r="C118" i="32"/>
  <c r="D118" i="32"/>
  <c r="A119" i="32"/>
  <c r="C119" i="32"/>
  <c r="D119" i="32"/>
  <c r="A120" i="32"/>
  <c r="C120" i="32"/>
  <c r="D120" i="32"/>
  <c r="A121" i="32"/>
  <c r="C121" i="32"/>
  <c r="D121" i="32"/>
  <c r="A122" i="32"/>
  <c r="C122" i="32"/>
  <c r="D122" i="32"/>
  <c r="A123" i="32"/>
  <c r="C123" i="32"/>
  <c r="D123" i="32"/>
  <c r="A124" i="32"/>
  <c r="C124" i="32"/>
  <c r="D124" i="32"/>
  <c r="A125" i="32"/>
  <c r="C125" i="32"/>
  <c r="D125" i="32"/>
  <c r="A126" i="32"/>
  <c r="C126" i="32"/>
  <c r="D126" i="32"/>
  <c r="A127" i="32"/>
  <c r="C127" i="32"/>
  <c r="D127" i="32"/>
  <c r="A128" i="32"/>
  <c r="C128" i="32"/>
  <c r="D128" i="32"/>
  <c r="A129" i="32"/>
  <c r="C129" i="32"/>
  <c r="D129" i="32"/>
  <c r="A130" i="32"/>
  <c r="C130" i="32"/>
  <c r="D130" i="32"/>
  <c r="A131" i="32"/>
  <c r="C131" i="32"/>
  <c r="D131" i="32"/>
  <c r="A132" i="32"/>
  <c r="C132" i="32"/>
  <c r="D132" i="32"/>
  <c r="A133" i="32"/>
  <c r="C133" i="32"/>
  <c r="D133" i="32"/>
  <c r="A134" i="32"/>
  <c r="C134" i="32"/>
  <c r="D134" i="32"/>
  <c r="A135" i="32"/>
  <c r="C135" i="32"/>
  <c r="D135" i="32"/>
  <c r="A136" i="32"/>
  <c r="C136" i="32"/>
  <c r="D136" i="32"/>
  <c r="A137" i="32"/>
  <c r="C137" i="32"/>
  <c r="D137" i="32"/>
  <c r="A138" i="32"/>
  <c r="C138" i="32"/>
  <c r="D138" i="32"/>
  <c r="A139" i="32"/>
  <c r="C139" i="32"/>
  <c r="D139" i="32"/>
  <c r="A140" i="32"/>
  <c r="C140" i="32"/>
  <c r="D140" i="32"/>
  <c r="A141" i="32"/>
  <c r="C141" i="32"/>
  <c r="D141" i="32"/>
  <c r="A142" i="32"/>
  <c r="C142" i="32"/>
  <c r="D142" i="32"/>
  <c r="A143" i="32"/>
  <c r="C143" i="32"/>
  <c r="D143" i="32"/>
  <c r="A144" i="32"/>
  <c r="C144" i="32"/>
  <c r="D144" i="32"/>
  <c r="A145" i="32"/>
  <c r="C145" i="32"/>
  <c r="D145" i="32"/>
  <c r="A146" i="32"/>
  <c r="C146" i="32"/>
  <c r="D146" i="32"/>
  <c r="A147" i="32"/>
  <c r="C147" i="32"/>
  <c r="D147" i="32"/>
  <c r="A148" i="32"/>
  <c r="C148" i="32"/>
  <c r="D148" i="32"/>
  <c r="A149" i="32"/>
  <c r="C149" i="32"/>
  <c r="D149" i="32"/>
  <c r="A150" i="32"/>
  <c r="C150" i="32"/>
  <c r="D150" i="32"/>
  <c r="A151" i="32"/>
  <c r="C151" i="32"/>
  <c r="D151" i="32"/>
  <c r="A152" i="32"/>
  <c r="C152" i="32"/>
  <c r="D152" i="32"/>
  <c r="A153" i="32"/>
  <c r="C153" i="32"/>
  <c r="D153" i="32"/>
  <c r="A154" i="32"/>
  <c r="C154" i="32"/>
  <c r="D154" i="32"/>
  <c r="A155" i="32"/>
  <c r="C155" i="32"/>
  <c r="D155" i="32"/>
  <c r="A156" i="32"/>
  <c r="C156" i="32"/>
  <c r="D156" i="32"/>
  <c r="A157" i="32"/>
  <c r="C157" i="32"/>
  <c r="D157" i="32"/>
  <c r="A158" i="32"/>
  <c r="C158" i="32"/>
  <c r="D158" i="32"/>
  <c r="A159" i="32"/>
  <c r="C159" i="32"/>
  <c r="D159" i="32"/>
  <c r="A160" i="32"/>
  <c r="C160" i="32"/>
  <c r="D160" i="32"/>
  <c r="A161" i="32"/>
  <c r="C161" i="32"/>
  <c r="D161" i="32"/>
  <c r="A162" i="32"/>
  <c r="C162" i="32"/>
  <c r="D162" i="32"/>
  <c r="A163" i="32"/>
  <c r="C163" i="32"/>
  <c r="D163" i="32"/>
  <c r="A164" i="32"/>
  <c r="C164" i="32"/>
  <c r="D164" i="32"/>
  <c r="A165" i="32"/>
  <c r="C165" i="32"/>
  <c r="D165" i="32"/>
  <c r="A166" i="32"/>
  <c r="C166" i="32"/>
  <c r="D166" i="32"/>
  <c r="A167" i="32"/>
  <c r="C167" i="32"/>
  <c r="D167" i="32"/>
  <c r="A168" i="32"/>
  <c r="C168" i="32"/>
  <c r="D168" i="32"/>
  <c r="A169" i="32"/>
  <c r="C169" i="32"/>
  <c r="D169" i="32"/>
  <c r="A170" i="32"/>
  <c r="C170" i="32"/>
  <c r="D170" i="32"/>
  <c r="A171" i="32"/>
  <c r="C171" i="32"/>
  <c r="D171" i="32"/>
  <c r="A172" i="32"/>
  <c r="C172" i="32"/>
  <c r="D172" i="32"/>
  <c r="A173" i="32"/>
  <c r="C173" i="32"/>
  <c r="D173" i="32"/>
  <c r="A174" i="32"/>
  <c r="C174" i="32"/>
  <c r="D174" i="32"/>
  <c r="A175" i="32"/>
  <c r="C175" i="32"/>
  <c r="D175" i="32"/>
  <c r="A176" i="32"/>
  <c r="C176" i="32"/>
  <c r="D176" i="32"/>
  <c r="A177" i="32"/>
  <c r="C177" i="32"/>
  <c r="D177" i="32"/>
  <c r="A178" i="32"/>
  <c r="C178" i="32"/>
  <c r="D178" i="32"/>
  <c r="A179" i="32"/>
  <c r="C179" i="32"/>
  <c r="D179" i="32"/>
  <c r="A180" i="32"/>
  <c r="C180" i="32"/>
  <c r="D180" i="32"/>
  <c r="A181" i="32"/>
  <c r="C181" i="32"/>
  <c r="D181" i="32"/>
  <c r="A182" i="32"/>
  <c r="C182" i="32"/>
  <c r="D182" i="32"/>
  <c r="A183" i="32"/>
  <c r="C183" i="32"/>
  <c r="D183" i="32"/>
  <c r="A184" i="32"/>
  <c r="C184" i="32"/>
  <c r="D184" i="32"/>
  <c r="A185" i="32"/>
  <c r="C185" i="32"/>
  <c r="D185" i="32"/>
  <c r="A186" i="32"/>
  <c r="C186" i="32"/>
  <c r="D186" i="32"/>
  <c r="A187" i="32"/>
  <c r="C187" i="32"/>
  <c r="D187" i="32"/>
  <c r="A188" i="32"/>
  <c r="C188" i="32"/>
  <c r="D188" i="32"/>
  <c r="A189" i="32"/>
  <c r="C189" i="32"/>
  <c r="D189" i="32"/>
  <c r="A190" i="32"/>
  <c r="C190" i="32"/>
  <c r="D190" i="32"/>
  <c r="A191" i="32"/>
  <c r="C191" i="32"/>
  <c r="D191" i="32"/>
  <c r="A192" i="32"/>
  <c r="C192" i="32"/>
  <c r="D192" i="32"/>
  <c r="A193" i="32"/>
  <c r="C193" i="32"/>
  <c r="D193" i="32"/>
  <c r="A194" i="32"/>
  <c r="C194" i="32"/>
  <c r="D194" i="32"/>
  <c r="A195" i="32"/>
  <c r="C195" i="32"/>
  <c r="D195" i="32"/>
  <c r="A196" i="32"/>
  <c r="C196" i="32"/>
  <c r="D196" i="32"/>
  <c r="A197" i="32"/>
  <c r="C197" i="32"/>
  <c r="D197" i="32"/>
  <c r="A198" i="32"/>
  <c r="C198" i="32"/>
  <c r="D198" i="32"/>
  <c r="A199" i="32"/>
  <c r="C199" i="32"/>
  <c r="D199" i="32"/>
  <c r="A200" i="32"/>
  <c r="C200" i="32"/>
  <c r="D200" i="32"/>
  <c r="A201" i="32"/>
  <c r="C201" i="32"/>
  <c r="D201" i="32"/>
  <c r="A202" i="32"/>
  <c r="C202" i="32"/>
  <c r="D202" i="32"/>
  <c r="A203" i="32"/>
  <c r="C203" i="32"/>
  <c r="D203" i="32"/>
  <c r="A204" i="32"/>
  <c r="C204" i="32"/>
  <c r="D204" i="32"/>
  <c r="A205" i="32"/>
  <c r="C205" i="32"/>
  <c r="D205" i="32"/>
  <c r="A206" i="32"/>
  <c r="C206" i="32"/>
  <c r="D206" i="32"/>
  <c r="A207" i="32"/>
  <c r="C207" i="32"/>
  <c r="D207" i="32"/>
  <c r="A208" i="32"/>
  <c r="C208" i="32"/>
  <c r="D208" i="32"/>
  <c r="A209" i="32"/>
  <c r="C209" i="32"/>
  <c r="D209" i="32"/>
  <c r="A210" i="32"/>
  <c r="C210" i="32"/>
  <c r="D210" i="32"/>
  <c r="A211" i="32"/>
  <c r="C211" i="32"/>
  <c r="D211" i="32"/>
  <c r="A212" i="32"/>
  <c r="C212" i="32"/>
  <c r="D212" i="32"/>
  <c r="A213" i="32"/>
  <c r="C213" i="32"/>
  <c r="D213" i="32"/>
  <c r="A214" i="32"/>
  <c r="C214" i="32"/>
  <c r="D214" i="32"/>
  <c r="A215" i="32"/>
  <c r="C215" i="32"/>
  <c r="D215" i="32"/>
  <c r="A216" i="32"/>
  <c r="C216" i="32"/>
  <c r="D216" i="32"/>
  <c r="A217" i="32"/>
  <c r="C217" i="32"/>
  <c r="D217" i="32"/>
  <c r="A218" i="32"/>
  <c r="C218" i="32"/>
  <c r="D218" i="32"/>
  <c r="A219" i="32"/>
  <c r="C219" i="32"/>
  <c r="D219" i="32"/>
  <c r="A220" i="32"/>
  <c r="C220" i="32"/>
  <c r="D220" i="32"/>
  <c r="A221" i="32"/>
  <c r="C221" i="32"/>
  <c r="D221" i="32"/>
  <c r="A222" i="32"/>
  <c r="C222" i="32"/>
  <c r="D222" i="32"/>
  <c r="A223" i="32"/>
  <c r="C223" i="32"/>
  <c r="D223" i="32"/>
  <c r="A224" i="32"/>
  <c r="C224" i="32"/>
  <c r="D224" i="32"/>
  <c r="A225" i="32"/>
  <c r="C225" i="32"/>
  <c r="D225" i="32"/>
  <c r="A226" i="32"/>
  <c r="C226" i="32"/>
  <c r="D226" i="32"/>
  <c r="A227" i="32"/>
  <c r="C227" i="32"/>
  <c r="D227" i="32"/>
  <c r="A228" i="32"/>
  <c r="C228" i="32"/>
  <c r="D228" i="32"/>
  <c r="A229" i="32"/>
  <c r="C229" i="32"/>
  <c r="D229" i="32"/>
  <c r="A230" i="32"/>
  <c r="C230" i="32"/>
  <c r="D230" i="32"/>
  <c r="A231" i="32"/>
  <c r="C231" i="32"/>
  <c r="D231" i="32"/>
  <c r="A232" i="32"/>
  <c r="C232" i="32"/>
  <c r="D232" i="32"/>
  <c r="A233" i="32"/>
  <c r="C233" i="32"/>
  <c r="D233" i="32"/>
  <c r="A234" i="32"/>
  <c r="C234" i="32"/>
  <c r="D234" i="32"/>
  <c r="A235" i="32"/>
  <c r="C235" i="32"/>
  <c r="D235" i="32"/>
  <c r="A236" i="32"/>
  <c r="C236" i="32"/>
  <c r="D236" i="32"/>
  <c r="A237" i="32"/>
  <c r="C237" i="32"/>
  <c r="D237" i="32"/>
  <c r="A238" i="32"/>
  <c r="C238" i="32"/>
  <c r="D238" i="32"/>
  <c r="A239" i="32"/>
  <c r="C239" i="32"/>
  <c r="D239" i="32"/>
  <c r="A240" i="32"/>
  <c r="C240" i="32"/>
  <c r="D240" i="32"/>
  <c r="A241" i="32"/>
  <c r="C241" i="32"/>
  <c r="D241" i="32"/>
  <c r="A242" i="32"/>
  <c r="C242" i="32"/>
  <c r="D242" i="32"/>
  <c r="A243" i="32"/>
  <c r="C243" i="32"/>
  <c r="D243" i="32"/>
  <c r="A244" i="32"/>
  <c r="C244" i="32"/>
  <c r="D244" i="32"/>
  <c r="A245" i="32"/>
  <c r="C245" i="32"/>
  <c r="D245" i="32"/>
  <c r="A246" i="32"/>
  <c r="C246" i="32"/>
  <c r="D246" i="32"/>
  <c r="A247" i="32"/>
  <c r="C247" i="32"/>
  <c r="D247" i="32"/>
  <c r="A248" i="32"/>
  <c r="C248" i="32"/>
  <c r="D248" i="32"/>
  <c r="A249" i="32"/>
  <c r="C249" i="32"/>
  <c r="D249" i="32"/>
  <c r="A250" i="32"/>
  <c r="C250" i="32"/>
  <c r="D250" i="32"/>
  <c r="A251" i="32"/>
  <c r="C251" i="32"/>
  <c r="D251" i="32"/>
  <c r="A252" i="32"/>
  <c r="C252" i="32"/>
  <c r="D252" i="32"/>
  <c r="A253" i="32"/>
  <c r="C253" i="32"/>
  <c r="D253" i="32"/>
  <c r="A254" i="32"/>
  <c r="C254" i="32"/>
  <c r="D254" i="32"/>
  <c r="A255" i="32"/>
  <c r="C255" i="32"/>
  <c r="D255" i="32"/>
  <c r="A256" i="32"/>
  <c r="C256" i="32"/>
  <c r="D256" i="32"/>
  <c r="A257" i="32"/>
  <c r="C257" i="32"/>
  <c r="D257" i="32"/>
  <c r="A258" i="32"/>
  <c r="C258" i="32"/>
  <c r="D258" i="32"/>
  <c r="A259" i="32"/>
  <c r="C259" i="32"/>
  <c r="D259" i="32"/>
  <c r="A260" i="32"/>
  <c r="C260" i="32"/>
  <c r="D260" i="32"/>
  <c r="A261" i="32"/>
  <c r="C261" i="32"/>
  <c r="D261" i="32"/>
  <c r="A262" i="32"/>
  <c r="C262" i="32"/>
  <c r="D262" i="32"/>
  <c r="A263" i="32"/>
  <c r="C263" i="32"/>
  <c r="D263" i="32"/>
  <c r="A264" i="32"/>
  <c r="C264" i="32"/>
  <c r="D264" i="32"/>
  <c r="A265" i="32"/>
  <c r="C265" i="32"/>
  <c r="D265" i="32"/>
  <c r="A266" i="32"/>
  <c r="C266" i="32"/>
  <c r="D266" i="32"/>
  <c r="A267" i="32"/>
  <c r="C267" i="32"/>
  <c r="D267" i="32"/>
  <c r="A268" i="32"/>
  <c r="C268" i="32"/>
  <c r="D268" i="32"/>
  <c r="A269" i="32"/>
  <c r="C269" i="32"/>
  <c r="D269" i="32"/>
  <c r="A270" i="32"/>
  <c r="C270" i="32"/>
  <c r="D270" i="32"/>
  <c r="A271" i="32"/>
  <c r="C271" i="32"/>
  <c r="D271" i="32"/>
  <c r="A272" i="32"/>
  <c r="C272" i="32"/>
  <c r="D272" i="32"/>
  <c r="A273" i="32"/>
  <c r="C273" i="32"/>
  <c r="D273" i="32"/>
  <c r="A274" i="32"/>
  <c r="C274" i="32"/>
  <c r="D274" i="32"/>
  <c r="A275" i="32"/>
  <c r="C275" i="32"/>
  <c r="D275" i="32"/>
  <c r="A276" i="32"/>
  <c r="C276" i="32"/>
  <c r="D276" i="32"/>
  <c r="A277" i="32"/>
  <c r="C277" i="32"/>
  <c r="D277" i="32"/>
  <c r="A278" i="32"/>
  <c r="C278" i="32"/>
  <c r="D278" i="32"/>
  <c r="A279" i="32"/>
  <c r="C279" i="32"/>
  <c r="D279" i="32"/>
  <c r="A280" i="32"/>
  <c r="C280" i="32"/>
  <c r="D280" i="32"/>
  <c r="A281" i="32"/>
  <c r="C281" i="32"/>
  <c r="D281" i="32"/>
  <c r="A282" i="32"/>
  <c r="C282" i="32"/>
  <c r="D282" i="32"/>
  <c r="A283" i="32"/>
  <c r="C283" i="32"/>
  <c r="D283" i="32"/>
  <c r="A284" i="32"/>
  <c r="C284" i="32"/>
  <c r="D284" i="32"/>
  <c r="A285" i="32"/>
  <c r="C285" i="32"/>
  <c r="D285" i="32"/>
  <c r="A286" i="32"/>
  <c r="C286" i="32"/>
  <c r="D286" i="32"/>
  <c r="A287" i="32"/>
  <c r="C287" i="32"/>
  <c r="D287" i="32"/>
  <c r="A288" i="32"/>
  <c r="C288" i="32"/>
  <c r="D288" i="32"/>
  <c r="A289" i="32"/>
  <c r="C289" i="32"/>
  <c r="D289" i="32"/>
  <c r="A290" i="32"/>
  <c r="C290" i="32"/>
  <c r="D290" i="32"/>
  <c r="A291" i="32"/>
  <c r="C291" i="32"/>
  <c r="D291" i="32"/>
  <c r="A292" i="32"/>
  <c r="C292" i="32"/>
  <c r="D292" i="32"/>
  <c r="A293" i="32"/>
  <c r="C293" i="32"/>
  <c r="D293" i="32"/>
  <c r="A294" i="32"/>
  <c r="C294" i="32"/>
  <c r="D294" i="32"/>
  <c r="A295" i="32"/>
  <c r="C295" i="32"/>
  <c r="D295" i="32"/>
  <c r="A296" i="32"/>
  <c r="C296" i="32"/>
  <c r="D296" i="32"/>
  <c r="A297" i="32"/>
  <c r="C297" i="32"/>
  <c r="D297" i="32"/>
  <c r="A298" i="32"/>
  <c r="C298" i="32"/>
  <c r="D298" i="32"/>
  <c r="A299" i="32"/>
  <c r="C299" i="32"/>
  <c r="D299" i="32"/>
  <c r="A300" i="32"/>
  <c r="C300" i="32"/>
  <c r="D300" i="32"/>
  <c r="A301" i="32"/>
  <c r="C301" i="32"/>
  <c r="D301" i="32"/>
  <c r="A302" i="32"/>
  <c r="C302" i="32"/>
  <c r="D302" i="32"/>
  <c r="A303" i="32"/>
  <c r="C303" i="32"/>
  <c r="D303" i="32"/>
  <c r="A304" i="32"/>
  <c r="C304" i="32"/>
  <c r="D304" i="32"/>
  <c r="A305" i="32"/>
  <c r="C305" i="32"/>
  <c r="D305" i="32"/>
  <c r="A306" i="32"/>
  <c r="C306" i="32"/>
  <c r="D306" i="32"/>
  <c r="A307" i="32"/>
  <c r="C307" i="32"/>
  <c r="D307" i="32"/>
  <c r="A308" i="32"/>
  <c r="C308" i="32"/>
  <c r="D308" i="32"/>
  <c r="A309" i="32"/>
  <c r="C309" i="32"/>
  <c r="D309" i="32"/>
  <c r="A310" i="32"/>
  <c r="C310" i="32"/>
  <c r="D310" i="32"/>
  <c r="A311" i="32"/>
  <c r="C311" i="32"/>
  <c r="D311" i="32"/>
  <c r="A312" i="32"/>
  <c r="C312" i="32"/>
  <c r="D312" i="32"/>
  <c r="A313" i="32"/>
  <c r="C313" i="32"/>
  <c r="D313" i="32"/>
  <c r="A314" i="32"/>
  <c r="C314" i="32"/>
  <c r="D314" i="32"/>
  <c r="A315" i="32"/>
  <c r="C315" i="32"/>
  <c r="D315" i="32"/>
  <c r="A316" i="32"/>
  <c r="C316" i="32"/>
  <c r="D316" i="32"/>
  <c r="A317" i="32"/>
  <c r="C317" i="32"/>
  <c r="D317" i="32"/>
  <c r="A318" i="32"/>
  <c r="C318" i="32"/>
  <c r="D318" i="32"/>
  <c r="A319" i="32"/>
  <c r="C319" i="32"/>
  <c r="D319" i="32"/>
  <c r="A320" i="32"/>
  <c r="C320" i="32"/>
  <c r="D320" i="32"/>
  <c r="A321" i="32"/>
  <c r="C321" i="32"/>
  <c r="D321" i="32"/>
  <c r="A322" i="32"/>
  <c r="C322" i="32"/>
  <c r="D322" i="32"/>
  <c r="A323" i="32"/>
  <c r="C323" i="32"/>
  <c r="D323" i="32"/>
  <c r="A324" i="32"/>
  <c r="C324" i="32"/>
  <c r="D324" i="32"/>
  <c r="A325" i="32"/>
  <c r="C325" i="32"/>
  <c r="D325" i="32"/>
  <c r="A326" i="32"/>
  <c r="C326" i="32"/>
  <c r="D326" i="32"/>
  <c r="A327" i="32"/>
  <c r="C327" i="32"/>
  <c r="D327" i="32"/>
  <c r="A328" i="32"/>
  <c r="C328" i="32"/>
  <c r="D328" i="32"/>
  <c r="A329" i="32"/>
  <c r="C329" i="32"/>
  <c r="D329" i="32"/>
  <c r="A330" i="32"/>
  <c r="C330" i="32"/>
  <c r="D330" i="32"/>
  <c r="A331" i="32"/>
  <c r="C331" i="32"/>
  <c r="D331" i="32"/>
  <c r="A332" i="32"/>
  <c r="C332" i="32"/>
  <c r="D332" i="32"/>
  <c r="A333" i="32"/>
  <c r="C333" i="32"/>
  <c r="D333" i="32"/>
  <c r="A334" i="32"/>
  <c r="C334" i="32"/>
  <c r="D334" i="32"/>
  <c r="A335" i="32"/>
  <c r="C335" i="32"/>
  <c r="D335" i="32"/>
  <c r="A336" i="32"/>
  <c r="C336" i="32"/>
  <c r="D336" i="32"/>
  <c r="A337" i="32"/>
  <c r="C337" i="32"/>
  <c r="D337" i="32"/>
  <c r="A338" i="32"/>
  <c r="C338" i="32"/>
  <c r="D338" i="32"/>
  <c r="A339" i="32"/>
  <c r="C339" i="32"/>
  <c r="D339" i="32"/>
  <c r="A340" i="32"/>
  <c r="C340" i="32"/>
  <c r="D340" i="32"/>
  <c r="A341" i="32"/>
  <c r="C341" i="32"/>
  <c r="D341" i="32"/>
  <c r="A342" i="32"/>
  <c r="C342" i="32"/>
  <c r="D342" i="32"/>
  <c r="A343" i="32"/>
  <c r="C343" i="32"/>
  <c r="D343" i="32"/>
  <c r="A344" i="32"/>
  <c r="C344" i="32"/>
  <c r="D344" i="32"/>
  <c r="A345" i="32"/>
  <c r="C345" i="32"/>
  <c r="D345" i="32"/>
  <c r="A346" i="32"/>
  <c r="C346" i="32"/>
  <c r="D346" i="32"/>
  <c r="A347" i="32"/>
  <c r="C347" i="32"/>
  <c r="D347" i="32"/>
  <c r="A348" i="32"/>
  <c r="C348" i="32"/>
  <c r="D348" i="32"/>
  <c r="A349" i="32"/>
  <c r="C349" i="32"/>
  <c r="D349" i="32"/>
  <c r="A350" i="32"/>
  <c r="C350" i="32"/>
  <c r="D350" i="32"/>
  <c r="A351" i="32"/>
  <c r="C351" i="32"/>
  <c r="D351" i="32"/>
  <c r="A352" i="32"/>
  <c r="C352" i="32"/>
  <c r="D352" i="32"/>
  <c r="A353" i="32"/>
  <c r="C353" i="32"/>
  <c r="D353" i="32"/>
  <c r="A354" i="32"/>
  <c r="C354" i="32"/>
  <c r="D354" i="32"/>
  <c r="A355" i="32"/>
  <c r="C355" i="32"/>
  <c r="D355" i="32"/>
  <c r="A356" i="32"/>
  <c r="C356" i="32"/>
  <c r="D356" i="32"/>
  <c r="A357" i="32"/>
  <c r="C357" i="32"/>
  <c r="D357" i="32"/>
  <c r="A358" i="32"/>
  <c r="C358" i="32"/>
  <c r="D358" i="32"/>
  <c r="A359" i="32"/>
  <c r="C359" i="32"/>
  <c r="D359" i="32"/>
  <c r="A360" i="32"/>
  <c r="C360" i="32"/>
  <c r="D360" i="32"/>
  <c r="A361" i="32"/>
  <c r="C361" i="32"/>
  <c r="D361" i="32"/>
  <c r="A362" i="32"/>
  <c r="C362" i="32"/>
  <c r="D362" i="32"/>
  <c r="A363" i="32"/>
  <c r="C363" i="32"/>
  <c r="D363" i="32"/>
  <c r="A364" i="32"/>
  <c r="C364" i="32"/>
  <c r="D364" i="32"/>
  <c r="A365" i="32"/>
  <c r="C365" i="32"/>
  <c r="D365" i="32"/>
  <c r="A366" i="32"/>
  <c r="C366" i="32"/>
  <c r="D366" i="32"/>
  <c r="A367" i="32"/>
  <c r="C367" i="32"/>
  <c r="D367" i="32"/>
  <c r="A368" i="32"/>
  <c r="C368" i="32"/>
  <c r="D368" i="32"/>
  <c r="A369" i="32"/>
  <c r="A370" i="32"/>
  <c r="A371" i="32"/>
  <c r="A372" i="32"/>
  <c r="A373" i="32"/>
  <c r="A374" i="32"/>
  <c r="B4" i="17"/>
  <c r="C4" i="17"/>
  <c r="D4" i="17"/>
  <c r="E4" i="17"/>
  <c r="F4" i="17"/>
  <c r="B5" i="17"/>
  <c r="C5" i="17"/>
  <c r="D5" i="17"/>
  <c r="E5" i="17"/>
  <c r="F5" i="17"/>
  <c r="B6" i="17"/>
  <c r="C6" i="17"/>
  <c r="D6" i="17"/>
  <c r="E6" i="17"/>
  <c r="F6" i="17"/>
  <c r="B7" i="17"/>
  <c r="C7" i="17"/>
  <c r="D7" i="17"/>
  <c r="E7" i="17"/>
  <c r="F7" i="17"/>
  <c r="B8" i="17"/>
  <c r="C8" i="17"/>
  <c r="D8" i="17"/>
  <c r="E8" i="17"/>
  <c r="F8" i="17"/>
  <c r="B12" i="17"/>
  <c r="C12" i="17"/>
  <c r="D12" i="17"/>
  <c r="E12" i="17"/>
  <c r="F12" i="17"/>
  <c r="B21" i="17"/>
  <c r="C21" i="17"/>
  <c r="D21" i="17"/>
  <c r="E21" i="17"/>
  <c r="F21" i="17"/>
  <c r="B22" i="17"/>
  <c r="C22" i="17"/>
  <c r="D22" i="17"/>
  <c r="E22" i="17"/>
  <c r="F22" i="17"/>
  <c r="B23" i="17"/>
  <c r="C23" i="17"/>
  <c r="D23" i="17"/>
  <c r="E23" i="17"/>
  <c r="F23" i="17"/>
  <c r="B24" i="17"/>
  <c r="C24" i="17"/>
  <c r="D24" i="17"/>
  <c r="E24" i="17"/>
  <c r="F24" i="17"/>
  <c r="B25" i="17"/>
  <c r="C25" i="17"/>
  <c r="D25" i="17"/>
  <c r="E25" i="17"/>
  <c r="F25" i="17"/>
  <c r="B26" i="17"/>
  <c r="C26" i="17"/>
  <c r="D26" i="17"/>
  <c r="E26" i="17"/>
  <c r="F26" i="17"/>
  <c r="B27" i="17"/>
  <c r="C27" i="17"/>
  <c r="D27" i="17"/>
  <c r="E27" i="17"/>
  <c r="F27" i="17"/>
  <c r="B30" i="17"/>
  <c r="C30" i="17"/>
  <c r="D30" i="17"/>
  <c r="E30" i="17"/>
  <c r="F30" i="17"/>
  <c r="B31" i="17"/>
  <c r="C31" i="17"/>
  <c r="D31" i="17"/>
  <c r="E31" i="17"/>
  <c r="F31" i="17"/>
  <c r="B32" i="17"/>
  <c r="C32" i="17"/>
  <c r="D32" i="17"/>
  <c r="E32" i="17"/>
  <c r="F32" i="17"/>
  <c r="B33" i="17"/>
  <c r="C33" i="17"/>
  <c r="D33" i="17"/>
  <c r="E33" i="17"/>
  <c r="F33" i="17"/>
  <c r="H1" i="10"/>
  <c r="I1" i="10"/>
  <c r="D3" i="10"/>
  <c r="E3" i="10"/>
  <c r="F3" i="10"/>
  <c r="G3" i="10"/>
  <c r="H3" i="10"/>
  <c r="I3" i="10"/>
  <c r="D4" i="10"/>
  <c r="E4" i="10"/>
  <c r="F4" i="10"/>
  <c r="G4" i="10"/>
  <c r="H4" i="10"/>
  <c r="I4" i="10"/>
  <c r="D5" i="10"/>
  <c r="E5" i="10"/>
  <c r="F5" i="10"/>
  <c r="G5" i="10"/>
  <c r="H5" i="10"/>
  <c r="I5" i="10"/>
  <c r="D6" i="10"/>
  <c r="E6" i="10"/>
  <c r="F6" i="10"/>
  <c r="G6" i="10"/>
  <c r="H6" i="10"/>
  <c r="I6" i="10"/>
  <c r="D7" i="10"/>
  <c r="E7" i="10"/>
  <c r="F7" i="10"/>
  <c r="G7" i="10"/>
  <c r="H7" i="10"/>
  <c r="I7" i="10"/>
  <c r="D8" i="10"/>
  <c r="E8" i="10"/>
  <c r="F8" i="10"/>
  <c r="G8" i="10"/>
  <c r="H8" i="10"/>
  <c r="I8" i="10"/>
  <c r="D9" i="10"/>
  <c r="E9" i="10"/>
  <c r="F9" i="10"/>
  <c r="G9" i="10"/>
  <c r="H9" i="10"/>
  <c r="I9" i="10"/>
  <c r="D10" i="10"/>
  <c r="E10" i="10"/>
  <c r="F10" i="10"/>
  <c r="G10" i="10"/>
  <c r="H10" i="10"/>
  <c r="I10" i="10"/>
  <c r="D11" i="10"/>
  <c r="E11" i="10"/>
  <c r="F11" i="10"/>
  <c r="G11" i="10"/>
  <c r="H11" i="10"/>
  <c r="I11" i="10"/>
  <c r="D12" i="10"/>
  <c r="E12" i="10"/>
  <c r="F12" i="10"/>
  <c r="G12" i="10"/>
  <c r="H12" i="10"/>
  <c r="I12" i="10"/>
  <c r="D13" i="10"/>
  <c r="E13" i="10"/>
  <c r="F13" i="10"/>
  <c r="G13" i="10"/>
  <c r="H13" i="10"/>
  <c r="I13" i="10"/>
  <c r="D14" i="10"/>
  <c r="E14" i="10"/>
  <c r="F14" i="10"/>
  <c r="G14" i="10"/>
  <c r="H14" i="10"/>
  <c r="I14" i="10"/>
  <c r="D15" i="10"/>
  <c r="E15" i="10"/>
  <c r="F15" i="10"/>
  <c r="G15" i="10"/>
  <c r="H15" i="10"/>
  <c r="I15" i="10"/>
  <c r="D16" i="10"/>
  <c r="E16" i="10"/>
  <c r="F16" i="10"/>
  <c r="G16" i="10"/>
  <c r="H16" i="10"/>
  <c r="I16" i="10"/>
  <c r="D17" i="10"/>
  <c r="E17" i="10"/>
  <c r="F17" i="10"/>
  <c r="G17" i="10"/>
  <c r="H17" i="10"/>
  <c r="I17" i="10"/>
  <c r="D18" i="10"/>
  <c r="E18" i="10"/>
  <c r="F18" i="10"/>
  <c r="G18" i="10"/>
  <c r="H18" i="10"/>
  <c r="I18" i="10"/>
  <c r="D19" i="10"/>
  <c r="E19" i="10"/>
  <c r="F19" i="10"/>
  <c r="G19" i="10"/>
  <c r="H19" i="10"/>
  <c r="I19" i="10"/>
  <c r="D22" i="10"/>
  <c r="E22" i="10"/>
  <c r="F22" i="10"/>
  <c r="G22" i="10"/>
  <c r="H22" i="10"/>
  <c r="I22" i="10"/>
  <c r="D23" i="10"/>
  <c r="E23" i="10"/>
  <c r="F23" i="10"/>
  <c r="G23" i="10"/>
  <c r="H23" i="10"/>
  <c r="I23" i="10"/>
  <c r="D24" i="10"/>
  <c r="E24" i="10"/>
  <c r="F24" i="10"/>
  <c r="G24" i="10"/>
  <c r="H24" i="10"/>
  <c r="I24" i="10"/>
  <c r="D25" i="10"/>
  <c r="E25" i="10"/>
  <c r="F25" i="10"/>
  <c r="G25" i="10"/>
  <c r="H25" i="10"/>
  <c r="I25" i="10"/>
  <c r="D26" i="10"/>
  <c r="E26" i="10"/>
  <c r="F26" i="10"/>
  <c r="G26" i="10"/>
  <c r="H26" i="10"/>
  <c r="I26" i="10"/>
  <c r="D27" i="10"/>
  <c r="E27" i="10"/>
  <c r="F27" i="10"/>
  <c r="G27" i="10"/>
  <c r="H27" i="10"/>
  <c r="I27" i="10"/>
  <c r="D28" i="10"/>
  <c r="E28" i="10"/>
  <c r="F28" i="10"/>
  <c r="G28" i="10"/>
  <c r="H28" i="10"/>
  <c r="I28" i="10"/>
  <c r="D29" i="10"/>
  <c r="E29" i="10"/>
  <c r="F29" i="10"/>
  <c r="G29" i="10"/>
  <c r="H29" i="10"/>
  <c r="I29" i="10"/>
  <c r="D31" i="10"/>
  <c r="E31" i="10"/>
  <c r="F31" i="10"/>
  <c r="G31" i="10"/>
  <c r="H31" i="10"/>
  <c r="I31" i="10"/>
  <c r="D32" i="10"/>
  <c r="E32" i="10"/>
  <c r="F32" i="10"/>
  <c r="G32" i="10"/>
  <c r="H32" i="10"/>
  <c r="I32" i="10"/>
  <c r="D33" i="10"/>
  <c r="E33" i="10"/>
  <c r="F33" i="10"/>
  <c r="G33" i="10"/>
  <c r="H33" i="10"/>
  <c r="I33" i="10"/>
  <c r="D34" i="10"/>
  <c r="E34" i="10"/>
  <c r="F34" i="10"/>
  <c r="G34" i="10"/>
  <c r="H34" i="10"/>
  <c r="I34" i="10"/>
  <c r="D35" i="10"/>
  <c r="E35" i="10"/>
  <c r="F35" i="10"/>
  <c r="G35" i="10"/>
  <c r="H35" i="10"/>
  <c r="I35" i="10"/>
  <c r="D36" i="10"/>
  <c r="E36" i="10"/>
  <c r="F36" i="10"/>
  <c r="G36" i="10"/>
  <c r="H36" i="10"/>
  <c r="I36" i="10"/>
  <c r="D37" i="10"/>
  <c r="E37" i="10"/>
  <c r="F37" i="10"/>
  <c r="G37" i="10"/>
  <c r="H37" i="10"/>
  <c r="I37" i="10"/>
  <c r="D38" i="10"/>
  <c r="E38" i="10"/>
  <c r="F38" i="10"/>
  <c r="G38" i="10"/>
  <c r="H38" i="10"/>
  <c r="I38" i="10"/>
  <c r="D39" i="10"/>
  <c r="E39" i="10"/>
  <c r="F39" i="10"/>
  <c r="G39" i="10"/>
  <c r="H39" i="10"/>
  <c r="I39" i="10"/>
  <c r="D40" i="10"/>
  <c r="E40" i="10"/>
  <c r="F40" i="10"/>
  <c r="G40" i="10"/>
  <c r="H40" i="10"/>
  <c r="I40" i="10"/>
  <c r="D42" i="10"/>
  <c r="E42" i="10"/>
  <c r="F42" i="10"/>
  <c r="A5" i="4"/>
  <c r="B5" i="4"/>
  <c r="H5" i="4"/>
  <c r="A6" i="4"/>
  <c r="B6" i="4"/>
  <c r="A7" i="4"/>
  <c r="B7" i="4"/>
  <c r="A8" i="4"/>
  <c r="B8" i="4"/>
  <c r="A9" i="4"/>
  <c r="B9" i="4"/>
  <c r="A10" i="4"/>
  <c r="B10" i="4"/>
  <c r="B3" i="21"/>
  <c r="E3" i="21"/>
  <c r="B5" i="21"/>
  <c r="E5" i="21"/>
  <c r="B7" i="21"/>
  <c r="E7" i="21"/>
  <c r="B8" i="21"/>
  <c r="E8" i="21"/>
  <c r="C9" i="21"/>
  <c r="F9" i="21"/>
  <c r="B10" i="21"/>
  <c r="E10" i="21"/>
  <c r="E11" i="21"/>
  <c r="F12" i="21"/>
  <c r="B13" i="21"/>
  <c r="B14" i="21"/>
  <c r="F14" i="21"/>
  <c r="C15" i="21"/>
  <c r="E15" i="21"/>
  <c r="B16" i="21"/>
  <c r="F16" i="21"/>
  <c r="C17" i="21"/>
  <c r="B18" i="21"/>
  <c r="F18" i="21"/>
  <c r="B19" i="21"/>
  <c r="F19" i="21"/>
  <c r="B20" i="21"/>
  <c r="F20" i="21"/>
  <c r="B21" i="21"/>
  <c r="E21" i="21"/>
  <c r="C22" i="21"/>
  <c r="E22" i="21"/>
  <c r="C23" i="21"/>
  <c r="E23" i="21"/>
  <c r="B24" i="21"/>
  <c r="E24" i="21"/>
  <c r="C25" i="21"/>
  <c r="E25" i="21"/>
  <c r="B26" i="21"/>
  <c r="F26" i="21"/>
  <c r="B27" i="21"/>
  <c r="E27" i="21"/>
  <c r="D22" i="15"/>
  <c r="G22" i="15"/>
  <c r="E38" i="15"/>
  <c r="E39" i="15"/>
  <c r="E40" i="15"/>
  <c r="E41" i="15"/>
  <c r="E42" i="15"/>
  <c r="F1" i="12"/>
  <c r="G1" i="12"/>
  <c r="B4" i="12"/>
  <c r="C4" i="12"/>
  <c r="C5" i="12"/>
  <c r="C7" i="12"/>
  <c r="C9" i="12"/>
  <c r="C11" i="12"/>
  <c r="C19" i="12"/>
  <c r="C20" i="12"/>
  <c r="E20" i="12"/>
  <c r="G20" i="12"/>
  <c r="I20" i="12"/>
  <c r="C21" i="12"/>
  <c r="E21" i="12"/>
  <c r="G21" i="12"/>
  <c r="I21" i="12"/>
  <c r="C22" i="12"/>
  <c r="E22" i="12"/>
  <c r="G22" i="12"/>
  <c r="I22" i="12"/>
  <c r="C23" i="12"/>
  <c r="E23" i="12"/>
  <c r="G23" i="12"/>
  <c r="I23" i="12"/>
  <c r="C24" i="12"/>
  <c r="C25" i="12"/>
  <c r="C26" i="12"/>
  <c r="E26" i="12"/>
  <c r="G26" i="12"/>
  <c r="I26" i="12"/>
  <c r="C28" i="12"/>
  <c r="E28" i="12"/>
  <c r="G28" i="12"/>
  <c r="I28" i="12"/>
  <c r="B30" i="12"/>
  <c r="B31" i="12"/>
  <c r="B32" i="12"/>
  <c r="B33" i="12"/>
  <c r="B34" i="12"/>
  <c r="B35" i="12"/>
  <c r="B36" i="12"/>
  <c r="B37" i="12"/>
  <c r="B38" i="12"/>
  <c r="B41" i="12"/>
  <c r="B42" i="12"/>
  <c r="B45" i="12"/>
  <c r="B46" i="12"/>
  <c r="B48" i="12"/>
  <c r="B49" i="12"/>
  <c r="B50" i="12"/>
  <c r="B51" i="12"/>
  <c r="A7" i="7"/>
  <c r="AF7" i="7"/>
  <c r="A8" i="7"/>
  <c r="AF8" i="7"/>
  <c r="A9" i="7"/>
  <c r="AF9" i="7"/>
  <c r="A10" i="7"/>
  <c r="AF10" i="7"/>
  <c r="A11" i="7"/>
  <c r="AF11" i="7"/>
  <c r="A12" i="7"/>
  <c r="AF12" i="7"/>
  <c r="A7" i="8"/>
  <c r="G7" i="8"/>
  <c r="V7" i="8"/>
  <c r="A8" i="8"/>
  <c r="G8" i="8"/>
  <c r="V8" i="8"/>
  <c r="A9" i="8"/>
  <c r="G9" i="8"/>
  <c r="V9" i="8"/>
  <c r="A10" i="8"/>
  <c r="G10" i="8"/>
  <c r="V10" i="8"/>
  <c r="A11" i="8"/>
  <c r="G11" i="8"/>
  <c r="V11" i="8"/>
  <c r="A12" i="8"/>
  <c r="G12" i="8"/>
  <c r="V12" i="8"/>
  <c r="H1" i="9"/>
  <c r="I1" i="9"/>
  <c r="D3" i="9"/>
  <c r="E3" i="9"/>
  <c r="F3" i="9"/>
  <c r="G3" i="9"/>
  <c r="H3" i="9"/>
  <c r="I3" i="9"/>
  <c r="D4" i="9"/>
  <c r="E4" i="9"/>
  <c r="F4" i="9"/>
  <c r="G4" i="9"/>
  <c r="H4" i="9"/>
  <c r="I4" i="9"/>
  <c r="D5" i="9"/>
  <c r="E5" i="9"/>
  <c r="F5" i="9"/>
  <c r="G5" i="9"/>
  <c r="H5" i="9"/>
  <c r="I5" i="9"/>
  <c r="D6" i="9"/>
  <c r="E6" i="9"/>
  <c r="F6" i="9"/>
  <c r="G6" i="9"/>
  <c r="H6" i="9"/>
  <c r="I6" i="9"/>
  <c r="D7" i="9"/>
  <c r="E7" i="9"/>
  <c r="F7" i="9"/>
  <c r="G7" i="9"/>
  <c r="H7" i="9"/>
  <c r="I7" i="9"/>
  <c r="D8" i="9"/>
  <c r="E8" i="9"/>
  <c r="F8" i="9"/>
  <c r="G8" i="9"/>
  <c r="H8" i="9"/>
  <c r="I8" i="9"/>
  <c r="D11" i="9"/>
  <c r="E11" i="9"/>
  <c r="F11" i="9"/>
  <c r="G11" i="9"/>
  <c r="H11" i="9"/>
  <c r="I11" i="9"/>
  <c r="D12" i="9"/>
  <c r="E12" i="9"/>
  <c r="F12" i="9"/>
  <c r="G12" i="9"/>
  <c r="H12" i="9"/>
  <c r="I12" i="9"/>
  <c r="D13" i="9"/>
  <c r="E13" i="9"/>
  <c r="F13" i="9"/>
  <c r="G13" i="9"/>
  <c r="H13" i="9"/>
  <c r="I13" i="9"/>
  <c r="D14" i="9"/>
  <c r="E14" i="9"/>
  <c r="F14" i="9"/>
  <c r="G14" i="9"/>
  <c r="H14" i="9"/>
  <c r="I14" i="9"/>
  <c r="D15" i="9"/>
  <c r="E15" i="9"/>
  <c r="F15" i="9"/>
  <c r="G15" i="9"/>
  <c r="H15" i="9"/>
  <c r="I15" i="9"/>
  <c r="D16" i="9"/>
  <c r="E16" i="9"/>
  <c r="F16" i="9"/>
  <c r="G16" i="9"/>
  <c r="H16" i="9"/>
  <c r="I16" i="9"/>
  <c r="D18" i="9"/>
  <c r="E18" i="9"/>
  <c r="F18" i="9"/>
  <c r="G18" i="9"/>
  <c r="H18" i="9"/>
  <c r="I18" i="9"/>
  <c r="D19" i="9"/>
  <c r="E19" i="9"/>
  <c r="F19" i="9"/>
  <c r="G19" i="9"/>
  <c r="H19" i="9"/>
  <c r="I19" i="9"/>
  <c r="D20" i="9"/>
  <c r="E20" i="9"/>
  <c r="F20" i="9"/>
  <c r="G20" i="9"/>
  <c r="H20" i="9"/>
  <c r="I20" i="9"/>
  <c r="D21" i="9"/>
  <c r="E21" i="9"/>
  <c r="F21" i="9"/>
  <c r="G21" i="9"/>
  <c r="H21" i="9"/>
  <c r="I21" i="9"/>
  <c r="D22" i="9"/>
  <c r="E22" i="9"/>
  <c r="F22" i="9"/>
  <c r="G22" i="9"/>
  <c r="H22" i="9"/>
  <c r="I22" i="9"/>
  <c r="D23" i="9"/>
  <c r="E23" i="9"/>
  <c r="F23" i="9"/>
  <c r="G23" i="9"/>
  <c r="H23" i="9"/>
  <c r="I23" i="9"/>
  <c r="D24" i="9"/>
  <c r="E24" i="9"/>
  <c r="F24" i="9"/>
  <c r="G24" i="9"/>
  <c r="H24" i="9"/>
  <c r="I24" i="9"/>
  <c r="D25" i="9"/>
  <c r="E25" i="9"/>
  <c r="F25" i="9"/>
  <c r="G25" i="9"/>
  <c r="H25" i="9"/>
  <c r="I25" i="9"/>
  <c r="D26" i="9"/>
  <c r="E26" i="9"/>
  <c r="F26" i="9"/>
  <c r="G26" i="9"/>
  <c r="H26" i="9"/>
  <c r="I26" i="9"/>
  <c r="D27" i="9"/>
  <c r="E27" i="9"/>
  <c r="F27" i="9"/>
  <c r="G27" i="9"/>
  <c r="H27" i="9"/>
  <c r="I27" i="9"/>
  <c r="D28" i="9"/>
  <c r="E28" i="9"/>
  <c r="F28" i="9"/>
  <c r="G28" i="9"/>
  <c r="H28" i="9"/>
  <c r="I28" i="9"/>
  <c r="D29" i="9"/>
  <c r="E29" i="9"/>
  <c r="F29" i="9"/>
  <c r="G29" i="9"/>
  <c r="H29" i="9"/>
  <c r="I29" i="9"/>
  <c r="D30" i="9"/>
  <c r="E30" i="9"/>
  <c r="F30" i="9"/>
  <c r="G30" i="9"/>
  <c r="H30" i="9"/>
  <c r="I30" i="9"/>
  <c r="D33" i="9"/>
  <c r="E33" i="9"/>
  <c r="F33" i="9"/>
  <c r="G33" i="9"/>
  <c r="H33" i="9"/>
  <c r="I33" i="9"/>
  <c r="D34" i="9"/>
  <c r="E34" i="9"/>
  <c r="F34" i="9"/>
  <c r="G34" i="9"/>
  <c r="H34" i="9"/>
  <c r="I34" i="9"/>
  <c r="D35" i="9"/>
  <c r="E35" i="9"/>
  <c r="F35" i="9"/>
  <c r="G35" i="9"/>
  <c r="H35" i="9"/>
  <c r="I35" i="9"/>
  <c r="D36" i="9"/>
  <c r="E36" i="9"/>
  <c r="F36" i="9"/>
  <c r="G36" i="9"/>
  <c r="H36" i="9"/>
  <c r="I36" i="9"/>
  <c r="D37" i="9"/>
  <c r="E37" i="9"/>
  <c r="F37" i="9"/>
  <c r="G37" i="9"/>
  <c r="H37" i="9"/>
  <c r="I37" i="9"/>
  <c r="D38" i="9"/>
  <c r="E38" i="9"/>
  <c r="F38" i="9"/>
  <c r="G38" i="9"/>
  <c r="H38" i="9"/>
  <c r="I38" i="9"/>
  <c r="D39" i="9"/>
  <c r="E39" i="9"/>
  <c r="F39" i="9"/>
  <c r="G39" i="9"/>
  <c r="H39" i="9"/>
  <c r="I39" i="9"/>
  <c r="D40" i="9"/>
  <c r="E40" i="9"/>
  <c r="F40" i="9"/>
  <c r="G40" i="9"/>
  <c r="H40" i="9"/>
  <c r="I40" i="9"/>
  <c r="D41" i="9"/>
  <c r="E41" i="9"/>
  <c r="F41" i="9"/>
  <c r="G41" i="9"/>
  <c r="H41" i="9"/>
  <c r="I41" i="9"/>
  <c r="D42" i="9"/>
  <c r="E42" i="9"/>
  <c r="F42" i="9"/>
  <c r="G42" i="9"/>
  <c r="H42" i="9"/>
  <c r="I42" i="9"/>
  <c r="D43" i="9"/>
  <c r="E43" i="9"/>
  <c r="F43" i="9"/>
  <c r="G43" i="9"/>
  <c r="H43" i="9"/>
  <c r="I43" i="9"/>
  <c r="D45" i="9"/>
  <c r="E45" i="9"/>
  <c r="F45" i="9"/>
  <c r="G45" i="9"/>
  <c r="H45" i="9"/>
  <c r="I45" i="9"/>
  <c r="D47" i="9"/>
  <c r="E47" i="9"/>
  <c r="F47" i="9"/>
  <c r="G47" i="9"/>
  <c r="H47" i="9"/>
  <c r="I47" i="9"/>
  <c r="D48" i="9"/>
  <c r="E48" i="9"/>
  <c r="F48" i="9"/>
  <c r="G48" i="9"/>
  <c r="H48" i="9"/>
  <c r="I48" i="9"/>
  <c r="D49" i="9"/>
  <c r="E49" i="9"/>
  <c r="F49" i="9"/>
  <c r="G49" i="9"/>
  <c r="H49" i="9"/>
  <c r="I49" i="9"/>
  <c r="D50" i="9"/>
  <c r="E50" i="9"/>
  <c r="F50" i="9"/>
  <c r="G50" i="9"/>
  <c r="H50" i="9"/>
  <c r="I50" i="9"/>
  <c r="D51" i="9"/>
  <c r="E51" i="9"/>
  <c r="F51" i="9"/>
  <c r="G51" i="9"/>
  <c r="H51" i="9"/>
  <c r="I51" i="9"/>
  <c r="D52" i="9"/>
  <c r="E52" i="9"/>
  <c r="F52" i="9"/>
  <c r="G52" i="9"/>
  <c r="H52" i="9"/>
  <c r="I52" i="9"/>
  <c r="D53" i="9"/>
  <c r="E53" i="9"/>
  <c r="F53" i="9"/>
  <c r="G53" i="9"/>
  <c r="H53" i="9"/>
  <c r="I53" i="9"/>
  <c r="D54" i="9"/>
  <c r="E54" i="9"/>
  <c r="F54" i="9"/>
  <c r="G54" i="9"/>
  <c r="H54" i="9"/>
  <c r="I54" i="9"/>
  <c r="D55" i="9"/>
  <c r="E55" i="9"/>
  <c r="F55" i="9"/>
  <c r="G55" i="9"/>
  <c r="H55" i="9"/>
  <c r="I55" i="9"/>
  <c r="D56" i="9"/>
  <c r="E56" i="9"/>
  <c r="F56" i="9"/>
  <c r="G56" i="9"/>
  <c r="H56" i="9"/>
  <c r="I56" i="9"/>
  <c r="D57" i="9"/>
  <c r="E57" i="9"/>
  <c r="F57" i="9"/>
  <c r="G57" i="9"/>
  <c r="H57" i="9"/>
  <c r="I57" i="9"/>
  <c r="D58" i="9"/>
  <c r="E58" i="9"/>
  <c r="F58" i="9"/>
  <c r="G58" i="9"/>
  <c r="H58" i="9"/>
  <c r="I58" i="9"/>
  <c r="D59" i="9"/>
  <c r="E59" i="9"/>
  <c r="F59" i="9"/>
  <c r="G59" i="9"/>
  <c r="H59" i="9"/>
  <c r="I59" i="9"/>
  <c r="D60" i="9"/>
  <c r="E60" i="9"/>
  <c r="F60" i="9"/>
  <c r="G60" i="9"/>
  <c r="H60" i="9"/>
  <c r="I60" i="9"/>
  <c r="D61" i="9"/>
  <c r="E61" i="9"/>
  <c r="F61" i="9"/>
  <c r="G61" i="9"/>
  <c r="H61" i="9"/>
  <c r="I61" i="9"/>
  <c r="D62" i="9"/>
  <c r="E62" i="9"/>
  <c r="F62" i="9"/>
  <c r="G62" i="9"/>
  <c r="H62" i="9"/>
  <c r="I62" i="9"/>
  <c r="D63" i="9"/>
  <c r="E63" i="9"/>
  <c r="F63" i="9"/>
  <c r="G63" i="9"/>
  <c r="H63" i="9"/>
  <c r="I63" i="9"/>
  <c r="D64" i="9"/>
  <c r="E64" i="9"/>
  <c r="F64" i="9"/>
  <c r="G64" i="9"/>
  <c r="H64" i="9"/>
  <c r="I64" i="9"/>
  <c r="A5" i="3"/>
  <c r="B5" i="3"/>
  <c r="U5" i="3"/>
  <c r="AW5" i="3"/>
  <c r="A6" i="3"/>
  <c r="B6" i="3"/>
  <c r="A7" i="3"/>
  <c r="B7" i="3"/>
  <c r="A8" i="3"/>
  <c r="B8" i="3"/>
  <c r="A9" i="3"/>
  <c r="B9" i="3"/>
  <c r="A10" i="3"/>
  <c r="B10" i="3"/>
  <c r="B2" i="20"/>
  <c r="E2" i="20"/>
  <c r="B3" i="20"/>
  <c r="E3" i="20"/>
  <c r="B5" i="20"/>
  <c r="E5" i="20"/>
  <c r="B6" i="20"/>
  <c r="E6" i="20"/>
  <c r="B7" i="20"/>
  <c r="E7" i="20"/>
  <c r="B8" i="20"/>
  <c r="E8" i="20"/>
  <c r="B9" i="20"/>
  <c r="E9" i="20"/>
  <c r="B10" i="20"/>
  <c r="E10" i="20"/>
  <c r="B11" i="20"/>
  <c r="E11" i="20"/>
  <c r="B12" i="20"/>
  <c r="E12" i="20"/>
  <c r="B13" i="20"/>
  <c r="E13" i="20"/>
  <c r="B14" i="20"/>
  <c r="E14" i="20"/>
  <c r="B15" i="20"/>
  <c r="E15" i="20"/>
  <c r="C16" i="20"/>
  <c r="E16" i="20"/>
  <c r="B17" i="20"/>
  <c r="E17" i="20"/>
  <c r="B18" i="20"/>
  <c r="E18" i="20"/>
  <c r="B19" i="20"/>
  <c r="E19" i="20"/>
  <c r="B20" i="20"/>
  <c r="E20" i="20"/>
  <c r="C21" i="20"/>
  <c r="E21" i="20"/>
  <c r="B22" i="20"/>
  <c r="E22" i="20"/>
  <c r="B23" i="20"/>
  <c r="F23" i="20"/>
  <c r="C24" i="20"/>
  <c r="B25" i="20"/>
  <c r="F25" i="20"/>
  <c r="B27" i="20"/>
  <c r="F27" i="20"/>
  <c r="F28" i="20"/>
  <c r="C29" i="20"/>
  <c r="F29" i="20"/>
  <c r="B30" i="20"/>
  <c r="F30" i="20"/>
  <c r="B31" i="20"/>
  <c r="F31" i="20"/>
  <c r="E32" i="20"/>
  <c r="B33" i="20"/>
  <c r="E33" i="20"/>
  <c r="B34" i="20"/>
  <c r="E34" i="20"/>
  <c r="C35" i="20"/>
  <c r="C36" i="20"/>
  <c r="E36" i="20"/>
  <c r="C37" i="20"/>
  <c r="E37" i="20"/>
  <c r="B38" i="20"/>
  <c r="C39" i="20"/>
  <c r="B40" i="20"/>
  <c r="E40" i="20"/>
  <c r="B41" i="20"/>
  <c r="F41" i="20"/>
  <c r="B42" i="20"/>
  <c r="E42" i="20"/>
  <c r="B43" i="20"/>
  <c r="E43" i="20"/>
  <c r="C44" i="20"/>
  <c r="F44" i="20"/>
  <c r="B45" i="20"/>
  <c r="E45" i="20"/>
  <c r="B46" i="20"/>
  <c r="E46" i="20"/>
  <c r="B47" i="20"/>
  <c r="F47" i="20"/>
  <c r="B48" i="20"/>
  <c r="E48" i="20"/>
  <c r="B49" i="20"/>
  <c r="E49" i="20"/>
  <c r="E50" i="20"/>
  <c r="F1" i="11"/>
  <c r="G1" i="11"/>
  <c r="B4" i="11"/>
  <c r="C4" i="11"/>
  <c r="C5" i="11"/>
  <c r="C6" i="11"/>
  <c r="C7" i="11"/>
  <c r="C9" i="11"/>
  <c r="C10" i="11"/>
  <c r="C11" i="11"/>
  <c r="C12" i="11"/>
  <c r="C13" i="11"/>
  <c r="C14" i="11"/>
  <c r="C15" i="11"/>
  <c r="C16" i="11"/>
  <c r="C17" i="11"/>
  <c r="C18" i="11"/>
  <c r="C19" i="11"/>
  <c r="C21" i="11"/>
  <c r="C22" i="11"/>
  <c r="C24" i="11"/>
  <c r="C25" i="11"/>
  <c r="D25" i="11"/>
  <c r="C26" i="11"/>
  <c r="C27" i="11"/>
  <c r="C28" i="11"/>
  <c r="C29" i="11"/>
  <c r="E29" i="11"/>
  <c r="G29" i="11"/>
  <c r="I29" i="11"/>
  <c r="B31" i="11"/>
  <c r="B32" i="11"/>
  <c r="B33" i="11"/>
  <c r="B34" i="11"/>
  <c r="B36" i="11"/>
  <c r="B37" i="11"/>
  <c r="B38" i="11"/>
  <c r="B39" i="11"/>
  <c r="B40" i="11"/>
  <c r="B41" i="11"/>
  <c r="B43" i="11"/>
  <c r="B45" i="11"/>
  <c r="B46" i="11"/>
  <c r="B47" i="11"/>
  <c r="B49" i="11"/>
  <c r="B50" i="11"/>
  <c r="B51" i="11"/>
  <c r="B52" i="11"/>
  <c r="B53" i="11"/>
  <c r="I53" i="11"/>
  <c r="B54" i="11"/>
  <c r="B55" i="11"/>
  <c r="I55" i="11"/>
  <c r="H56" i="11"/>
  <c r="H57" i="11"/>
  <c r="H58" i="11"/>
  <c r="B59" i="11"/>
  <c r="I59" i="11"/>
  <c r="B60" i="11"/>
  <c r="I60" i="11"/>
  <c r="B61" i="11"/>
  <c r="B62" i="11"/>
  <c r="I62" i="11"/>
  <c r="B63" i="11"/>
  <c r="I63" i="11"/>
  <c r="I64" i="11"/>
  <c r="I65" i="11"/>
  <c r="A7" i="5"/>
  <c r="Q7" i="5"/>
  <c r="AJ7" i="5"/>
  <c r="A8" i="5"/>
  <c r="Q8" i="5"/>
  <c r="AJ8" i="5"/>
  <c r="A9" i="5"/>
  <c r="Q9" i="5"/>
  <c r="AJ9" i="5"/>
  <c r="A10" i="5"/>
  <c r="Q10" i="5"/>
  <c r="AJ10" i="5"/>
  <c r="A11" i="5"/>
  <c r="Q11" i="5"/>
  <c r="AJ11" i="5"/>
  <c r="A12" i="5"/>
  <c r="Q12" i="5"/>
  <c r="AJ12" i="5"/>
  <c r="A7" i="6"/>
  <c r="AF7" i="6"/>
  <c r="A8" i="6"/>
  <c r="AF8" i="6"/>
  <c r="A9" i="6"/>
  <c r="AF9" i="6"/>
  <c r="A10" i="6"/>
  <c r="AF10" i="6"/>
  <c r="A11" i="6"/>
  <c r="AF11" i="6"/>
  <c r="A12" i="6"/>
  <c r="AF12" i="6"/>
  <c r="A5" i="16"/>
  <c r="B5" i="16"/>
  <c r="E5" i="16"/>
  <c r="G5" i="16"/>
  <c r="I5" i="16"/>
  <c r="E6" i="16"/>
  <c r="G6" i="16"/>
  <c r="I6" i="16"/>
  <c r="E7" i="16"/>
  <c r="G7" i="16"/>
  <c r="I7" i="16"/>
  <c r="D8" i="16"/>
  <c r="D9" i="16"/>
  <c r="A10" i="16"/>
  <c r="B10" i="16"/>
  <c r="E10" i="16"/>
  <c r="G10" i="16"/>
  <c r="I10" i="16"/>
  <c r="E11" i="16"/>
  <c r="G11" i="16"/>
  <c r="I11" i="16"/>
  <c r="E12" i="16"/>
  <c r="G12" i="16"/>
  <c r="I12" i="16"/>
  <c r="D13" i="16"/>
  <c r="D14" i="16"/>
  <c r="A15" i="16"/>
  <c r="B15" i="16"/>
  <c r="E15" i="16"/>
  <c r="G15" i="16"/>
  <c r="I15" i="16"/>
  <c r="E16" i="16"/>
  <c r="G16" i="16"/>
  <c r="I16" i="16"/>
  <c r="E17" i="16"/>
  <c r="G17" i="16"/>
  <c r="I17" i="16"/>
  <c r="D18" i="16"/>
  <c r="D19" i="16"/>
  <c r="A20" i="16"/>
  <c r="B20" i="16"/>
  <c r="E20" i="16"/>
  <c r="G20" i="16"/>
  <c r="I20" i="16"/>
  <c r="E21" i="16"/>
  <c r="G21" i="16"/>
  <c r="I21" i="16"/>
  <c r="E22" i="16"/>
  <c r="G22" i="16"/>
  <c r="I22" i="16"/>
  <c r="D23" i="16"/>
  <c r="D24" i="16"/>
  <c r="A25" i="16"/>
  <c r="B25" i="16"/>
  <c r="E25" i="16"/>
  <c r="G25" i="16"/>
  <c r="I25" i="16"/>
  <c r="E26" i="16"/>
  <c r="G26" i="16"/>
  <c r="I26" i="16"/>
  <c r="E27" i="16"/>
  <c r="G27" i="16"/>
  <c r="I27" i="16"/>
  <c r="D28" i="16"/>
  <c r="D29" i="16"/>
  <c r="A30" i="16"/>
  <c r="B30" i="16"/>
  <c r="E30" i="16"/>
  <c r="G30" i="16"/>
  <c r="I30" i="16"/>
  <c r="E31" i="16"/>
  <c r="G31" i="16"/>
  <c r="I31" i="16"/>
  <c r="E32" i="16"/>
  <c r="G32" i="16"/>
  <c r="I32" i="16"/>
  <c r="D33" i="16"/>
  <c r="D34" i="16"/>
  <c r="B36" i="16"/>
  <c r="C36" i="16"/>
  <c r="D36" i="16"/>
  <c r="E36" i="16"/>
  <c r="F36" i="16"/>
  <c r="G36" i="16"/>
  <c r="B37" i="16"/>
  <c r="C37" i="16"/>
  <c r="D37" i="16"/>
  <c r="E37" i="16"/>
  <c r="F37" i="16"/>
  <c r="G37" i="16"/>
  <c r="B38" i="16"/>
  <c r="C38" i="16"/>
  <c r="D38" i="16"/>
  <c r="E38" i="16"/>
  <c r="F38" i="16"/>
  <c r="G38" i="16"/>
  <c r="B39" i="16"/>
  <c r="C39" i="16"/>
  <c r="D39" i="16"/>
  <c r="E39" i="16"/>
  <c r="F39" i="16"/>
  <c r="G39" i="16"/>
  <c r="B40" i="16"/>
  <c r="C40" i="16"/>
  <c r="D40" i="16"/>
  <c r="E40" i="16"/>
  <c r="F40" i="16"/>
  <c r="G40" i="16"/>
  <c r="B41" i="16"/>
  <c r="C41" i="16"/>
  <c r="D41" i="16"/>
  <c r="E41" i="16"/>
  <c r="F41" i="16"/>
  <c r="G41" i="16"/>
  <c r="B42" i="16"/>
  <c r="C42" i="16"/>
  <c r="D42" i="16"/>
  <c r="E42" i="16"/>
  <c r="F42" i="16"/>
  <c r="G42" i="16"/>
  <c r="B44" i="16"/>
  <c r="C44" i="16"/>
  <c r="D44" i="16"/>
  <c r="E44" i="16"/>
  <c r="F44" i="16"/>
  <c r="G44" i="16"/>
  <c r="B45" i="16"/>
  <c r="C45" i="16"/>
  <c r="D45" i="16"/>
  <c r="E45" i="16"/>
  <c r="F45" i="16"/>
  <c r="G45" i="16"/>
  <c r="B46" i="16"/>
  <c r="C46" i="16"/>
  <c r="D46" i="16"/>
  <c r="E46" i="16"/>
  <c r="F46" i="16"/>
  <c r="G46" i="16"/>
  <c r="B47" i="16"/>
  <c r="C47" i="16"/>
  <c r="D47" i="16"/>
  <c r="E47" i="16"/>
  <c r="F47" i="16"/>
  <c r="G47" i="16"/>
  <c r="B48" i="16"/>
  <c r="C48" i="16"/>
  <c r="D48" i="16"/>
  <c r="E48" i="16"/>
  <c r="F48" i="16"/>
  <c r="G48" i="16"/>
  <c r="B49" i="16"/>
  <c r="C49" i="16"/>
  <c r="D49" i="16"/>
  <c r="E49" i="16"/>
  <c r="F49" i="16"/>
  <c r="G49" i="16"/>
  <c r="B50" i="16"/>
  <c r="C50" i="16"/>
  <c r="D50" i="16"/>
  <c r="E50" i="16"/>
  <c r="F50" i="16"/>
  <c r="G50" i="16"/>
  <c r="B52" i="16"/>
  <c r="C52" i="16"/>
  <c r="D52" i="16"/>
  <c r="E52" i="16"/>
  <c r="F52" i="16"/>
  <c r="G52" i="16"/>
  <c r="B53" i="16"/>
  <c r="C53" i="16"/>
  <c r="D53" i="16"/>
  <c r="E53" i="16"/>
  <c r="F53" i="16"/>
  <c r="G53" i="16"/>
  <c r="B54" i="16"/>
  <c r="C54" i="16"/>
  <c r="D54" i="16"/>
  <c r="E54" i="16"/>
  <c r="F54" i="16"/>
  <c r="G54" i="16"/>
  <c r="N5" i="2"/>
  <c r="A6" i="2"/>
  <c r="N6" i="2"/>
  <c r="A7" i="2"/>
  <c r="N7" i="2"/>
  <c r="A8" i="2"/>
  <c r="N8" i="2"/>
  <c r="A9" i="2"/>
  <c r="N9" i="2"/>
  <c r="A10" i="2"/>
</calcChain>
</file>

<file path=xl/sharedStrings.xml><?xml version="1.0" encoding="utf-8"?>
<sst xmlns="http://schemas.openxmlformats.org/spreadsheetml/2006/main" count="2121" uniqueCount="793">
  <si>
    <t>Peoples Gas 6-day nomination Report</t>
  </si>
  <si>
    <t>Oani</t>
  </si>
  <si>
    <t xml:space="preserve">      </t>
  </si>
  <si>
    <t>N. Border Deliveries to PGL</t>
  </si>
  <si>
    <t>System Supply Alliance</t>
  </si>
  <si>
    <t>NSG SENDOUT:</t>
  </si>
  <si>
    <t>PANHANDLE</t>
  </si>
  <si>
    <t>TGC VIA</t>
  </si>
  <si>
    <t>TGL via PANHANDLE (WD)</t>
  </si>
  <si>
    <t>TGL via PANHANDLE (INJ)</t>
  </si>
  <si>
    <t>Somers Rd No-Notice</t>
  </si>
  <si>
    <t xml:space="preserve"> </t>
  </si>
  <si>
    <t>Click on any button to perform the appropriate action.</t>
  </si>
  <si>
    <t>Weather</t>
  </si>
  <si>
    <t>SUNNY</t>
  </si>
  <si>
    <t>Actual</t>
  </si>
  <si>
    <t>CLOUDY</t>
  </si>
  <si>
    <t>Average</t>
  </si>
  <si>
    <t>Monthly</t>
  </si>
  <si>
    <t>Seasonal</t>
  </si>
  <si>
    <t>Degree</t>
  </si>
  <si>
    <t>1 Word</t>
  </si>
  <si>
    <t>PARTLY</t>
  </si>
  <si>
    <t>High</t>
  </si>
  <si>
    <t>Low</t>
  </si>
  <si>
    <t>Wind Speed</t>
  </si>
  <si>
    <t>Temp</t>
  </si>
  <si>
    <t>Degree Day</t>
  </si>
  <si>
    <t>Day</t>
  </si>
  <si>
    <t>Forecast Line #1</t>
  </si>
  <si>
    <t>Forecast Line #2</t>
  </si>
  <si>
    <t>W. Code</t>
  </si>
  <si>
    <t>Description</t>
  </si>
  <si>
    <t>SNOW</t>
  </si>
  <si>
    <t>RAIN</t>
  </si>
  <si>
    <t>TSTORM</t>
  </si>
  <si>
    <t>Measured Deliveries</t>
  </si>
  <si>
    <t>Trunkline</t>
  </si>
  <si>
    <t>NGPL</t>
  </si>
  <si>
    <t>Mean</t>
  </si>
  <si>
    <t>Forecasted</t>
  </si>
  <si>
    <t>73rd</t>
  </si>
  <si>
    <t>Calumet</t>
  </si>
  <si>
    <t>Crawford</t>
  </si>
  <si>
    <t>O'Hare</t>
  </si>
  <si>
    <t>US Steel/</t>
  </si>
  <si>
    <t>112th &amp;</t>
  </si>
  <si>
    <t>Republic</t>
  </si>
  <si>
    <t>injected to</t>
  </si>
  <si>
    <t>10"</t>
  </si>
  <si>
    <t>16"</t>
  </si>
  <si>
    <t>SNG</t>
  </si>
  <si>
    <t>Union</t>
  </si>
  <si>
    <t>Mobil</t>
  </si>
  <si>
    <t>PERC</t>
  </si>
  <si>
    <t>PGL</t>
  </si>
  <si>
    <t>Sendout</t>
  </si>
  <si>
    <t>Street</t>
  </si>
  <si>
    <t>Edison</t>
  </si>
  <si>
    <t>Natural</t>
  </si>
  <si>
    <t>Manlove</t>
  </si>
  <si>
    <t>LPG</t>
  </si>
  <si>
    <t>ACME</t>
  </si>
  <si>
    <t>138th St.</t>
  </si>
  <si>
    <t>(LTV 2)</t>
  </si>
  <si>
    <t>LTV 3</t>
  </si>
  <si>
    <t>Ford</t>
  </si>
  <si>
    <t>Unmetered</t>
  </si>
  <si>
    <t>ANR</t>
  </si>
  <si>
    <t>Midwestern</t>
  </si>
  <si>
    <t>to LNG</t>
  </si>
  <si>
    <t>to Pipeline</t>
  </si>
  <si>
    <t>Injection</t>
  </si>
  <si>
    <t>TAP</t>
  </si>
  <si>
    <t>RFG</t>
  </si>
  <si>
    <t>Peaking</t>
  </si>
  <si>
    <t>BTU'S</t>
  </si>
  <si>
    <t>^^^^^^^^^^</t>
  </si>
  <si>
    <t>Note: that Crawford Edision</t>
  </si>
  <si>
    <t>is included in the</t>
  </si>
  <si>
    <t>Crawford Natural Total.</t>
  </si>
  <si>
    <t>Busse</t>
  </si>
  <si>
    <t>Tonne</t>
  </si>
  <si>
    <t>NSG</t>
  </si>
  <si>
    <t>Temp.</t>
  </si>
  <si>
    <t>Road</t>
  </si>
  <si>
    <t>Grayslake</t>
  </si>
  <si>
    <t>AVE. BTU</t>
  </si>
  <si>
    <t>Gas Owed By PGL</t>
  </si>
  <si>
    <t>Off-System Sales</t>
  </si>
  <si>
    <t>No-Notice</t>
  </si>
  <si>
    <t>PGL Displacements to NSG</t>
  </si>
  <si>
    <t>Calculated</t>
  </si>
  <si>
    <t>MGT</t>
  </si>
  <si>
    <t>LNG</t>
  </si>
  <si>
    <t>Midcon-50</t>
  </si>
  <si>
    <t>TGC</t>
  </si>
  <si>
    <t>to</t>
  </si>
  <si>
    <t>Liquefaction</t>
  </si>
  <si>
    <t>Linepack In</t>
  </si>
  <si>
    <t>Tolerance</t>
  </si>
  <si>
    <t>Fuel</t>
  </si>
  <si>
    <t>DSS</t>
  </si>
  <si>
    <t>NSS</t>
  </si>
  <si>
    <t>BESS</t>
  </si>
  <si>
    <t>Gas Owed to PGL</t>
  </si>
  <si>
    <t>Other Supplies</t>
  </si>
  <si>
    <t>Contractual</t>
  </si>
  <si>
    <t>Storage Withdrawals</t>
  </si>
  <si>
    <t>System Supply</t>
  </si>
  <si>
    <t>Linepack Out</t>
  </si>
  <si>
    <t>Midcon -50</t>
  </si>
  <si>
    <t>EOD-ADJ</t>
  </si>
  <si>
    <t>50 @ E.J.</t>
  </si>
  <si>
    <t>50 @ Busse</t>
  </si>
  <si>
    <t>Gas Owed</t>
  </si>
  <si>
    <t>Off_System Sales</t>
  </si>
  <si>
    <t>No Notice</t>
  </si>
  <si>
    <t>NSG Displacement to PGL</t>
  </si>
  <si>
    <t>by NSG</t>
  </si>
  <si>
    <t>NPGL</t>
  </si>
  <si>
    <t>NSG to PGL</t>
  </si>
  <si>
    <t>EOD ADJ.</t>
  </si>
  <si>
    <t>via NGPL</t>
  </si>
  <si>
    <t>via MGT</t>
  </si>
  <si>
    <t>via ANR</t>
  </si>
  <si>
    <t>to ANR</t>
  </si>
  <si>
    <t>to NGPL</t>
  </si>
  <si>
    <t>to MGT</t>
  </si>
  <si>
    <t>Flowing Supply</t>
  </si>
  <si>
    <t>To NSG</t>
  </si>
  <si>
    <t>Sys. Supply</t>
  </si>
  <si>
    <t>Rider</t>
  </si>
  <si>
    <t>@E.J.</t>
  </si>
  <si>
    <t>.</t>
  </si>
  <si>
    <t>Starting on:</t>
  </si>
  <si>
    <t>All values in 1000 DTH</t>
  </si>
  <si>
    <t>Weather:</t>
  </si>
  <si>
    <t>High/Low/Mean</t>
  </si>
  <si>
    <t>Sendout:</t>
  </si>
  <si>
    <t>Off-System Sales:</t>
  </si>
  <si>
    <t>NGPL:</t>
  </si>
  <si>
    <t>TGC:</t>
  </si>
  <si>
    <t>ANR:</t>
  </si>
  <si>
    <t>Injection:</t>
  </si>
  <si>
    <t>PGL:</t>
  </si>
  <si>
    <t>PGL Displacements to NSG:</t>
  </si>
  <si>
    <t>MGT:</t>
  </si>
  <si>
    <t>PGL(Manlove):</t>
  </si>
  <si>
    <t>Line Pack In:</t>
  </si>
  <si>
    <t>Gas Owed By PGL to:</t>
  </si>
  <si>
    <t>TOTAL REQUIREMENTS:</t>
  </si>
  <si>
    <t>Supply</t>
  </si>
  <si>
    <t>Storage Withdrawal:</t>
  </si>
  <si>
    <t>50 @ Busse Road</t>
  </si>
  <si>
    <t>NSG Displacement to PGL:</t>
  </si>
  <si>
    <t>NSG:</t>
  </si>
  <si>
    <t>to PGL (Manlove disp)</t>
  </si>
  <si>
    <t>RFG:</t>
  </si>
  <si>
    <t>PERC Peaking:</t>
  </si>
  <si>
    <t>TOTAL SUPPLY:</t>
  </si>
  <si>
    <t>SUPPLY SURPLUS:</t>
  </si>
  <si>
    <t>SUPPLY SHORTAGE:</t>
  </si>
  <si>
    <t>All Values in 1000 DTH</t>
  </si>
  <si>
    <t>Requirements</t>
  </si>
  <si>
    <t>Gas Owed by NSG:</t>
  </si>
  <si>
    <t>Manlove Field</t>
  </si>
  <si>
    <t>PGL Displacement to NSG:</t>
  </si>
  <si>
    <t>Flowing Supply:</t>
  </si>
  <si>
    <t>System Supply @ E.J.</t>
  </si>
  <si>
    <t>System Supply @ U.H.</t>
  </si>
  <si>
    <t>Average Wind Speed MPH (From 4am WSC Weather)</t>
  </si>
  <si>
    <t xml:space="preserve">  </t>
  </si>
  <si>
    <t>Gas Date:</t>
  </si>
  <si>
    <t xml:space="preserve">                     FINAL</t>
  </si>
  <si>
    <t>Nine to Nine</t>
  </si>
  <si>
    <t>Low:</t>
  </si>
  <si>
    <t>TEMPERATURES</t>
  </si>
  <si>
    <t>GRAYSLAKE</t>
  </si>
  <si>
    <t>BUSSE RD.</t>
  </si>
  <si>
    <t>TOTAL SENDOUT:</t>
  </si>
  <si>
    <t>MIDWESTERN</t>
  </si>
  <si>
    <t>131st &amp; BELL RD.</t>
  </si>
  <si>
    <t>TRUNKLINE</t>
  </si>
  <si>
    <t>MANLOVE</t>
  </si>
  <si>
    <t>LINEPACK IN</t>
  </si>
  <si>
    <t>LINEPACK OUT</t>
  </si>
  <si>
    <t>CHICAGO DISTRICT| NGPL</t>
  </si>
  <si>
    <t xml:space="preserve">ELWOOD TAP </t>
  </si>
  <si>
    <t>MAHOMET TAP</t>
  </si>
  <si>
    <t xml:space="preserve">NGPL TAKES    </t>
  </si>
  <si>
    <t>MANLOVE DISPLACEMENT</t>
  </si>
  <si>
    <t>NGPL OFF SYSTEM SALES</t>
  </si>
  <si>
    <t>DSS  (INJ.)</t>
  </si>
  <si>
    <t>MIDCON</t>
  </si>
  <si>
    <t>DSS   (OUT)</t>
  </si>
  <si>
    <t>NGPL DISPLACEMENT</t>
  </si>
  <si>
    <t>NGPL FTS</t>
  </si>
  <si>
    <t>NSS  (INJ.)</t>
  </si>
  <si>
    <t>NO-NOTICE  IN</t>
  </si>
  <si>
    <t>NO-NOTICE  OUT</t>
  </si>
  <si>
    <t>BESS (IN)</t>
  </si>
  <si>
    <t>NGPL CHICAGO DISTRICT</t>
  </si>
  <si>
    <t>INJECTION</t>
  </si>
  <si>
    <t>112 TH &amp; 138 STREET</t>
  </si>
  <si>
    <t>WITHDRAWAL</t>
  </si>
  <si>
    <t>REPUBLIC (LTV) 2</t>
  </si>
  <si>
    <t>LNG     (IN)</t>
  </si>
  <si>
    <t>CALUMET 2</t>
  </si>
  <si>
    <t>LNG (OUT)</t>
  </si>
  <si>
    <t>US STEEL &amp; ACME</t>
  </si>
  <si>
    <t>LTV STEEL</t>
  </si>
  <si>
    <t>FUEL USED</t>
  </si>
  <si>
    <t>NONMETERED</t>
  </si>
  <si>
    <t>DELIVERIES TO PIPELINE</t>
  </si>
  <si>
    <t>FORD</t>
  </si>
  <si>
    <t>NGPL 16"</t>
  </si>
  <si>
    <t>CALUMET EDISON</t>
  </si>
  <si>
    <t>NGPL 10"</t>
  </si>
  <si>
    <t>CALUMET 3</t>
  </si>
  <si>
    <t>CRAWFORD NATURAL</t>
  </si>
  <si>
    <t>SYS  SUPPLY  PGL</t>
  </si>
  <si>
    <t>OHARE 2</t>
  </si>
  <si>
    <t>OHARE 1</t>
  </si>
  <si>
    <t>NGPL TOTALS</t>
  </si>
  <si>
    <t>DELIVERED TO PIPELINE</t>
  </si>
  <si>
    <t>NORTH SHORE ANR</t>
  </si>
  <si>
    <t>ANR SYSTEM SUPPLY</t>
  </si>
  <si>
    <t>NI-GAS PAYBACK</t>
  </si>
  <si>
    <t>NS TO PGL DISPLACEMENT</t>
  </si>
  <si>
    <t>ANR-50 STORAGE (INJ.)</t>
  </si>
  <si>
    <t>A-HESS SYSTEM SUPPLY</t>
  </si>
  <si>
    <t>ANR-50 STORAGE (WITHDR)</t>
  </si>
  <si>
    <t>OFF SYSTEM SALES</t>
  </si>
  <si>
    <t>ANR-50 @ BUSSE RD.</t>
  </si>
  <si>
    <t>ANR-50 @ E. JOLIET</t>
  </si>
  <si>
    <t>DELIVERY TO EAST JOLIET</t>
  </si>
  <si>
    <t>DELIVERY TO BUSSE RD.</t>
  </si>
  <si>
    <t>NORTH SHORE MIDWESTERN</t>
  </si>
  <si>
    <t>MGT SYSTEM SUPPLY</t>
  </si>
  <si>
    <t>TEJAS/ QNT</t>
  </si>
  <si>
    <t>MGT INJ TO MANLOVE</t>
  </si>
  <si>
    <t>TGL-30 (INJ.)</t>
  </si>
  <si>
    <t>MGT DISPLACEMENT</t>
  </si>
  <si>
    <t>TGL-30 (WITHDRAWAL)</t>
  </si>
  <si>
    <t>SNG TAP</t>
  </si>
  <si>
    <t>DELIVER TO FIELD (INJ)</t>
  </si>
  <si>
    <t xml:space="preserve">RFG Union       </t>
  </si>
  <si>
    <t xml:space="preserve">        Total RFG</t>
  </si>
  <si>
    <t>GAS OWED BY PGL</t>
  </si>
  <si>
    <t>MOBIL</t>
  </si>
  <si>
    <t>73 RD AND CRAWFORD STATIONS</t>
  </si>
  <si>
    <t>Gas Day</t>
  </si>
  <si>
    <t>73RD   TOTALS</t>
  </si>
  <si>
    <t>CRAWFORD MAHOMET</t>
  </si>
  <si>
    <t>TOTAL MAHOMET PIPELINE</t>
  </si>
  <si>
    <t>Ave. TEMP.</t>
  </si>
  <si>
    <t>Ave. wind</t>
  </si>
  <si>
    <t>BTU</t>
  </si>
  <si>
    <t>MIDCON GAS SERVICES CORP.</t>
  </si>
  <si>
    <t>Send To:</t>
  </si>
  <si>
    <t>Acct Rep.:</t>
  </si>
  <si>
    <t>Operations</t>
  </si>
  <si>
    <t>MidCon Gas Services Corp.</t>
  </si>
  <si>
    <t xml:space="preserve">For Emergencies, </t>
  </si>
  <si>
    <t>Call:  1 (800) 424-7039</t>
  </si>
  <si>
    <t>NOMINATION FORM</t>
  </si>
  <si>
    <t>As Per Agreement:  FIRM STORAGE GAS SALE AND PURCHASE CONTRACT by and between</t>
  </si>
  <si>
    <t>MIDCON GAS SERVICES CORP. and THE PEOPLES GAS LIGHT AND COKE COMPANY</t>
  </si>
  <si>
    <t>(50 Day Storage Service Agreement)</t>
  </si>
  <si>
    <t>Today's Date:</t>
  </si>
  <si>
    <t>Time:</t>
  </si>
  <si>
    <t>Customer Contact:</t>
  </si>
  <si>
    <t>Phone:</t>
  </si>
  <si>
    <t>312-240-4754</t>
  </si>
  <si>
    <t xml:space="preserve">  1st of Month Nomination - Due 2 Business Days Prior to Start of Month (100,000 MDQ)</t>
  </si>
  <si>
    <t xml:space="preserve">  Regular Nomination - Due by 9:00 a.m. for Gas Flow the Following Day (100,000 MDQ)</t>
  </si>
  <si>
    <t>Effective Date of Nomination:</t>
  </si>
  <si>
    <t>Total Nomination Change to:</t>
  </si>
  <si>
    <t xml:space="preserve">  MMBtu</t>
  </si>
  <si>
    <t>Total Nomination Change from:</t>
  </si>
  <si>
    <t>Estimated 5 Day Nominations:</t>
  </si>
  <si>
    <t xml:space="preserve">    Comments:</t>
  </si>
  <si>
    <t>Notes:</t>
  </si>
  <si>
    <t>/2 Please fax all nominations forms to the attention of the above listed indivduals.</t>
  </si>
  <si>
    <t>/3 All Terms and Conditions are per the above refernced Agreement.</t>
  </si>
  <si>
    <t>Temperatures</t>
  </si>
  <si>
    <t>Degree Days</t>
  </si>
  <si>
    <t>Degree Day Deviation</t>
  </si>
  <si>
    <t>High:</t>
  </si>
  <si>
    <t>Today:</t>
  </si>
  <si>
    <t>Daily:</t>
  </si>
  <si>
    <t>Month to Date:</t>
  </si>
  <si>
    <t>Monthly:</t>
  </si>
  <si>
    <t>Average:</t>
  </si>
  <si>
    <t>Season:</t>
  </si>
  <si>
    <t>PARTLY CLOUDY/SUNNY</t>
  </si>
  <si>
    <t>THUNDERSTORMS</t>
  </si>
  <si>
    <t>SUNNY/CLEAR</t>
  </si>
  <si>
    <t>Activity</t>
  </si>
  <si>
    <t>Total Requirements</t>
  </si>
  <si>
    <t>Leased Storage w/d</t>
  </si>
  <si>
    <t>Leased Storage inj.</t>
  </si>
  <si>
    <t>Net Manlove</t>
  </si>
  <si>
    <t>Manlove In</t>
  </si>
  <si>
    <t>Manlove Out</t>
  </si>
  <si>
    <t>NOTE:  Occasionally, the current day's Degree Day value and the current day's average temperature (where</t>
  </si>
  <si>
    <t xml:space="preserve">average temp &lt; 65) do not sum to 65.  This is due to the fact that the current day's average temperature is </t>
  </si>
  <si>
    <t xml:space="preserve">based on a Noon to Noon day while the current day's Degree Days (as reported by the National Weather </t>
  </si>
  <si>
    <t>Service) are based on Midnight to Midnight days.</t>
  </si>
  <si>
    <t>PEOPLES GAS LIGHT AND COKE COMPANY</t>
  </si>
  <si>
    <t>ACTIVITY</t>
  </si>
  <si>
    <t>NGPL TAKE</t>
  </si>
  <si>
    <t>DSS W/D</t>
  </si>
  <si>
    <t>NSS W/D</t>
  </si>
  <si>
    <t>BESS W/D</t>
  </si>
  <si>
    <t>DSS INJ.</t>
  </si>
  <si>
    <t>NSS INJ.</t>
  </si>
  <si>
    <t>BESS INJ.</t>
  </si>
  <si>
    <t>ELWOOD TAP</t>
  </si>
  <si>
    <t>NORTH SHORE GAS COMPANY</t>
  </si>
  <si>
    <t>MANLOVE W/D</t>
  </si>
  <si>
    <t>CUSHION W/D</t>
  </si>
  <si>
    <t>MANLOVE INJ.</t>
  </si>
  <si>
    <t>GAS DAY</t>
  </si>
  <si>
    <t>OFF-SYSTEM SALES</t>
  </si>
  <si>
    <t>BUSSE RD</t>
  </si>
  <si>
    <t>TONNE ROAD</t>
  </si>
  <si>
    <t>NSG LP</t>
  </si>
  <si>
    <t>TOTAL MANLOVE INJECTION</t>
  </si>
  <si>
    <t>MANLOVE WITHD.</t>
  </si>
  <si>
    <t>NGPL ACTIVITY</t>
  </si>
  <si>
    <t xml:space="preserve">NSG MIDWESTERN ACTIVITY </t>
  </si>
  <si>
    <t>MGT INJ. @ MANLOVE</t>
  </si>
  <si>
    <t>FTS SUPPLY</t>
  </si>
  <si>
    <t>MGT @ UNIOIN HILL</t>
  </si>
  <si>
    <t>NO-NOTICE IN</t>
  </si>
  <si>
    <t>NO-NOTICE OUT</t>
  </si>
  <si>
    <t>DSS INJECTION</t>
  </si>
  <si>
    <t>ANR ACTIVITY @ BUSSE RD.</t>
  </si>
  <si>
    <t>DSS WITHDRAWAL</t>
  </si>
  <si>
    <t>ANR INJ. @ MANLOVE</t>
  </si>
  <si>
    <t>NSG-PGL ANR-ANR DISP.</t>
  </si>
  <si>
    <t>PGL TO NSG  NGPL-ANR</t>
  </si>
  <si>
    <t>ANR-50 INJECTION</t>
  </si>
  <si>
    <t>ANR-50 W\DRAWAL @ BUSSE  RD.</t>
  </si>
  <si>
    <t>BESS INJECTION</t>
  </si>
  <si>
    <t>ANR-50 PGL W/D @ BUSSE RD.</t>
  </si>
  <si>
    <t>BESS WITHDRAWAL</t>
  </si>
  <si>
    <t>ANR SYSTEM SUPPLY @ E. JOLIET</t>
  </si>
  <si>
    <t>NSS INJECTION</t>
  </si>
  <si>
    <t>PGL-NSG ANR-ANR DISPLACEMENT</t>
  </si>
  <si>
    <t>NSS WITHDRAWAL</t>
  </si>
  <si>
    <t>ANR OFF-SYSTEM SALES</t>
  </si>
  <si>
    <t>ANR TO BUSSE RD.</t>
  </si>
  <si>
    <t>NGPL GAS SUMMARY</t>
  </si>
  <si>
    <t>Date:</t>
  </si>
  <si>
    <t>NOTE: Imbalances began February 11, 1997</t>
  </si>
  <si>
    <t>Daily</t>
  </si>
  <si>
    <t>TOTAL</t>
  </si>
  <si>
    <t>Accumulative</t>
  </si>
  <si>
    <t>Short</t>
  </si>
  <si>
    <t>Long</t>
  </si>
  <si>
    <t>SHORT</t>
  </si>
  <si>
    <t>LONG</t>
  </si>
  <si>
    <t>Normal</t>
  </si>
  <si>
    <t>Normal Monthly</t>
  </si>
  <si>
    <t>Normal Seasonal</t>
  </si>
  <si>
    <t>Daily Degree Day</t>
  </si>
  <si>
    <t>ANR-50 W\DRAWAL @ E. JOLIET</t>
  </si>
  <si>
    <t xml:space="preserve">                            MIDWESTERN</t>
  </si>
  <si>
    <t>SYS  SUPPLY  NS+TGL30</t>
  </si>
  <si>
    <t>NEW DAY NOMINATIONS/DELIVERIES</t>
  </si>
  <si>
    <t>ANR-50 W/D</t>
  </si>
  <si>
    <t>Payback ANR-PGL</t>
  </si>
  <si>
    <t>Payback PGL-ANR</t>
  </si>
  <si>
    <t>Payback MIDW-PGL</t>
  </si>
  <si>
    <t>Payback PGL-MIDW</t>
  </si>
  <si>
    <t>Total Nominations</t>
  </si>
  <si>
    <t>Payback TGC-PGL</t>
  </si>
  <si>
    <t>Payback PGL-TGC</t>
  </si>
  <si>
    <t>Gas Day:</t>
  </si>
  <si>
    <t>Tommy Crowder</t>
  </si>
  <si>
    <t>Curtis Cole</t>
  </si>
  <si>
    <t>Phone:  (630) 691-3720</t>
  </si>
  <si>
    <t>Fax:  (630) 282-2073</t>
  </si>
  <si>
    <t>Phone:  (713) 963-3124</t>
  </si>
  <si>
    <t>Fax:  (713) 964-5774</t>
  </si>
  <si>
    <t xml:space="preserve">  Late Nomination - Due by 7:00 a.m. for Gas Flow Current Day (+/-50,000 MDQ in Total for </t>
  </si>
  <si>
    <t>PGLC/ North Shore combined)</t>
  </si>
  <si>
    <t>1) Contact names:  Tommy Crowder @ (713) 963-3124 or Lynn Kimball @ (713) 963-3027.)</t>
  </si>
  <si>
    <t>Nominations for:  NORTH SHORE GAS COMPANY</t>
  </si>
  <si>
    <t>Busse Rd.</t>
  </si>
  <si>
    <t>Transportation Gas</t>
  </si>
  <si>
    <t xml:space="preserve">*TRANSPORTATION GAS </t>
  </si>
  <si>
    <t>*TRANSPORTATION GAS - ESTIMATED NOMINATIONS</t>
  </si>
  <si>
    <t>Night Ave. Temp.</t>
  </si>
  <si>
    <t>ANR-50 Withdrawal</t>
  </si>
  <si>
    <t>USED FOR HEAT NOT DILUTION GAS</t>
  </si>
  <si>
    <t>73 RD &amp; CM / BUSSE</t>
  </si>
  <si>
    <t>NICOR</t>
  </si>
  <si>
    <t>NICOR:</t>
  </si>
  <si>
    <t>OAKTON ST.</t>
  </si>
  <si>
    <t>Oakton</t>
  </si>
  <si>
    <t>Stn.</t>
  </si>
  <si>
    <t>NSS  (OUT)</t>
  </si>
  <si>
    <t>NICOR OFFSYSTEM SALES</t>
  </si>
  <si>
    <t>TORREZ</t>
  </si>
  <si>
    <t>X</t>
  </si>
  <si>
    <t xml:space="preserve">High    </t>
  </si>
  <si>
    <t>Transportation Gas+P/BACK</t>
  </si>
  <si>
    <r>
      <t xml:space="preserve"> </t>
    </r>
    <r>
      <rPr>
        <u/>
        <sz val="12"/>
        <rFont val="Arial"/>
        <family val="2"/>
      </rPr>
      <t xml:space="preserve"> </t>
    </r>
  </si>
  <si>
    <t xml:space="preserve">         TRUNKLINE TOTAL:</t>
  </si>
  <si>
    <t>MANLOVE FIELD</t>
  </si>
  <si>
    <t xml:space="preserve">v </t>
  </si>
  <si>
    <t>DISPLACEMENT</t>
  </si>
  <si>
    <t>NBDR</t>
  </si>
  <si>
    <t>Morning Ave.      49</t>
  </si>
  <si>
    <t xml:space="preserve">                         Temperatures</t>
  </si>
  <si>
    <t>SENDOUT:</t>
  </si>
  <si>
    <t>PGL Nine to Nine</t>
  </si>
  <si>
    <t>Northern Border</t>
  </si>
  <si>
    <t>RFG/Dilution Gas</t>
  </si>
  <si>
    <t>Mahomet Deliveries</t>
  </si>
  <si>
    <t>Crawford LP</t>
  </si>
  <si>
    <t>Chicago District (NGPL)</t>
  </si>
  <si>
    <t>Elwood Tap</t>
  </si>
  <si>
    <t>Manlove Tap</t>
  </si>
  <si>
    <t>NGPL Takes</t>
  </si>
  <si>
    <t>Manlove Displacement</t>
  </si>
  <si>
    <t>Off System Sales</t>
  </si>
  <si>
    <t>DSS  Injection</t>
  </si>
  <si>
    <t>NSS Injection</t>
  </si>
  <si>
    <t>BESS Injection</t>
  </si>
  <si>
    <t>NGPL Displacement</t>
  </si>
  <si>
    <t>NGPL Transportation</t>
  </si>
  <si>
    <t>No-Notice In</t>
  </si>
  <si>
    <t>No-Notice Out</t>
  </si>
  <si>
    <t>DSS Out</t>
  </si>
  <si>
    <t>NSS Out</t>
  </si>
  <si>
    <t>ANR-50 Injection</t>
  </si>
  <si>
    <t>Payback PGL to ANR</t>
  </si>
  <si>
    <t>Payback ANR to PGL</t>
  </si>
  <si>
    <t>Nominated to Pipeline</t>
  </si>
  <si>
    <t>System Supply NSG</t>
  </si>
  <si>
    <t>System Supply PGL</t>
  </si>
  <si>
    <t>Payback PGL to Midw.</t>
  </si>
  <si>
    <t>Payback Midw. to PGL</t>
  </si>
  <si>
    <t>Withdrawal</t>
  </si>
  <si>
    <t xml:space="preserve">LNG In </t>
  </si>
  <si>
    <t>LNG Out</t>
  </si>
  <si>
    <t>Fuel Used</t>
  </si>
  <si>
    <t>Deliveries to Pipeline</t>
  </si>
  <si>
    <t>Off-System</t>
  </si>
  <si>
    <t>QNT</t>
  </si>
  <si>
    <t>Payback PGL to TRNK</t>
  </si>
  <si>
    <t>Payback TRNK to PGL</t>
  </si>
  <si>
    <t>TGL - 30 Injection</t>
  </si>
  <si>
    <t>TGL - 30 Withdrawal</t>
  </si>
  <si>
    <t>Deliveries to Injection</t>
  </si>
  <si>
    <t>112th Street</t>
  </si>
  <si>
    <t>138th Street</t>
  </si>
  <si>
    <t>Republic (LTV) 2</t>
  </si>
  <si>
    <t>Calumet 2</t>
  </si>
  <si>
    <t>US Steel</t>
  </si>
  <si>
    <t>Acme Steel</t>
  </si>
  <si>
    <t>LTV Steel</t>
  </si>
  <si>
    <t>Nonmetered</t>
  </si>
  <si>
    <t>126th &amp; Saginaw ( Ford)</t>
  </si>
  <si>
    <t>Calumet Edison</t>
  </si>
  <si>
    <t>Calumet 3</t>
  </si>
  <si>
    <t>Crawford NGPL</t>
  </si>
  <si>
    <t>Ohare 1</t>
  </si>
  <si>
    <t xml:space="preserve">Ohare 2 </t>
  </si>
  <si>
    <t xml:space="preserve">                                 </t>
  </si>
  <si>
    <t>Union ( Citgo) RFG</t>
  </si>
  <si>
    <t>Mobil RFG</t>
  </si>
  <si>
    <t>131st &amp; Bell Road</t>
  </si>
  <si>
    <t>PERK Peaking</t>
  </si>
  <si>
    <t>Off- System</t>
  </si>
  <si>
    <t>Payback PGL- NBDR</t>
  </si>
  <si>
    <t>Payback NBDR - PGL</t>
  </si>
  <si>
    <t>Deliveries to Manhattan</t>
  </si>
  <si>
    <t>Deliveries to Bell Road</t>
  </si>
  <si>
    <t>73rd Totals</t>
  </si>
  <si>
    <t>Crawford Mahomet</t>
  </si>
  <si>
    <t>Ave. Temp.</t>
  </si>
  <si>
    <t>Ave. Wind</t>
  </si>
  <si>
    <t>Evening Ave.</t>
  </si>
  <si>
    <t xml:space="preserve">Nights Ave. </t>
  </si>
  <si>
    <t>Displacement NSG - PGL</t>
  </si>
  <si>
    <t>PGL TO NSG  PGL-NGPL</t>
  </si>
  <si>
    <t>TPC/Hess</t>
  </si>
  <si>
    <t>TGC QNT</t>
  </si>
  <si>
    <t>System Supply+Payback</t>
  </si>
  <si>
    <t>System Supply +Payback</t>
  </si>
  <si>
    <t xml:space="preserve">                 Final</t>
  </si>
  <si>
    <t>Temperature</t>
  </si>
  <si>
    <t>Busse Road</t>
  </si>
  <si>
    <t>Tonne Road</t>
  </si>
  <si>
    <t>Lake Cook Totals</t>
  </si>
  <si>
    <t>Peterson Road LP</t>
  </si>
  <si>
    <t>NGPL TAKES</t>
  </si>
  <si>
    <t>BESS Withdrawal</t>
  </si>
  <si>
    <t>Displ. NSG to PGL</t>
  </si>
  <si>
    <t>Delivery to Pipeline</t>
  </si>
  <si>
    <t>ANR - 50 Withdrawal</t>
  </si>
  <si>
    <t>No-Notice Injection</t>
  </si>
  <si>
    <t>No-Notice Withdrawal</t>
  </si>
  <si>
    <t>PBack NBDR to PGL</t>
  </si>
  <si>
    <t>PBack PGL to NBDR</t>
  </si>
  <si>
    <t>Displacement to PGL</t>
  </si>
  <si>
    <t>Injection to Manlove</t>
  </si>
  <si>
    <t>Peterson Road LP Plant</t>
  </si>
  <si>
    <t>Gallons Used (x.09083)</t>
  </si>
  <si>
    <t>Dekatherm Flow</t>
  </si>
  <si>
    <t>NSG owes NICOR</t>
  </si>
  <si>
    <t>NICOR owes NSG</t>
  </si>
  <si>
    <t>System Supply NSG &amp; PGL</t>
  </si>
  <si>
    <t>TGL-30 @ Midwestern</t>
  </si>
  <si>
    <t>PGL TO NSG  NGPL-MGT</t>
  </si>
  <si>
    <t>to NBDR</t>
  </si>
  <si>
    <t xml:space="preserve">                     NBDR</t>
  </si>
  <si>
    <t xml:space="preserve">     Transportation Gas</t>
  </si>
  <si>
    <t xml:space="preserve">System Supply </t>
  </si>
  <si>
    <t xml:space="preserve">                     Northern Border</t>
  </si>
  <si>
    <t>Elwood</t>
  </si>
  <si>
    <t>PGL-NSG Displacement</t>
  </si>
  <si>
    <t>NSG-PGL Displacement</t>
  </si>
  <si>
    <t>@Manhattan</t>
  </si>
  <si>
    <t>Payback NBDR-PGL</t>
  </si>
  <si>
    <t>Payback PGL-NBDR</t>
  </si>
  <si>
    <t>Manlove PGL-NSG</t>
  </si>
  <si>
    <t>ANR-50 W/D @ Busse</t>
  </si>
  <si>
    <t>ANR-50 W/D @ E. Joliet</t>
  </si>
  <si>
    <t xml:space="preserve">        Temperatures</t>
  </si>
  <si>
    <t xml:space="preserve">Morning Ave. Temp.     </t>
  </si>
  <si>
    <t>NATIONAL</t>
  </si>
  <si>
    <t>HOLNAM</t>
  </si>
  <si>
    <t>STEELMET</t>
  </si>
  <si>
    <t>122ND</t>
  </si>
  <si>
    <t>134TH</t>
  </si>
  <si>
    <t>MRBLHD#1</t>
  </si>
  <si>
    <t>MRBLHD#2</t>
  </si>
  <si>
    <t>SH BELL</t>
  </si>
  <si>
    <t>GNRL MILLS</t>
  </si>
  <si>
    <t xml:space="preserve">Injection </t>
  </si>
  <si>
    <t>Oakton to NICOR</t>
  </si>
  <si>
    <t>Deliveries to NICOR</t>
  </si>
  <si>
    <t>Deliveries @ Man.North</t>
  </si>
  <si>
    <t>Deliveries @ Manlove</t>
  </si>
  <si>
    <t xml:space="preserve">Deliveries @ Busse </t>
  </si>
  <si>
    <t>Deliveries @ Midwest</t>
  </si>
  <si>
    <t>Deliveries @ E. Joliet</t>
  </si>
  <si>
    <t>via NBDR</t>
  </si>
  <si>
    <t>Morning Avg.</t>
  </si>
  <si>
    <t>Evening Avg.</t>
  </si>
  <si>
    <t xml:space="preserve">Nights Avg. </t>
  </si>
  <si>
    <t xml:space="preserve">Deliveries @ Man.South </t>
  </si>
  <si>
    <t>Deliveries to Manlove</t>
  </si>
  <si>
    <t>131st &amp; Bell Rd.</t>
  </si>
  <si>
    <t>ANR total delivery</t>
  </si>
  <si>
    <t>Manlove Lng/Injection (-)</t>
  </si>
  <si>
    <t>Midwestern total delivery</t>
  </si>
  <si>
    <t>Northern Border total del.</t>
  </si>
  <si>
    <t>Trunkline total delivery</t>
  </si>
  <si>
    <t>Linepack Out   (+)</t>
  </si>
  <si>
    <t>Linepack In      (-)</t>
  </si>
  <si>
    <t>Elwood Energy</t>
  </si>
  <si>
    <t>Deliveries @ Elwood Energy</t>
  </si>
  <si>
    <t>Man. North</t>
  </si>
  <si>
    <t>Man. South</t>
  </si>
  <si>
    <t>MCF</t>
  </si>
  <si>
    <t>DKT</t>
  </si>
  <si>
    <t>PGL SENDOUT</t>
  </si>
  <si>
    <t xml:space="preserve">CRAWFORD LP </t>
  </si>
  <si>
    <t>112 TH &amp; 138 TH STREET</t>
  </si>
  <si>
    <t>REPUBLIC (LTV)2</t>
  </si>
  <si>
    <t>73 RD STREET</t>
  </si>
  <si>
    <t>US STEEL &amp; ACME STEEL</t>
  </si>
  <si>
    <t>MAHOMET TOTALS</t>
  </si>
  <si>
    <t>126th &amp; SAGINAW (FORD)</t>
  </si>
  <si>
    <t>131 ST &amp; BELL RD.  (PERC)</t>
  </si>
  <si>
    <t>NORTHERN BORDER</t>
  </si>
  <si>
    <t xml:space="preserve">LINEPACK IN </t>
  </si>
  <si>
    <t>TOTAL MAHOMET</t>
  </si>
  <si>
    <t>CHICAGO DISTRICT</t>
  </si>
  <si>
    <t>TOTAL NGPL TAKES</t>
  </si>
  <si>
    <t xml:space="preserve">MANLOVE  NSG TO PGL </t>
  </si>
  <si>
    <t xml:space="preserve">MANLOVE  PGL TO NSG </t>
  </si>
  <si>
    <t>DSS (INJ)</t>
  </si>
  <si>
    <t>MW SYSTEM SUPPLY</t>
  </si>
  <si>
    <t>NSS (INJ)</t>
  </si>
  <si>
    <t>TGL-30 @ MIDWESTERN</t>
  </si>
  <si>
    <t>BESS (INJ)</t>
  </si>
  <si>
    <t>MW Off-System Sales</t>
  </si>
  <si>
    <t>MW DISPLACEMENT</t>
  </si>
  <si>
    <t>TL SYSTEM SUPPLY</t>
  </si>
  <si>
    <t>TEJAS/QNT</t>
  </si>
  <si>
    <t>ANR DISPLACEMENT</t>
  </si>
  <si>
    <t>NO-NOTICE  (INJ)</t>
  </si>
  <si>
    <t>NO-NOTICE  (W/D)</t>
  </si>
  <si>
    <t>TOTAL DELIVERIES</t>
  </si>
  <si>
    <t>DELIVERY TO LNG</t>
  </si>
  <si>
    <t>BESS (W/D)</t>
  </si>
  <si>
    <t>DELIVERY TO INJ.</t>
  </si>
  <si>
    <t>DSS (W/D)</t>
  </si>
  <si>
    <t>MANLOVE INJ. TOTAL</t>
  </si>
  <si>
    <t>NSS (W/D)</t>
  </si>
  <si>
    <t>MANLOVE WITHDRAWAL</t>
  </si>
  <si>
    <t>LNG (IN)</t>
  </si>
  <si>
    <t>Northern Border Off-System Sales</t>
  </si>
  <si>
    <t>NGPL 1O"</t>
  </si>
  <si>
    <t>INJ. FUEL</t>
  </si>
  <si>
    <t>HIGH TEMPERATURE</t>
  </si>
  <si>
    <t>LOW TEMPERATURE</t>
  </si>
  <si>
    <t>AVERAGE TEMPERATURE</t>
  </si>
  <si>
    <t>AVERAGE WIND</t>
  </si>
  <si>
    <t xml:space="preserve">AVERAGE BTU </t>
  </si>
  <si>
    <t>* Transportation Gas - Estimated Nominations</t>
  </si>
  <si>
    <t>MOBIL RFG</t>
  </si>
  <si>
    <t>COPIES TO WEAR , GAS ACCOUNTING and GAS TRANSPORTATION (DI VALERIO)</t>
  </si>
  <si>
    <t>Elwood / NICOR</t>
  </si>
  <si>
    <t>Elwood Gas Usage</t>
  </si>
  <si>
    <t>Elwood/NICOR Nom</t>
  </si>
  <si>
    <t xml:space="preserve"> Elwood Energy</t>
  </si>
  <si>
    <t>Northern Borders</t>
  </si>
  <si>
    <t>S</t>
  </si>
  <si>
    <t xml:space="preserve">                   </t>
  </si>
  <si>
    <t xml:space="preserve">       Elwood Usage</t>
  </si>
  <si>
    <t>Crawford LPG</t>
  </si>
  <si>
    <t xml:space="preserve">   </t>
  </si>
  <si>
    <t>ANR No-Notice Injection</t>
  </si>
  <si>
    <t>ANR No-Notice Withdrawal</t>
  </si>
  <si>
    <t xml:space="preserve">                            ANR</t>
  </si>
  <si>
    <t>Elwood nom</t>
  </si>
  <si>
    <t>Elwood burn</t>
  </si>
  <si>
    <t>Somers</t>
  </si>
  <si>
    <t>@Somers</t>
  </si>
  <si>
    <t>System Supply @ Som.</t>
  </si>
  <si>
    <t>SOMERS Rd.</t>
  </si>
  <si>
    <t>Sys Supply @ Somers Rd.</t>
  </si>
  <si>
    <t>Somers Rd.</t>
  </si>
  <si>
    <t>ANR SYSTEM SUPPLY @ Somers Rd.</t>
  </si>
  <si>
    <t xml:space="preserve">                  Minimum take :</t>
  </si>
  <si>
    <t>Somers Road</t>
  </si>
  <si>
    <t>ANR SOMERS RD.</t>
  </si>
  <si>
    <t>No - Notice</t>
  </si>
  <si>
    <t>Deliveries to Somers Rd.</t>
  </si>
  <si>
    <t>+</t>
  </si>
  <si>
    <t>North Shore 6-day nomination Report</t>
  </si>
  <si>
    <t>NORTHERN BORDERS @ BELL ROAD</t>
  </si>
  <si>
    <t>NRTHRN BRDRS @ MANHATTAN SOUTH</t>
  </si>
  <si>
    <t>CRAWFORD LINE 2</t>
  </si>
  <si>
    <t>73RD LINE 1</t>
  </si>
  <si>
    <t>PERC PEAKING @ BELL ROAD</t>
  </si>
  <si>
    <t>MANLOVE WITHDRAWLS</t>
  </si>
  <si>
    <t>NGPL TAP</t>
  </si>
  <si>
    <t>LNG VAPORIZED</t>
  </si>
  <si>
    <t>MANLOVE INJECTION</t>
  </si>
  <si>
    <t>LNG LIQUEFACTION</t>
  </si>
  <si>
    <t>ELWOOD ENERGY</t>
  </si>
  <si>
    <t>MANLOVE &amp; ELWOOD ENERGY REQUIREMENTS</t>
  </si>
  <si>
    <t>LINE 2</t>
  </si>
  <si>
    <t>LINE 1</t>
  </si>
  <si>
    <t>LINE SEGMENT</t>
  </si>
  <si>
    <t>LINE 1 MF-MS</t>
  </si>
  <si>
    <t>LINE 2 MS-CM</t>
  </si>
  <si>
    <t>LINE 2 MF-MS</t>
  </si>
  <si>
    <t>LINE 1 MS-73</t>
  </si>
  <si>
    <t>MIN PSIG</t>
  </si>
  <si>
    <t>MAX PSIG</t>
  </si>
  <si>
    <t>AVG</t>
  </si>
  <si>
    <t>FACTOR</t>
  </si>
  <si>
    <t>OUT MMCF</t>
  </si>
  <si>
    <t>IN MMCF</t>
  </si>
  <si>
    <t xml:space="preserve">    AVAILABLE LINE PACK</t>
  </si>
  <si>
    <t>LINEPACK</t>
  </si>
  <si>
    <t>NET DELIVERIES TO MAHOMET SYSTEM</t>
  </si>
  <si>
    <t>EDWARDS RD</t>
  </si>
  <si>
    <t>TONNE RD</t>
  </si>
  <si>
    <t>LP GAS @ CRAWFORD</t>
  </si>
  <si>
    <t xml:space="preserve">NOTE HIGHLIGHTED AREAS NEED VALUES INSERTED DAILY </t>
  </si>
  <si>
    <t>SOMERS RD</t>
  </si>
  <si>
    <t>LP @ PETERSON RD</t>
  </si>
  <si>
    <t>NS SENDOUT</t>
  </si>
  <si>
    <t>SHORT(-)OR LONG(+)</t>
  </si>
  <si>
    <t>NET MAHOMET DELIVERIES</t>
  </si>
  <si>
    <t>EDISON MISSION PREVIOUS DAY</t>
  </si>
  <si>
    <t>NGPL NOMINATED</t>
  </si>
  <si>
    <t xml:space="preserve">Morning Avg.       </t>
  </si>
  <si>
    <t>US/ACME</t>
  </si>
  <si>
    <t>TOTAL Northern Border</t>
  </si>
  <si>
    <t>Deliveries to Manhattan North</t>
  </si>
  <si>
    <t>Deliveries to Manhattan South</t>
  </si>
  <si>
    <t xml:space="preserve">            </t>
  </si>
  <si>
    <t>NO-NOTICE</t>
  </si>
  <si>
    <t>System Supply ANR</t>
  </si>
  <si>
    <t>Edison Misson Total</t>
  </si>
  <si>
    <t>Total Mahomet</t>
  </si>
  <si>
    <t/>
  </si>
  <si>
    <t>IN</t>
  </si>
  <si>
    <t>OUT</t>
  </si>
  <si>
    <t xml:space="preserve"> NO</t>
  </si>
  <si>
    <t>NOTICE</t>
  </si>
  <si>
    <t>**FORMULA**</t>
  </si>
  <si>
    <t>WITHDRAW</t>
  </si>
  <si>
    <t>In</t>
  </si>
  <si>
    <t>Out</t>
  </si>
  <si>
    <t xml:space="preserve">         Linepack</t>
  </si>
  <si>
    <t xml:space="preserve"> NGPL No-Notice</t>
  </si>
  <si>
    <t xml:space="preserve">             LNG</t>
  </si>
  <si>
    <t>ANR N0-Notice</t>
  </si>
  <si>
    <t xml:space="preserve">             Don't call suppliers till we get a nomination from NICOR.</t>
  </si>
  <si>
    <t xml:space="preserve">NOTE: If Elwood is to burn any gas make sure Northern Border knows it. </t>
  </si>
  <si>
    <t>ANR No-Notice Withdraw</t>
  </si>
  <si>
    <t>Lincoln Energy</t>
  </si>
  <si>
    <t>Deliveries @ Lincoln Energy</t>
  </si>
  <si>
    <t xml:space="preserve">    </t>
  </si>
  <si>
    <t>NGPL-DSS</t>
  </si>
  <si>
    <t>MANLOVE NGPL</t>
  </si>
  <si>
    <t>Hub Activities</t>
  </si>
  <si>
    <t>HUB</t>
  </si>
  <si>
    <t>Activities</t>
  </si>
  <si>
    <t>Fisk</t>
  </si>
  <si>
    <t xml:space="preserve">             Midwest Generation</t>
  </si>
  <si>
    <t>Lincoln</t>
  </si>
  <si>
    <t xml:space="preserve">          Daniels</t>
  </si>
  <si>
    <t>SCADA</t>
  </si>
  <si>
    <t>Unicom</t>
  </si>
  <si>
    <t>These four generators are included in sendout</t>
  </si>
  <si>
    <t>not included in sendout</t>
  </si>
  <si>
    <t>Calumet Edison       (NGPL)</t>
  </si>
  <si>
    <t>Crawford Edison     (Daniel)</t>
  </si>
  <si>
    <t>Lincoln Energy     (SCADA)</t>
  </si>
  <si>
    <t>*NGPL / Manlove</t>
  </si>
  <si>
    <t>NGPL / Manlove</t>
  </si>
  <si>
    <t>Gas Control's Weather Provider is Murray &amp; Trettel</t>
  </si>
  <si>
    <t>GROSS DELIVERIES TO MAHOMET</t>
  </si>
  <si>
    <t>NS SHORT(-)OR LONG(+)</t>
  </si>
  <si>
    <t>Plant Use</t>
  </si>
  <si>
    <t>Plant &amp; Field Gas Use</t>
  </si>
  <si>
    <t>Manlove Compressor Fuel</t>
  </si>
  <si>
    <t>Plant &amp; Field</t>
  </si>
  <si>
    <t>Plant &amp; Field Use</t>
  </si>
  <si>
    <t>Alliance</t>
  </si>
  <si>
    <t>ALLI:</t>
  </si>
  <si>
    <t>ALLIANCE</t>
  </si>
  <si>
    <t xml:space="preserve">73rd &amp; Crawford </t>
  </si>
  <si>
    <t>Payback PGL to Alliance</t>
  </si>
  <si>
    <t>Payback Alliance to PGL</t>
  </si>
  <si>
    <t>Elwood 100% (NBDR)</t>
  </si>
  <si>
    <t>Payback to PGL</t>
  </si>
  <si>
    <t>Alliance System Supply</t>
  </si>
  <si>
    <t xml:space="preserve">Payback PGL to Alliance </t>
  </si>
  <si>
    <t>PGL to Alliance</t>
  </si>
  <si>
    <t>Payback</t>
  </si>
  <si>
    <t>Gas Owed To PGL By:</t>
  </si>
  <si>
    <t>ALLI</t>
  </si>
  <si>
    <t>ANR System Supply</t>
  </si>
  <si>
    <t>Midwestern System Supply</t>
  </si>
  <si>
    <t>Alliance Deliveries</t>
  </si>
  <si>
    <t xml:space="preserve">LINCOLN PREVIOUS DAY </t>
  </si>
  <si>
    <t>ANR NO-NOTICE (W/D)</t>
  </si>
  <si>
    <t>ANR NO-NOTICE (INJ)</t>
  </si>
  <si>
    <t>Transportation</t>
  </si>
  <si>
    <t>Totals</t>
  </si>
  <si>
    <t>Pegasys</t>
  </si>
  <si>
    <t>System Supply &amp; Transportation</t>
  </si>
  <si>
    <t>Anr</t>
  </si>
  <si>
    <t>Payback NSG TO NICOR</t>
  </si>
  <si>
    <t>Oakton NICOR</t>
  </si>
  <si>
    <t>PGL Transportation (RIDER)</t>
  </si>
  <si>
    <t>LNG Liquefaction</t>
  </si>
  <si>
    <t>Storage</t>
  </si>
  <si>
    <t>LP</t>
  </si>
  <si>
    <t>System Supply @ NGPL</t>
  </si>
  <si>
    <t>NSG Transportation (RIDER)</t>
  </si>
  <si>
    <t>Sharp Rd.</t>
  </si>
  <si>
    <t>Deliveries to Sharp Rd.</t>
  </si>
  <si>
    <t>Manlove Hourly Rate</t>
  </si>
  <si>
    <t>Del to Elwood NICOR 100%</t>
  </si>
  <si>
    <t>Unicom                  (SCADA)</t>
  </si>
  <si>
    <t>Fisk Edison             (Daniel)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</si>
  <si>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</si>
  <si>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UNION (CITGO) RFG</t>
  </si>
  <si>
    <t>Line Pack Out:</t>
  </si>
  <si>
    <t>PARTLY CLOUDY. A CHANCE OF RAIN AND T'STORMS DURING THE NIGHT.</t>
  </si>
  <si>
    <t>A CHANCE OF SHOWERS AND T'STORMS.</t>
  </si>
  <si>
    <t>t</t>
  </si>
  <si>
    <t>DELIVERY TO MANLOVE</t>
  </si>
  <si>
    <t>ALIIANCE TO MANLOVE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</si>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</sst>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164" formatCode="mm/dd/yy_)"/>
    <numFmt numFmtId="166" formatCode="0.0"/>
    <numFmt numFmtId="167" formatCode="0.000"/>
    <numFmt numFmtId="169" formatCode="#,##0.0"/>
    <numFmt numFmtId="171" formatCode="#,##0.0_);\(#,##0.0\)"/>
    <numFmt numFmtId="172" formatCode="0.000_)"/>
    <numFmt numFmtId="174" formatCode="0.0_)"/>
    <numFmt numFmtId="178" formatCode="hh:mm:ss\ AM/PM_)"/>
    <numFmt numFmtId="179" formatCode="mm/dd/yy"/>
    <numFmt numFmtId="186" formatCode="0.000;[Red]0.000"/>
  </numFmts>
  <fonts count="67">
    <font>
      <sz val="12"/>
      <name val="Arial"/>
    </font>
    <font>
      <b/>
      <sz val="10"/>
      <name val="Arial"/>
    </font>
    <font>
      <i/>
      <sz val="10"/>
      <name val="Arial"/>
    </font>
    <font>
      <b/>
      <i/>
      <sz val="10"/>
      <name val="Arial"/>
    </font>
    <font>
      <sz val="10"/>
      <name val="Arial"/>
    </font>
    <font>
      <b/>
      <sz val="12"/>
      <name val="Arial"/>
    </font>
    <font>
      <sz val="9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i/>
      <u/>
      <sz val="10"/>
      <name val="Arial"/>
      <family val="2"/>
    </font>
    <font>
      <i/>
      <sz val="10"/>
      <name val="Arial"/>
      <family val="2"/>
    </font>
    <font>
      <b/>
      <sz val="12"/>
      <name val="Arial"/>
      <family val="2"/>
    </font>
    <font>
      <b/>
      <i/>
      <sz val="12"/>
      <name val="Arial"/>
    </font>
    <font>
      <sz val="12"/>
      <color indexed="22"/>
      <name val="Arial"/>
      <family val="2"/>
    </font>
    <font>
      <b/>
      <i/>
      <sz val="10"/>
      <name val="Arial"/>
      <family val="2"/>
    </font>
    <font>
      <b/>
      <u/>
      <sz val="10"/>
      <name val="Arial"/>
      <family val="2"/>
    </font>
    <font>
      <sz val="12"/>
      <name val="Arial"/>
      <family val="2"/>
    </font>
    <font>
      <b/>
      <i/>
      <sz val="12"/>
      <name val="Arial"/>
      <family val="2"/>
    </font>
    <font>
      <b/>
      <sz val="10"/>
      <name val="MS Sans Serif"/>
      <family val="2"/>
    </font>
    <font>
      <sz val="12"/>
      <name val="MS Sans Serif"/>
      <family val="2"/>
    </font>
    <font>
      <sz val="10"/>
      <name val="MS Sans Serif"/>
      <family val="2"/>
    </font>
    <font>
      <sz val="9"/>
      <name val="Times New Roman"/>
    </font>
    <font>
      <sz val="8"/>
      <name val="Times New Roman"/>
    </font>
    <font>
      <sz val="12"/>
      <color indexed="12"/>
      <name val="Times New Roman"/>
      <family val="1"/>
    </font>
    <font>
      <b/>
      <sz val="14"/>
      <name val="Times New Roman"/>
    </font>
    <font>
      <b/>
      <sz val="16"/>
      <name val="Times New Roman"/>
      <family val="1"/>
    </font>
    <font>
      <u/>
      <sz val="12"/>
      <name val="Times New Roman"/>
    </font>
    <font>
      <b/>
      <sz val="24"/>
      <name val="Times New Roman"/>
    </font>
    <font>
      <b/>
      <sz val="12"/>
      <name val="Times New Roman"/>
    </font>
    <font>
      <b/>
      <sz val="12"/>
      <name val=" "/>
    </font>
    <font>
      <sz val="12"/>
      <name val=" "/>
    </font>
    <font>
      <b/>
      <i/>
      <sz val="12"/>
      <name val=" "/>
    </font>
    <font>
      <sz val="9"/>
      <name val=" "/>
    </font>
    <font>
      <b/>
      <sz val="10"/>
      <name val=" "/>
    </font>
    <font>
      <sz val="10"/>
      <name val=" "/>
    </font>
    <font>
      <b/>
      <i/>
      <sz val="8"/>
      <name val=" "/>
    </font>
    <font>
      <sz val="8"/>
      <name val=" "/>
    </font>
    <font>
      <b/>
      <i/>
      <sz val="9"/>
      <name val=" "/>
    </font>
    <font>
      <b/>
      <sz val="9"/>
      <name val=" "/>
    </font>
    <font>
      <i/>
      <sz val="12"/>
      <name val=" "/>
    </font>
    <font>
      <b/>
      <sz val="12"/>
      <name val="MS Sans Serif"/>
      <family val="2"/>
    </font>
    <font>
      <sz val="8"/>
      <name val="Arial"/>
      <family val="2"/>
    </font>
    <font>
      <b/>
      <u/>
      <sz val="12"/>
      <name val="Arial"/>
      <family val="2"/>
    </font>
    <font>
      <b/>
      <u/>
      <sz val="18"/>
      <name val="Arial"/>
      <family val="2"/>
    </font>
    <font>
      <u/>
      <sz val="12"/>
      <name val="Arial"/>
      <family val="2"/>
    </font>
    <font>
      <strike/>
      <sz val="12"/>
      <name val="Arial"/>
      <family val="2"/>
    </font>
    <font>
      <sz val="12"/>
      <color indexed="51"/>
      <name val="Arial"/>
      <family val="2"/>
    </font>
    <font>
      <sz val="12"/>
      <color indexed="10"/>
      <name val="Arial"/>
      <family val="2"/>
    </font>
    <font>
      <b/>
      <sz val="12"/>
      <color indexed="10"/>
      <name val="Arial"/>
      <family val="2"/>
    </font>
    <font>
      <b/>
      <sz val="16"/>
      <name val="Arial"/>
      <family val="2"/>
    </font>
    <font>
      <sz val="16"/>
      <name val="Arial"/>
    </font>
    <font>
      <sz val="16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b/>
      <u/>
      <sz val="16"/>
      <name val="Arial"/>
      <family val="2"/>
    </font>
    <font>
      <sz val="14"/>
      <name val="Arial"/>
      <family val="2"/>
    </font>
    <font>
      <b/>
      <sz val="14"/>
      <name val=" "/>
    </font>
    <font>
      <b/>
      <sz val="11"/>
      <name val="Arial"/>
      <family val="2"/>
    </font>
    <font>
      <sz val="11"/>
      <name val="Arial"/>
      <family val="2"/>
    </font>
    <font>
      <i/>
      <sz val="11"/>
      <name val="Arial"/>
      <family val="2"/>
    </font>
    <font>
      <b/>
      <u/>
      <sz val="11"/>
      <name val="Arial"/>
      <family val="2"/>
    </font>
    <font>
      <b/>
      <i/>
      <u/>
      <sz val="11"/>
      <name val="Arial"/>
      <family val="2"/>
    </font>
    <font>
      <u/>
      <sz val="10"/>
      <name val="MS Sans Serif"/>
      <family val="2"/>
    </font>
    <font>
      <b/>
      <sz val="8"/>
      <name val="Arial"/>
      <family val="2"/>
    </font>
    <font>
      <sz val="8"/>
      <name val="Arial"/>
    </font>
    <font>
      <b/>
      <sz val="8"/>
      <name val=" "/>
    </font>
    <font>
      <sz val="12"/>
      <name val="Arial MT"/>
      <family val="2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22"/>
        <bgColor indexed="64"/>
      </patternFill>
    </fill>
    <fill>
      <patternFill patternType="gray125">
        <fgColor indexed="22"/>
        <bgColor indexed="22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1"/>
        <bgColor indexed="64"/>
      </patternFill>
    </fill>
  </fills>
  <borders count="18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dotted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dotted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8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dashed">
        <color indexed="64"/>
      </right>
      <top/>
      <bottom/>
      <diagonal/>
    </border>
    <border>
      <left/>
      <right style="dashed">
        <color indexed="64"/>
      </right>
      <top/>
      <bottom style="thin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dotted">
        <color indexed="64"/>
      </left>
      <right style="thick">
        <color indexed="64"/>
      </right>
      <top/>
      <bottom/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tted">
        <color indexed="64"/>
      </left>
      <right style="thick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8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ck">
        <color indexed="64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ck">
        <color indexed="64"/>
      </right>
      <top/>
      <bottom/>
      <diagonal/>
    </border>
    <border>
      <left style="thin">
        <color indexed="8"/>
      </left>
      <right style="thick">
        <color indexed="64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ck">
        <color indexed="64"/>
      </bottom>
      <diagonal/>
    </border>
    <border>
      <left style="thin">
        <color indexed="8"/>
      </left>
      <right style="thin">
        <color indexed="8"/>
      </right>
      <top style="thick">
        <color indexed="64"/>
      </top>
      <bottom/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ck">
        <color indexed="64"/>
      </top>
      <bottom style="thin">
        <color indexed="8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8"/>
      </top>
      <bottom style="double">
        <color indexed="8"/>
      </bottom>
      <diagonal/>
    </border>
    <border>
      <left/>
      <right/>
      <top style="medium">
        <color indexed="8"/>
      </top>
      <bottom style="double">
        <color indexed="8"/>
      </bottom>
      <diagonal/>
    </border>
    <border>
      <left style="thin">
        <color indexed="8"/>
      </left>
      <right style="thick">
        <color indexed="8"/>
      </right>
      <top/>
      <bottom/>
      <diagonal/>
    </border>
    <border>
      <left style="thick">
        <color indexed="64"/>
      </left>
      <right/>
      <top style="thin">
        <color indexed="8"/>
      </top>
      <bottom style="thick">
        <color indexed="64"/>
      </bottom>
      <diagonal/>
    </border>
    <border>
      <left/>
      <right/>
      <top style="thin">
        <color indexed="8"/>
      </top>
      <bottom style="thick">
        <color indexed="64"/>
      </bottom>
      <diagonal/>
    </border>
    <border>
      <left style="thin">
        <color indexed="8"/>
      </left>
      <right style="thick">
        <color indexed="8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double">
        <color indexed="8"/>
      </bottom>
      <diagonal/>
    </border>
    <border>
      <left/>
      <right/>
      <top style="thick">
        <color indexed="64"/>
      </top>
      <bottom style="double">
        <color indexed="8"/>
      </bottom>
      <diagonal/>
    </border>
    <border>
      <left style="thin">
        <color indexed="8"/>
      </left>
      <right style="thick">
        <color indexed="8"/>
      </right>
      <top style="thick">
        <color indexed="64"/>
      </top>
      <bottom/>
      <diagonal/>
    </border>
    <border>
      <left style="thin">
        <color indexed="8"/>
      </left>
      <right style="thick">
        <color indexed="8"/>
      </right>
      <top/>
      <bottom style="thin">
        <color indexed="8"/>
      </bottom>
      <diagonal/>
    </border>
    <border>
      <left style="thick">
        <color indexed="64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 style="thick">
        <color indexed="64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/>
      <top/>
      <bottom style="medium">
        <color indexed="8"/>
      </bottom>
      <diagonal/>
    </border>
    <border>
      <left style="thin">
        <color indexed="8"/>
      </left>
      <right style="thick">
        <color indexed="8"/>
      </right>
      <top/>
      <bottom style="medium">
        <color indexed="8"/>
      </bottom>
      <diagonal/>
    </border>
    <border>
      <left style="thick">
        <color indexed="64"/>
      </left>
      <right/>
      <top style="medium">
        <color indexed="8"/>
      </top>
      <bottom style="thin">
        <color indexed="64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ck">
        <color indexed="64"/>
      </top>
      <bottom style="thick">
        <color indexed="64"/>
      </bottom>
      <diagonal/>
    </border>
    <border>
      <left style="thin">
        <color indexed="8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8"/>
      </left>
      <right style="thick">
        <color indexed="64"/>
      </right>
      <top/>
      <bottom style="thick">
        <color indexed="64"/>
      </bottom>
      <diagonal/>
    </border>
    <border>
      <left style="thin">
        <color indexed="8"/>
      </left>
      <right style="thick">
        <color indexed="64"/>
      </right>
      <top style="thick">
        <color indexed="64"/>
      </top>
      <bottom/>
      <diagonal/>
    </border>
    <border>
      <left style="thin">
        <color indexed="8"/>
      </left>
      <right style="thick">
        <color indexed="64"/>
      </right>
      <top/>
      <bottom style="medium">
        <color indexed="8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93">
    <xf numFmtId="0" fontId="0" fillId="0" borderId="0" xfId="0"/>
    <xf numFmtId="0" fontId="7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164" fontId="0" fillId="0" borderId="0" xfId="0" applyNumberFormat="1"/>
    <xf numFmtId="0" fontId="12" fillId="0" borderId="0" xfId="0" applyFont="1"/>
    <xf numFmtId="0" fontId="0" fillId="0" borderId="0" xfId="0" applyAlignment="1">
      <alignment horizontal="centerContinuous"/>
    </xf>
    <xf numFmtId="0" fontId="6" fillId="0" borderId="0" xfId="0" applyFont="1" applyAlignment="1">
      <alignment horizontal="center"/>
    </xf>
    <xf numFmtId="0" fontId="6" fillId="0" borderId="0" xfId="0" applyFont="1" applyBorder="1"/>
    <xf numFmtId="0" fontId="6" fillId="0" borderId="0" xfId="0" quotePrefix="1" applyFont="1" applyAlignment="1">
      <alignment horizontal="center"/>
    </xf>
    <xf numFmtId="0" fontId="14" fillId="0" borderId="0" xfId="0" applyFont="1"/>
    <xf numFmtId="0" fontId="7" fillId="0" borderId="0" xfId="0" applyFont="1" applyProtection="1">
      <protection locked="0"/>
    </xf>
    <xf numFmtId="14" fontId="7" fillId="0" borderId="0" xfId="0" applyNumberFormat="1" applyFont="1"/>
    <xf numFmtId="0" fontId="8" fillId="0" borderId="0" xfId="0" applyFont="1" applyAlignment="1" applyProtection="1">
      <alignment horizontal="left"/>
    </xf>
    <xf numFmtId="0" fontId="0" fillId="0" borderId="0" xfId="0" applyProtection="1"/>
    <xf numFmtId="0" fontId="7" fillId="0" borderId="0" xfId="0" applyFont="1" applyProtection="1"/>
    <xf numFmtId="0" fontId="7" fillId="0" borderId="0" xfId="0" applyFont="1" applyAlignment="1" applyProtection="1">
      <alignment horizontal="right"/>
    </xf>
    <xf numFmtId="0" fontId="8" fillId="0" borderId="0" xfId="0" applyFont="1" applyAlignment="1" applyProtection="1">
      <alignment horizontal="right"/>
    </xf>
    <xf numFmtId="0" fontId="8" fillId="0" borderId="0" xfId="0" applyFont="1" applyProtection="1"/>
    <xf numFmtId="0" fontId="9" fillId="0" borderId="0" xfId="0" applyFont="1" applyProtection="1"/>
    <xf numFmtId="164" fontId="8" fillId="0" borderId="0" xfId="0" applyNumberFormat="1" applyFont="1" applyProtection="1"/>
    <xf numFmtId="164" fontId="8" fillId="0" borderId="0" xfId="0" applyNumberFormat="1" applyFont="1" applyAlignment="1" applyProtection="1">
      <alignment horizontal="left"/>
    </xf>
    <xf numFmtId="0" fontId="8" fillId="0" borderId="0" xfId="0" applyFont="1" applyBorder="1" applyAlignment="1" applyProtection="1">
      <alignment horizontal="right"/>
    </xf>
    <xf numFmtId="166" fontId="7" fillId="0" borderId="0" xfId="0" applyNumberFormat="1" applyFont="1" applyBorder="1" applyAlignment="1" applyProtection="1">
      <alignment horizontal="right"/>
    </xf>
    <xf numFmtId="166" fontId="8" fillId="0" borderId="0" xfId="0" applyNumberFormat="1" applyFont="1" applyBorder="1" applyAlignment="1" applyProtection="1">
      <alignment horizontal="right"/>
    </xf>
    <xf numFmtId="166" fontId="7" fillId="0" borderId="0" xfId="0" applyNumberFormat="1" applyFont="1" applyAlignment="1" applyProtection="1">
      <alignment horizontal="right"/>
    </xf>
    <xf numFmtId="166" fontId="8" fillId="0" borderId="0" xfId="0" applyNumberFormat="1" applyFont="1" applyAlignment="1" applyProtection="1">
      <alignment horizontal="right"/>
    </xf>
    <xf numFmtId="166" fontId="7" fillId="0" borderId="0" xfId="0" applyNumberFormat="1" applyFont="1" applyProtection="1"/>
    <xf numFmtId="14" fontId="0" fillId="0" borderId="0" xfId="0" applyNumberFormat="1" applyProtection="1"/>
    <xf numFmtId="166" fontId="7" fillId="0" borderId="0" xfId="0" quotePrefix="1" applyNumberFormat="1" applyFont="1" applyBorder="1" applyAlignment="1" applyProtection="1">
      <alignment horizontal="right"/>
    </xf>
    <xf numFmtId="166" fontId="8" fillId="0" borderId="0" xfId="0" quotePrefix="1" applyNumberFormat="1" applyFont="1" applyAlignment="1" applyProtection="1">
      <alignment horizontal="right"/>
    </xf>
    <xf numFmtId="166" fontId="10" fillId="0" borderId="0" xfId="0" applyNumberFormat="1" applyFont="1" applyBorder="1" applyAlignment="1" applyProtection="1">
      <alignment horizontal="right"/>
    </xf>
    <xf numFmtId="0" fontId="10" fillId="0" borderId="0" xfId="0" applyFont="1" applyProtection="1"/>
    <xf numFmtId="166" fontId="10" fillId="0" borderId="0" xfId="0" applyNumberFormat="1" applyFont="1" applyAlignment="1" applyProtection="1">
      <alignment horizontal="right"/>
    </xf>
    <xf numFmtId="14" fontId="8" fillId="0" borderId="0" xfId="0" applyNumberFormat="1" applyFont="1" applyProtection="1"/>
    <xf numFmtId="0" fontId="7" fillId="0" borderId="0" xfId="0" applyFont="1" applyBorder="1" applyAlignment="1" applyProtection="1">
      <alignment horizontal="right"/>
    </xf>
    <xf numFmtId="0" fontId="7" fillId="0" borderId="1" xfId="0" applyFont="1" applyBorder="1" applyProtection="1"/>
    <xf numFmtId="0" fontId="8" fillId="0" borderId="1" xfId="0" applyFont="1" applyBorder="1" applyProtection="1"/>
    <xf numFmtId="0" fontId="7" fillId="0" borderId="1" xfId="0" applyFont="1" applyBorder="1" applyAlignment="1" applyProtection="1">
      <alignment horizontal="right"/>
    </xf>
    <xf numFmtId="0" fontId="8" fillId="0" borderId="1" xfId="0" applyFont="1" applyBorder="1" applyAlignment="1" applyProtection="1">
      <alignment horizontal="right"/>
    </xf>
    <xf numFmtId="0" fontId="7" fillId="0" borderId="0" xfId="0" applyFont="1" applyBorder="1" applyProtection="1"/>
    <xf numFmtId="169" fontId="7" fillId="0" borderId="0" xfId="0" applyNumberFormat="1" applyFont="1" applyAlignment="1" applyProtection="1">
      <alignment horizontal="center"/>
    </xf>
    <xf numFmtId="0" fontId="7" fillId="0" borderId="0" xfId="0" quotePrefix="1" applyFont="1" applyAlignment="1" applyProtection="1">
      <alignment horizontal="left"/>
    </xf>
    <xf numFmtId="169" fontId="7" fillId="0" borderId="0" xfId="0" applyNumberFormat="1" applyFont="1" applyProtection="1"/>
    <xf numFmtId="169" fontId="7" fillId="0" borderId="0" xfId="0" applyNumberFormat="1" applyFont="1" applyAlignment="1" applyProtection="1">
      <alignment horizontal="right"/>
    </xf>
    <xf numFmtId="0" fontId="7" fillId="0" borderId="0" xfId="0" applyFont="1" applyAlignment="1" applyProtection="1">
      <alignment horizontal="left"/>
    </xf>
    <xf numFmtId="0" fontId="5" fillId="0" borderId="0" xfId="0" applyFont="1" applyProtection="1"/>
    <xf numFmtId="0" fontId="0" fillId="0" borderId="0" xfId="0" applyAlignment="1" applyProtection="1">
      <alignment horizontal="right"/>
    </xf>
    <xf numFmtId="0" fontId="5" fillId="0" borderId="0" xfId="0" applyFont="1" applyAlignment="1" applyProtection="1">
      <alignment horizontal="right"/>
    </xf>
    <xf numFmtId="1" fontId="7" fillId="0" borderId="0" xfId="0" applyNumberFormat="1" applyFont="1" applyProtection="1">
      <protection locked="0"/>
    </xf>
    <xf numFmtId="0" fontId="15" fillId="0" borderId="0" xfId="0" applyFont="1"/>
    <xf numFmtId="164" fontId="7" fillId="0" borderId="0" xfId="0" applyNumberFormat="1" applyFont="1"/>
    <xf numFmtId="0" fontId="15" fillId="0" borderId="0" xfId="0" applyFont="1" applyAlignment="1">
      <alignment horizontal="centerContinuous"/>
    </xf>
    <xf numFmtId="0" fontId="7" fillId="0" borderId="0" xfId="0" applyFont="1" applyAlignment="1">
      <alignment horizontal="centerContinuous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Continuous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0" xfId="0" applyFont="1" applyBorder="1" applyAlignment="1">
      <alignment horizontal="centerContinuous"/>
    </xf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9" fontId="7" fillId="0" borderId="0" xfId="0" applyNumberFormat="1" applyFont="1" applyBorder="1" applyAlignment="1">
      <alignment horizontal="center"/>
    </xf>
    <xf numFmtId="0" fontId="15" fillId="0" borderId="5" xfId="0" applyFont="1" applyBorder="1" applyAlignment="1">
      <alignment horizontal="centerContinuous"/>
    </xf>
    <xf numFmtId="0" fontId="15" fillId="0" borderId="3" xfId="0" applyFont="1" applyBorder="1" applyAlignment="1">
      <alignment horizontal="centerContinuous"/>
    </xf>
    <xf numFmtId="0" fontId="7" fillId="0" borderId="5" xfId="0" applyFont="1" applyBorder="1"/>
    <xf numFmtId="0" fontId="7" fillId="0" borderId="5" xfId="0" applyFont="1" applyBorder="1" applyAlignment="1">
      <alignment horizontal="centerContinuous"/>
    </xf>
    <xf numFmtId="0" fontId="8" fillId="0" borderId="0" xfId="0" applyFont="1"/>
    <xf numFmtId="0" fontId="7" fillId="0" borderId="5" xfId="0" applyFont="1" applyBorder="1" applyAlignment="1">
      <alignment horizontal="center"/>
    </xf>
    <xf numFmtId="0" fontId="7" fillId="0" borderId="2" xfId="0" applyFont="1" applyBorder="1"/>
    <xf numFmtId="0" fontId="7" fillId="0" borderId="6" xfId="0" applyFont="1" applyBorder="1" applyAlignment="1">
      <alignment horizontal="center"/>
    </xf>
    <xf numFmtId="0" fontId="7" fillId="0" borderId="0" xfId="0" applyFont="1" applyBorder="1" applyProtection="1">
      <protection locked="0"/>
    </xf>
    <xf numFmtId="0" fontId="15" fillId="0" borderId="5" xfId="0" applyFont="1" applyBorder="1"/>
    <xf numFmtId="0" fontId="7" fillId="0" borderId="0" xfId="0" applyFont="1" applyAlignment="1">
      <alignment horizontal="centerContinuous" wrapText="1"/>
    </xf>
    <xf numFmtId="0" fontId="15" fillId="0" borderId="3" xfId="0" applyFont="1" applyBorder="1" applyAlignment="1">
      <alignment horizontal="centerContinuous" wrapText="1"/>
    </xf>
    <xf numFmtId="0" fontId="7" fillId="0" borderId="3" xfId="0" applyFont="1" applyBorder="1"/>
    <xf numFmtId="0" fontId="7" fillId="0" borderId="5" xfId="0" applyFont="1" applyBorder="1" applyAlignment="1">
      <alignment horizontal="centerContinuous" wrapText="1"/>
    </xf>
    <xf numFmtId="0" fontId="14" fillId="0" borderId="0" xfId="0" applyFont="1" applyBorder="1"/>
    <xf numFmtId="0" fontId="7" fillId="0" borderId="0" xfId="0" applyFont="1" applyAlignment="1"/>
    <xf numFmtId="0" fontId="15" fillId="0" borderId="0" xfId="0" applyFont="1" applyBorder="1" applyAlignment="1">
      <alignment horizontal="centerContinuous"/>
    </xf>
    <xf numFmtId="0" fontId="7" fillId="0" borderId="3" xfId="0" applyFont="1" applyBorder="1" applyAlignment="1"/>
    <xf numFmtId="9" fontId="7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0" fontId="15" fillId="0" borderId="5" xfId="0" applyFont="1" applyBorder="1" applyAlignment="1">
      <alignment horizontal="center"/>
    </xf>
    <xf numFmtId="0" fontId="7" fillId="0" borderId="2" xfId="0" quotePrefix="1" applyFont="1" applyBorder="1" applyAlignment="1">
      <alignment horizontal="center"/>
    </xf>
    <xf numFmtId="0" fontId="8" fillId="0" borderId="2" xfId="0" applyFont="1" applyBorder="1" applyProtection="1"/>
    <xf numFmtId="1" fontId="7" fillId="0" borderId="0" xfId="0" applyNumberFormat="1" applyFont="1" applyProtection="1"/>
    <xf numFmtId="0" fontId="14" fillId="0" borderId="0" xfId="0" applyFont="1" applyProtection="1"/>
    <xf numFmtId="0" fontId="7" fillId="0" borderId="0" xfId="0" applyFont="1" applyAlignment="1" applyProtection="1">
      <alignment horizontal="center"/>
    </xf>
    <xf numFmtId="164" fontId="7" fillId="0" borderId="0" xfId="0" applyNumberFormat="1" applyFont="1" applyAlignment="1" applyProtection="1">
      <alignment horizontal="right"/>
    </xf>
    <xf numFmtId="14" fontId="7" fillId="0" borderId="0" xfId="0" applyNumberFormat="1" applyFont="1" applyProtection="1"/>
    <xf numFmtId="0" fontId="8" fillId="0" borderId="2" xfId="0" applyFont="1" applyBorder="1" applyAlignment="1" applyProtection="1">
      <alignment horizontal="centerContinuous"/>
    </xf>
    <xf numFmtId="164" fontId="1" fillId="0" borderId="2" xfId="0" applyNumberFormat="1" applyFont="1" applyBorder="1" applyAlignment="1" applyProtection="1">
      <alignment horizontal="center"/>
    </xf>
    <xf numFmtId="0" fontId="8" fillId="0" borderId="2" xfId="0" applyFont="1" applyBorder="1" applyAlignment="1" applyProtection="1">
      <alignment horizontal="right"/>
    </xf>
    <xf numFmtId="0" fontId="8" fillId="0" borderId="2" xfId="0" applyFont="1" applyBorder="1" applyAlignment="1" applyProtection="1"/>
    <xf numFmtId="0" fontId="4" fillId="0" borderId="0" xfId="0" applyFont="1" applyProtection="1"/>
    <xf numFmtId="166" fontId="4" fillId="2" borderId="0" xfId="0" applyNumberFormat="1" applyFont="1" applyFill="1" applyBorder="1" applyProtection="1"/>
    <xf numFmtId="0" fontId="5" fillId="0" borderId="0" xfId="0" applyFont="1"/>
    <xf numFmtId="0" fontId="5" fillId="0" borderId="0" xfId="0" applyFont="1" applyAlignment="1">
      <alignment horizontal="centerContinuous"/>
    </xf>
    <xf numFmtId="0" fontId="12" fillId="0" borderId="0" xfId="0" quotePrefix="1" applyFont="1" applyAlignment="1">
      <alignment horizontal="left"/>
    </xf>
    <xf numFmtId="0" fontId="0" fillId="0" borderId="7" xfId="0" applyBorder="1"/>
    <xf numFmtId="0" fontId="0" fillId="0" borderId="8" xfId="0" applyBorder="1"/>
    <xf numFmtId="0" fontId="0" fillId="3" borderId="8" xfId="0" applyFill="1" applyBorder="1"/>
    <xf numFmtId="0" fontId="0" fillId="0" borderId="9" xfId="0" applyBorder="1"/>
    <xf numFmtId="164" fontId="16" fillId="0" borderId="10" xfId="0" applyNumberFormat="1" applyFont="1" applyBorder="1"/>
    <xf numFmtId="0" fontId="0" fillId="0" borderId="8" xfId="0" quotePrefix="1" applyBorder="1" applyAlignment="1">
      <alignment horizontal="left"/>
    </xf>
    <xf numFmtId="0" fontId="0" fillId="0" borderId="2" xfId="0" applyBorder="1"/>
    <xf numFmtId="0" fontId="12" fillId="0" borderId="2" xfId="0" quotePrefix="1" applyFont="1" applyBorder="1" applyAlignment="1">
      <alignment horizontal="left"/>
    </xf>
    <xf numFmtId="0" fontId="0" fillId="0" borderId="10" xfId="0" applyBorder="1"/>
    <xf numFmtId="0" fontId="8" fillId="0" borderId="3" xfId="0" applyFont="1" applyBorder="1"/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Continuous"/>
    </xf>
    <xf numFmtId="0" fontId="7" fillId="0" borderId="0" xfId="0" quotePrefix="1" applyFont="1" applyAlignment="1">
      <alignment horizontal="left"/>
    </xf>
    <xf numFmtId="0" fontId="0" fillId="2" borderId="11" xfId="0" applyFill="1" applyBorder="1"/>
    <xf numFmtId="0" fontId="0" fillId="2" borderId="0" xfId="0" applyFill="1" applyBorder="1"/>
    <xf numFmtId="0" fontId="0" fillId="2" borderId="0" xfId="0" applyFill="1"/>
    <xf numFmtId="0" fontId="0" fillId="0" borderId="12" xfId="0" applyBorder="1"/>
    <xf numFmtId="0" fontId="16" fillId="0" borderId="0" xfId="0" applyFont="1" applyProtection="1">
      <protection locked="0"/>
    </xf>
    <xf numFmtId="0" fontId="7" fillId="0" borderId="0" xfId="0" quotePrefix="1" applyFont="1" applyBorder="1" applyAlignment="1">
      <alignment horizontal="center"/>
    </xf>
    <xf numFmtId="0" fontId="0" fillId="0" borderId="13" xfId="0" applyBorder="1"/>
    <xf numFmtId="0" fontId="17" fillId="0" borderId="0" xfId="0" applyFont="1"/>
    <xf numFmtId="0" fontId="0" fillId="0" borderId="14" xfId="0" applyBorder="1"/>
    <xf numFmtId="0" fontId="11" fillId="0" borderId="0" xfId="0" quotePrefix="1" applyFont="1" applyAlignment="1">
      <alignment horizontal="center"/>
    </xf>
    <xf numFmtId="0" fontId="0" fillId="0" borderId="0" xfId="0" applyBorder="1"/>
    <xf numFmtId="166" fontId="7" fillId="0" borderId="0" xfId="0" applyNumberFormat="1" applyFont="1" applyProtection="1">
      <protection locked="0"/>
    </xf>
    <xf numFmtId="0" fontId="5" fillId="0" borderId="0" xfId="0" quotePrefix="1" applyFont="1" applyAlignment="1">
      <alignment horizontal="center"/>
    </xf>
    <xf numFmtId="0" fontId="0" fillId="0" borderId="0" xfId="0" quotePrefix="1" applyAlignment="1">
      <alignment horizontal="left"/>
    </xf>
    <xf numFmtId="0" fontId="7" fillId="2" borderId="15" xfId="0" applyFont="1" applyFill="1" applyBorder="1"/>
    <xf numFmtId="0" fontId="7" fillId="2" borderId="13" xfId="0" applyFont="1" applyFill="1" applyBorder="1"/>
    <xf numFmtId="0" fontId="7" fillId="2" borderId="16" xfId="0" applyFont="1" applyFill="1" applyBorder="1"/>
    <xf numFmtId="167" fontId="7" fillId="2" borderId="13" xfId="0" applyNumberFormat="1" applyFont="1" applyFill="1" applyBorder="1"/>
    <xf numFmtId="0" fontId="7" fillId="2" borderId="16" xfId="0" quotePrefix="1" applyFont="1" applyFill="1" applyBorder="1" applyAlignment="1">
      <alignment horizontal="left"/>
    </xf>
    <xf numFmtId="0" fontId="1" fillId="2" borderId="16" xfId="0" applyFont="1" applyFill="1" applyBorder="1" applyAlignment="1">
      <alignment horizontal="left"/>
    </xf>
    <xf numFmtId="0" fontId="7" fillId="2" borderId="17" xfId="0" applyFont="1" applyFill="1" applyBorder="1"/>
    <xf numFmtId="0" fontId="0" fillId="2" borderId="17" xfId="0" applyFill="1" applyBorder="1"/>
    <xf numFmtId="167" fontId="7" fillId="2" borderId="17" xfId="0" applyNumberFormat="1" applyFont="1" applyFill="1" applyBorder="1"/>
    <xf numFmtId="167" fontId="16" fillId="0" borderId="0" xfId="0" applyNumberFormat="1" applyFont="1" applyBorder="1"/>
    <xf numFmtId="164" fontId="18" fillId="0" borderId="0" xfId="0" quotePrefix="1" applyNumberFormat="1" applyFont="1" applyAlignment="1">
      <alignment horizontal="left"/>
    </xf>
    <xf numFmtId="0" fontId="19" fillId="0" borderId="0" xfId="0" applyFont="1"/>
    <xf numFmtId="0" fontId="20" fillId="0" borderId="0" xfId="0" applyFont="1"/>
    <xf numFmtId="0" fontId="18" fillId="0" borderId="0" xfId="0" applyFont="1" applyProtection="1"/>
    <xf numFmtId="164" fontId="18" fillId="0" borderId="0" xfId="0" applyNumberFormat="1" applyFont="1"/>
    <xf numFmtId="164" fontId="20" fillId="0" borderId="0" xfId="0" applyNumberFormat="1" applyFont="1"/>
    <xf numFmtId="14" fontId="20" fillId="0" borderId="0" xfId="0" applyNumberFormat="1" applyFont="1" applyAlignment="1">
      <alignment horizontal="left"/>
    </xf>
    <xf numFmtId="164" fontId="20" fillId="0" borderId="0" xfId="0" applyNumberFormat="1" applyFont="1" applyAlignment="1">
      <alignment horizontal="left"/>
    </xf>
    <xf numFmtId="0" fontId="7" fillId="2" borderId="13" xfId="0" applyFont="1" applyFill="1" applyBorder="1" applyAlignment="1">
      <alignment horizontal="centerContinuous"/>
    </xf>
    <xf numFmtId="0" fontId="7" fillId="2" borderId="18" xfId="0" applyFont="1" applyFill="1" applyBorder="1"/>
    <xf numFmtId="0" fontId="7" fillId="2" borderId="19" xfId="0" applyFont="1" applyFill="1" applyBorder="1"/>
    <xf numFmtId="0" fontId="3" fillId="2" borderId="20" xfId="0" applyFont="1" applyFill="1" applyBorder="1"/>
    <xf numFmtId="0" fontId="7" fillId="2" borderId="21" xfId="0" applyFont="1" applyFill="1" applyBorder="1"/>
    <xf numFmtId="0" fontId="7" fillId="2" borderId="22" xfId="0" applyFont="1" applyFill="1" applyBorder="1"/>
    <xf numFmtId="0" fontId="7" fillId="0" borderId="0" xfId="0" quotePrefix="1" applyFont="1" applyAlignment="1" applyProtection="1">
      <alignment horizontal="center"/>
    </xf>
    <xf numFmtId="0" fontId="10" fillId="0" borderId="1" xfId="0" applyFont="1" applyBorder="1" applyProtection="1"/>
    <xf numFmtId="0" fontId="20" fillId="0" borderId="0" xfId="0" applyFont="1" applyAlignment="1">
      <alignment horizontal="centerContinuous"/>
    </xf>
    <xf numFmtId="0" fontId="8" fillId="0" borderId="0" xfId="0" quotePrefix="1" applyFont="1" applyBorder="1" applyAlignment="1" applyProtection="1">
      <alignment horizontal="right"/>
    </xf>
    <xf numFmtId="167" fontId="7" fillId="0" borderId="0" xfId="0" applyNumberFormat="1" applyFont="1" applyBorder="1"/>
    <xf numFmtId="0" fontId="0" fillId="0" borderId="0" xfId="0" quotePrefix="1" applyAlignment="1">
      <alignment horizontal="center"/>
    </xf>
    <xf numFmtId="0" fontId="7" fillId="0" borderId="0" xfId="0" quotePrefix="1" applyFont="1" applyAlignment="1">
      <alignment horizontal="center"/>
    </xf>
    <xf numFmtId="0" fontId="8" fillId="0" borderId="0" xfId="0" quotePrefix="1" applyFont="1" applyAlignment="1">
      <alignment horizontal="center"/>
    </xf>
    <xf numFmtId="0" fontId="8" fillId="0" borderId="0" xfId="0" quotePrefix="1" applyFont="1" applyAlignment="1" applyProtection="1">
      <alignment horizontal="left"/>
    </xf>
    <xf numFmtId="0" fontId="0" fillId="0" borderId="0" xfId="0" applyFont="1" applyProtection="1"/>
    <xf numFmtId="0" fontId="0" fillId="0" borderId="23" xfId="0" applyBorder="1"/>
    <xf numFmtId="0" fontId="0" fillId="0" borderId="24" xfId="0" applyBorder="1"/>
    <xf numFmtId="0" fontId="0" fillId="0" borderId="5" xfId="0" applyBorder="1"/>
    <xf numFmtId="0" fontId="0" fillId="0" borderId="1" xfId="0" applyBorder="1"/>
    <xf numFmtId="0" fontId="0" fillId="0" borderId="0" xfId="0" applyAlignment="1">
      <alignment horizontal="left"/>
    </xf>
    <xf numFmtId="0" fontId="0" fillId="0" borderId="25" xfId="0" applyBorder="1"/>
    <xf numFmtId="164" fontId="0" fillId="0" borderId="0" xfId="0" applyNumberFormat="1" applyProtection="1"/>
    <xf numFmtId="0" fontId="7" fillId="0" borderId="26" xfId="0" applyFont="1" applyBorder="1"/>
    <xf numFmtId="0" fontId="7" fillId="0" borderId="1" xfId="0" applyFont="1" applyBorder="1"/>
    <xf numFmtId="0" fontId="7" fillId="0" borderId="23" xfId="0" applyFont="1" applyBorder="1"/>
    <xf numFmtId="0" fontId="7" fillId="0" borderId="9" xfId="0" applyFont="1" applyBorder="1"/>
    <xf numFmtId="0" fontId="7" fillId="0" borderId="24" xfId="0" applyFont="1" applyBorder="1"/>
    <xf numFmtId="0" fontId="7" fillId="0" borderId="8" xfId="0" applyFont="1" applyBorder="1"/>
    <xf numFmtId="0" fontId="7" fillId="0" borderId="8" xfId="0" quotePrefix="1" applyFont="1" applyBorder="1" applyAlignment="1">
      <alignment horizontal="left"/>
    </xf>
    <xf numFmtId="0" fontId="7" fillId="0" borderId="3" xfId="0" quotePrefix="1" applyFont="1" applyBorder="1" applyAlignment="1">
      <alignment horizontal="left"/>
    </xf>
    <xf numFmtId="0" fontId="7" fillId="0" borderId="10" xfId="0" applyFont="1" applyBorder="1"/>
    <xf numFmtId="167" fontId="7" fillId="0" borderId="24" xfId="0" applyNumberFormat="1" applyFont="1" applyBorder="1"/>
    <xf numFmtId="0" fontId="16" fillId="0" borderId="26" xfId="0" applyFont="1" applyBorder="1"/>
    <xf numFmtId="167" fontId="8" fillId="0" borderId="1" xfId="0" applyNumberFormat="1" applyFont="1" applyBorder="1"/>
    <xf numFmtId="0" fontId="8" fillId="0" borderId="1" xfId="0" quotePrefix="1" applyFont="1" applyBorder="1" applyAlignment="1">
      <alignment horizontal="center"/>
    </xf>
    <xf numFmtId="0" fontId="8" fillId="0" borderId="9" xfId="0" applyFont="1" applyBorder="1"/>
    <xf numFmtId="0" fontId="5" fillId="0" borderId="9" xfId="0" quotePrefix="1" applyFont="1" applyBorder="1" applyAlignment="1">
      <alignment horizontal="center"/>
    </xf>
    <xf numFmtId="40" fontId="7" fillId="0" borderId="9" xfId="0" quotePrefix="1" applyNumberFormat="1" applyFont="1" applyBorder="1" applyAlignment="1">
      <alignment horizontal="center"/>
    </xf>
    <xf numFmtId="0" fontId="7" fillId="0" borderId="8" xfId="0" quotePrefix="1" applyFont="1" applyBorder="1" applyAlignment="1">
      <alignment horizontal="center"/>
    </xf>
    <xf numFmtId="0" fontId="7" fillId="0" borderId="27" xfId="0" applyFont="1" applyBorder="1"/>
    <xf numFmtId="0" fontId="0" fillId="0" borderId="28" xfId="0" applyBorder="1"/>
    <xf numFmtId="167" fontId="11" fillId="0" borderId="0" xfId="0" applyNumberFormat="1" applyFont="1"/>
    <xf numFmtId="0" fontId="21" fillId="0" borderId="0" xfId="0" applyFont="1" applyAlignment="1">
      <alignment horizontal="left"/>
    </xf>
    <xf numFmtId="0" fontId="21" fillId="0" borderId="0" xfId="0" applyFont="1"/>
    <xf numFmtId="0" fontId="22" fillId="0" borderId="0" xfId="0" applyFont="1"/>
    <xf numFmtId="3" fontId="23" fillId="0" borderId="0" xfId="0" applyNumberFormat="1" applyFont="1"/>
    <xf numFmtId="178" fontId="0" fillId="0" borderId="0" xfId="0" applyNumberFormat="1" applyProtection="1"/>
    <xf numFmtId="0" fontId="24" fillId="0" borderId="29" xfId="0" applyFont="1" applyBorder="1" applyAlignment="1">
      <alignment horizontal="centerContinuous"/>
    </xf>
    <xf numFmtId="0" fontId="24" fillId="0" borderId="30" xfId="0" applyFont="1" applyBorder="1" applyAlignment="1">
      <alignment horizontal="centerContinuous"/>
    </xf>
    <xf numFmtId="0" fontId="25" fillId="0" borderId="31" xfId="0" applyFont="1" applyBorder="1" applyAlignment="1">
      <alignment horizontal="centerContinuous"/>
    </xf>
    <xf numFmtId="0" fontId="26" fillId="0" borderId="0" xfId="0" applyFont="1" applyAlignment="1">
      <alignment horizontal="centerContinuous"/>
    </xf>
    <xf numFmtId="0" fontId="27" fillId="0" borderId="0" xfId="0" applyFont="1" applyAlignment="1">
      <alignment horizontal="centerContinuous"/>
    </xf>
    <xf numFmtId="0" fontId="28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0" borderId="24" xfId="0" applyBorder="1" applyAlignment="1">
      <alignment horizontal="centerContinuous"/>
    </xf>
    <xf numFmtId="0" fontId="0" fillId="0" borderId="2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Continuous"/>
    </xf>
    <xf numFmtId="0" fontId="0" fillId="0" borderId="34" xfId="0" applyBorder="1" applyAlignment="1">
      <alignment horizontal="center"/>
    </xf>
    <xf numFmtId="0" fontId="0" fillId="0" borderId="33" xfId="0" applyBorder="1" applyAlignment="1">
      <alignment horizontal="right"/>
    </xf>
    <xf numFmtId="0" fontId="0" fillId="0" borderId="33" xfId="0" applyBorder="1"/>
    <xf numFmtId="0" fontId="5" fillId="0" borderId="8" xfId="0" applyFont="1" applyBorder="1" applyAlignment="1">
      <alignment horizontal="centerContinuous"/>
    </xf>
    <xf numFmtId="0" fontId="0" fillId="0" borderId="8" xfId="0" applyBorder="1" applyAlignment="1">
      <alignment horizontal="centerContinuous"/>
    </xf>
    <xf numFmtId="0" fontId="0" fillId="0" borderId="10" xfId="0" applyBorder="1" applyAlignment="1">
      <alignment horizontal="center"/>
    </xf>
    <xf numFmtId="0" fontId="0" fillId="0" borderId="35" xfId="0" applyBorder="1" applyAlignment="1">
      <alignment horizontal="center"/>
    </xf>
    <xf numFmtId="167" fontId="7" fillId="0" borderId="1" xfId="0" applyNumberFormat="1" applyFont="1" applyBorder="1"/>
    <xf numFmtId="167" fontId="5" fillId="0" borderId="1" xfId="0" applyNumberFormat="1" applyFont="1" applyBorder="1"/>
    <xf numFmtId="0" fontId="1" fillId="0" borderId="36" xfId="0" quotePrefix="1" applyFont="1" applyBorder="1" applyAlignment="1">
      <alignment horizontal="center"/>
    </xf>
    <xf numFmtId="0" fontId="7" fillId="2" borderId="12" xfId="0" applyFont="1" applyFill="1" applyBorder="1"/>
    <xf numFmtId="0" fontId="7" fillId="2" borderId="5" xfId="0" applyFont="1" applyFill="1" applyBorder="1"/>
    <xf numFmtId="0" fontId="7" fillId="2" borderId="37" xfId="0" applyFont="1" applyFill="1" applyBorder="1"/>
    <xf numFmtId="0" fontId="12" fillId="0" borderId="0" xfId="0" applyFont="1" applyAlignment="1">
      <alignment horizontal="left"/>
    </xf>
    <xf numFmtId="167" fontId="1" fillId="2" borderId="6" xfId="0" applyNumberFormat="1" applyFont="1" applyFill="1" applyBorder="1"/>
    <xf numFmtId="167" fontId="0" fillId="0" borderId="5" xfId="0" applyNumberFormat="1" applyBorder="1"/>
    <xf numFmtId="167" fontId="7" fillId="2" borderId="5" xfId="0" applyNumberFormat="1" applyFont="1" applyFill="1" applyBorder="1"/>
    <xf numFmtId="167" fontId="7" fillId="2" borderId="6" xfId="0" applyNumberFormat="1" applyFont="1" applyFill="1" applyBorder="1"/>
    <xf numFmtId="167" fontId="1" fillId="2" borderId="38" xfId="0" applyNumberFormat="1" applyFont="1" applyFill="1" applyBorder="1"/>
    <xf numFmtId="0" fontId="1" fillId="2" borderId="6" xfId="0" applyFont="1" applyFill="1" applyBorder="1"/>
    <xf numFmtId="0" fontId="7" fillId="2" borderId="5" xfId="0" quotePrefix="1" applyFont="1" applyFill="1" applyBorder="1" applyAlignment="1">
      <alignment horizontal="left"/>
    </xf>
    <xf numFmtId="167" fontId="7" fillId="4" borderId="5" xfId="0" applyNumberFormat="1" applyFont="1" applyFill="1" applyBorder="1"/>
    <xf numFmtId="0" fontId="0" fillId="0" borderId="6" xfId="0" applyBorder="1"/>
    <xf numFmtId="167" fontId="7" fillId="0" borderId="5" xfId="0" applyNumberFormat="1" applyFont="1" applyBorder="1"/>
    <xf numFmtId="166" fontId="7" fillId="0" borderId="0" xfId="0" applyNumberFormat="1" applyFont="1" applyBorder="1"/>
    <xf numFmtId="167" fontId="5" fillId="0" borderId="30" xfId="0" applyNumberFormat="1" applyFont="1" applyBorder="1"/>
    <xf numFmtId="0" fontId="0" fillId="0" borderId="25" xfId="0" applyBorder="1" applyAlignment="1">
      <alignment horizontal="left"/>
    </xf>
    <xf numFmtId="0" fontId="0" fillId="0" borderId="14" xfId="0" quotePrefix="1" applyBorder="1" applyAlignment="1">
      <alignment horizontal="center"/>
    </xf>
    <xf numFmtId="0" fontId="7" fillId="2" borderId="5" xfId="0" applyFont="1" applyFill="1" applyBorder="1" applyAlignment="1">
      <alignment horizontal="left"/>
    </xf>
    <xf numFmtId="0" fontId="7" fillId="0" borderId="5" xfId="0" quotePrefix="1" applyFont="1" applyBorder="1" applyAlignment="1">
      <alignment horizontal="left"/>
    </xf>
    <xf numFmtId="0" fontId="7" fillId="0" borderId="0" xfId="0" applyFont="1" applyAlignment="1">
      <alignment horizontal="left"/>
    </xf>
    <xf numFmtId="0" fontId="7" fillId="0" borderId="3" xfId="0" quotePrefix="1" applyFont="1" applyBorder="1" applyAlignment="1">
      <alignment horizontal="center"/>
    </xf>
    <xf numFmtId="167" fontId="4" fillId="2" borderId="0" xfId="0" applyNumberFormat="1" applyFont="1" applyFill="1" applyBorder="1" applyProtection="1"/>
    <xf numFmtId="0" fontId="1" fillId="2" borderId="5" xfId="0" applyFont="1" applyFill="1" applyBorder="1"/>
    <xf numFmtId="0" fontId="11" fillId="0" borderId="18" xfId="0" quotePrefix="1" applyFont="1" applyBorder="1" applyAlignment="1">
      <alignment horizontal="left"/>
    </xf>
    <xf numFmtId="0" fontId="4" fillId="2" borderId="5" xfId="0" applyFont="1" applyFill="1" applyBorder="1"/>
    <xf numFmtId="1" fontId="7" fillId="0" borderId="0" xfId="0" applyNumberFormat="1" applyFont="1" applyBorder="1"/>
    <xf numFmtId="0" fontId="0" fillId="0" borderId="39" xfId="0" applyBorder="1"/>
    <xf numFmtId="0" fontId="1" fillId="2" borderId="38" xfId="0" quotePrefix="1" applyFont="1" applyFill="1" applyBorder="1" applyAlignment="1">
      <alignment horizontal="left"/>
    </xf>
    <xf numFmtId="0" fontId="0" fillId="0" borderId="40" xfId="0" applyBorder="1"/>
    <xf numFmtId="167" fontId="1" fillId="2" borderId="39" xfId="0" applyNumberFormat="1" applyFont="1" applyFill="1" applyBorder="1"/>
    <xf numFmtId="167" fontId="1" fillId="2" borderId="14" xfId="0" applyNumberFormat="1" applyFont="1" applyFill="1" applyBorder="1"/>
    <xf numFmtId="0" fontId="7" fillId="0" borderId="16" xfId="0" applyFont="1" applyBorder="1"/>
    <xf numFmtId="0" fontId="1" fillId="2" borderId="40" xfId="0" applyFont="1" applyFill="1" applyBorder="1"/>
    <xf numFmtId="0" fontId="1" fillId="0" borderId="2" xfId="0" quotePrefix="1" applyFont="1" applyBorder="1" applyAlignment="1">
      <alignment horizontal="left"/>
    </xf>
    <xf numFmtId="0" fontId="7" fillId="2" borderId="41" xfId="0" applyFont="1" applyFill="1" applyBorder="1"/>
    <xf numFmtId="0" fontId="0" fillId="0" borderId="11" xfId="0" applyBorder="1"/>
    <xf numFmtId="0" fontId="1" fillId="2" borderId="18" xfId="0" applyFont="1" applyFill="1" applyBorder="1"/>
    <xf numFmtId="0" fontId="7" fillId="0" borderId="0" xfId="0" quotePrefix="1" applyFont="1" applyBorder="1" applyAlignment="1">
      <alignment horizontal="left"/>
    </xf>
    <xf numFmtId="1" fontId="7" fillId="0" borderId="5" xfId="0" applyNumberFormat="1" applyFont="1" applyBorder="1" applyAlignment="1">
      <alignment horizontal="center"/>
    </xf>
    <xf numFmtId="1" fontId="7" fillId="0" borderId="6" xfId="0" applyNumberFormat="1" applyFont="1" applyBorder="1" applyAlignment="1">
      <alignment horizontal="center"/>
    </xf>
    <xf numFmtId="0" fontId="30" fillId="0" borderId="42" xfId="0" applyFont="1" applyFill="1" applyBorder="1" applyAlignment="1"/>
    <xf numFmtId="0" fontId="29" fillId="0" borderId="42" xfId="0" applyFont="1" applyFill="1" applyBorder="1" applyAlignment="1"/>
    <xf numFmtId="164" fontId="29" fillId="0" borderId="42" xfId="0" applyNumberFormat="1" applyFont="1" applyFill="1" applyBorder="1" applyAlignment="1"/>
    <xf numFmtId="0" fontId="30" fillId="0" borderId="43" xfId="0" applyFont="1" applyFill="1" applyBorder="1" applyAlignment="1"/>
    <xf numFmtId="0" fontId="29" fillId="0" borderId="11" xfId="0" applyFont="1" applyFill="1" applyBorder="1" applyAlignment="1">
      <alignment horizontal="left"/>
    </xf>
    <xf numFmtId="0" fontId="30" fillId="0" borderId="0" xfId="0" applyFont="1" applyFill="1" applyBorder="1" applyAlignment="1"/>
    <xf numFmtId="0" fontId="30" fillId="0" borderId="13" xfId="0" applyFont="1" applyFill="1" applyBorder="1" applyAlignment="1"/>
    <xf numFmtId="0" fontId="30" fillId="0" borderId="0" xfId="0" quotePrefix="1" applyFont="1" applyFill="1" applyBorder="1" applyAlignment="1"/>
    <xf numFmtId="0" fontId="29" fillId="0" borderId="44" xfId="0" applyFont="1" applyFill="1" applyBorder="1" applyAlignment="1">
      <alignment horizontal="left"/>
    </xf>
    <xf numFmtId="0" fontId="30" fillId="0" borderId="2" xfId="0" quotePrefix="1" applyFont="1" applyFill="1" applyBorder="1" applyAlignment="1"/>
    <xf numFmtId="0" fontId="30" fillId="0" borderId="12" xfId="0" quotePrefix="1" applyFont="1" applyFill="1" applyBorder="1" applyAlignment="1"/>
    <xf numFmtId="0" fontId="29" fillId="0" borderId="44" xfId="0" quotePrefix="1" applyFont="1" applyFill="1" applyBorder="1" applyAlignment="1">
      <alignment horizontal="left"/>
    </xf>
    <xf numFmtId="0" fontId="30" fillId="0" borderId="2" xfId="0" applyFont="1" applyFill="1" applyBorder="1" applyAlignment="1"/>
    <xf numFmtId="0" fontId="30" fillId="0" borderId="12" xfId="0" applyFont="1" applyFill="1" applyBorder="1" applyAlignment="1"/>
    <xf numFmtId="0" fontId="30" fillId="0" borderId="39" xfId="0" applyFont="1" applyFill="1" applyBorder="1" applyAlignment="1"/>
    <xf numFmtId="0" fontId="30" fillId="0" borderId="6" xfId="0" applyFont="1" applyFill="1" applyBorder="1" applyAlignment="1"/>
    <xf numFmtId="0" fontId="30" fillId="0" borderId="40" xfId="0" applyFont="1" applyFill="1" applyBorder="1" applyAlignment="1"/>
    <xf numFmtId="0" fontId="30" fillId="0" borderId="5" xfId="0" applyFont="1" applyFill="1" applyBorder="1" applyAlignment="1"/>
    <xf numFmtId="0" fontId="29" fillId="0" borderId="45" xfId="0" quotePrefix="1" applyFont="1" applyFill="1" applyBorder="1" applyAlignment="1">
      <alignment horizontal="left"/>
    </xf>
    <xf numFmtId="166" fontId="30" fillId="0" borderId="42" xfId="0" applyNumberFormat="1" applyFont="1" applyFill="1" applyBorder="1" applyAlignment="1" applyProtection="1"/>
    <xf numFmtId="171" fontId="30" fillId="0" borderId="46" xfId="0" applyNumberFormat="1" applyFont="1" applyFill="1" applyBorder="1" applyAlignment="1"/>
    <xf numFmtId="0" fontId="30" fillId="0" borderId="46" xfId="0" applyFont="1" applyFill="1" applyBorder="1" applyAlignment="1"/>
    <xf numFmtId="0" fontId="30" fillId="0" borderId="47" xfId="0" applyFont="1" applyFill="1" applyBorder="1" applyAlignment="1"/>
    <xf numFmtId="0" fontId="29" fillId="5" borderId="48" xfId="0" quotePrefix="1" applyFont="1" applyFill="1" applyBorder="1" applyAlignment="1">
      <alignment horizontal="left"/>
    </xf>
    <xf numFmtId="0" fontId="29" fillId="5" borderId="49" xfId="0" quotePrefix="1" applyFont="1" applyFill="1" applyBorder="1" applyAlignment="1">
      <alignment horizontal="center"/>
    </xf>
    <xf numFmtId="0" fontId="29" fillId="5" borderId="49" xfId="0" quotePrefix="1" applyFont="1" applyFill="1" applyBorder="1" applyAlignment="1">
      <alignment horizontal="left"/>
    </xf>
    <xf numFmtId="0" fontId="29" fillId="5" borderId="50" xfId="0" quotePrefix="1" applyFont="1" applyFill="1" applyBorder="1" applyAlignment="1">
      <alignment horizontal="left"/>
    </xf>
    <xf numFmtId="0" fontId="29" fillId="0" borderId="51" xfId="0" quotePrefix="1" applyFont="1" applyFill="1" applyBorder="1" applyAlignment="1">
      <alignment horizontal="left"/>
    </xf>
    <xf numFmtId="166" fontId="30" fillId="0" borderId="4" xfId="0" applyNumberFormat="1" applyFont="1" applyFill="1" applyBorder="1" applyAlignment="1"/>
    <xf numFmtId="0" fontId="29" fillId="0" borderId="11" xfId="0" quotePrefix="1" applyFont="1" applyFill="1" applyBorder="1" applyAlignment="1">
      <alignment horizontal="left"/>
    </xf>
    <xf numFmtId="166" fontId="30" fillId="0" borderId="39" xfId="0" applyNumberFormat="1" applyFont="1" applyFill="1" applyBorder="1" applyAlignment="1"/>
    <xf numFmtId="167" fontId="30" fillId="0" borderId="12" xfId="0" applyNumberFormat="1" applyFont="1" applyFill="1" applyBorder="1" applyAlignment="1"/>
    <xf numFmtId="174" fontId="30" fillId="0" borderId="4" xfId="0" applyNumberFormat="1" applyFont="1" applyFill="1" applyBorder="1" applyAlignment="1"/>
    <xf numFmtId="0" fontId="30" fillId="0" borderId="52" xfId="0" applyFont="1" applyFill="1" applyBorder="1" applyAlignment="1"/>
    <xf numFmtId="0" fontId="29" fillId="0" borderId="53" xfId="0" quotePrefix="1" applyFont="1" applyFill="1" applyBorder="1" applyAlignment="1">
      <alignment horizontal="left"/>
    </xf>
    <xf numFmtId="166" fontId="30" fillId="0" borderId="54" xfId="0" applyNumberFormat="1" applyFont="1" applyFill="1" applyBorder="1" applyAlignment="1"/>
    <xf numFmtId="166" fontId="30" fillId="0" borderId="55" xfId="0" applyNumberFormat="1" applyFont="1" applyFill="1" applyBorder="1" applyAlignment="1"/>
    <xf numFmtId="0" fontId="30" fillId="0" borderId="56" xfId="0" applyFont="1" applyFill="1" applyBorder="1" applyAlignment="1"/>
    <xf numFmtId="0" fontId="30" fillId="0" borderId="11" xfId="0" quotePrefix="1" applyFont="1" applyFill="1" applyBorder="1" applyAlignment="1">
      <alignment horizontal="left"/>
    </xf>
    <xf numFmtId="166" fontId="30" fillId="0" borderId="57" xfId="0" applyNumberFormat="1" applyFont="1" applyFill="1" applyBorder="1" applyAlignment="1"/>
    <xf numFmtId="166" fontId="30" fillId="0" borderId="46" xfId="0" applyNumberFormat="1" applyFont="1" applyFill="1" applyBorder="1" applyAlignment="1"/>
    <xf numFmtId="171" fontId="30" fillId="0" borderId="39" xfId="0" applyNumberFormat="1" applyFont="1" applyFill="1" applyBorder="1" applyAlignment="1"/>
    <xf numFmtId="0" fontId="30" fillId="0" borderId="58" xfId="0" applyFont="1" applyFill="1" applyBorder="1" applyAlignment="1"/>
    <xf numFmtId="166" fontId="30" fillId="0" borderId="0" xfId="0" applyNumberFormat="1" applyFont="1" applyFill="1" applyBorder="1" applyAlignment="1"/>
    <xf numFmtId="166" fontId="30" fillId="0" borderId="5" xfId="0" applyNumberFormat="1" applyFont="1" applyFill="1" applyBorder="1" applyAlignment="1"/>
    <xf numFmtId="0" fontId="29" fillId="0" borderId="59" xfId="0" quotePrefix="1" applyFont="1" applyFill="1" applyBorder="1" applyAlignment="1">
      <alignment horizontal="left"/>
    </xf>
    <xf numFmtId="166" fontId="29" fillId="0" borderId="60" xfId="0" applyNumberFormat="1" applyFont="1" applyFill="1" applyBorder="1" applyAlignment="1"/>
    <xf numFmtId="166" fontId="29" fillId="0" borderId="61" xfId="0" applyNumberFormat="1" applyFont="1" applyFill="1" applyBorder="1" applyAlignment="1"/>
    <xf numFmtId="0" fontId="30" fillId="0" borderId="62" xfId="0" applyFont="1" applyFill="1" applyBorder="1" applyAlignment="1"/>
    <xf numFmtId="167" fontId="30" fillId="0" borderId="63" xfId="0" applyNumberFormat="1" applyFont="1" applyFill="1" applyBorder="1" applyAlignment="1"/>
    <xf numFmtId="167" fontId="30" fillId="0" borderId="58" xfId="0" applyNumberFormat="1" applyFont="1" applyFill="1" applyBorder="1" applyAlignment="1"/>
    <xf numFmtId="0" fontId="29" fillId="0" borderId="64" xfId="0" quotePrefix="1" applyFont="1" applyFill="1" applyBorder="1" applyAlignment="1">
      <alignment horizontal="left"/>
    </xf>
    <xf numFmtId="166" fontId="30" fillId="0" borderId="61" xfId="0" applyNumberFormat="1" applyFont="1" applyFill="1" applyBorder="1" applyAlignment="1"/>
    <xf numFmtId="166" fontId="30" fillId="0" borderId="60" xfId="0" applyNumberFormat="1" applyFont="1" applyFill="1" applyBorder="1" applyAlignment="1"/>
    <xf numFmtId="167" fontId="30" fillId="0" borderId="65" xfId="0" applyNumberFormat="1" applyFont="1" applyFill="1" applyBorder="1" applyAlignment="1"/>
    <xf numFmtId="0" fontId="31" fillId="0" borderId="11" xfId="0" quotePrefix="1" applyFont="1" applyBorder="1" applyAlignment="1">
      <alignment horizontal="left"/>
    </xf>
    <xf numFmtId="166" fontId="29" fillId="0" borderId="61" xfId="0" applyNumberFormat="1" applyFont="1" applyBorder="1"/>
    <xf numFmtId="167" fontId="29" fillId="0" borderId="2" xfId="0" applyNumberFormat="1" applyFont="1" applyBorder="1"/>
    <xf numFmtId="167" fontId="29" fillId="0" borderId="52" xfId="0" applyNumberFormat="1" applyFont="1" applyBorder="1"/>
    <xf numFmtId="0" fontId="32" fillId="0" borderId="61" xfId="0" applyFont="1" applyBorder="1"/>
    <xf numFmtId="0" fontId="33" fillId="0" borderId="11" xfId="0" quotePrefix="1" applyFont="1" applyBorder="1" applyAlignment="1">
      <alignment horizontal="left"/>
    </xf>
    <xf numFmtId="166" fontId="30" fillId="0" borderId="61" xfId="0" applyNumberFormat="1" applyFont="1" applyBorder="1"/>
    <xf numFmtId="0" fontId="33" fillId="0" borderId="11" xfId="0" quotePrefix="1" applyFont="1" applyBorder="1" applyAlignment="1">
      <alignment horizontal="center"/>
    </xf>
    <xf numFmtId="0" fontId="32" fillId="0" borderId="2" xfId="0" applyFont="1" applyBorder="1"/>
    <xf numFmtId="0" fontId="32" fillId="0" borderId="52" xfId="0" applyFont="1" applyBorder="1"/>
    <xf numFmtId="0" fontId="29" fillId="0" borderId="11" xfId="0" applyFont="1" applyBorder="1" applyAlignment="1">
      <alignment horizontal="left"/>
    </xf>
    <xf numFmtId="167" fontId="30" fillId="0" borderId="2" xfId="0" applyNumberFormat="1" applyFont="1" applyBorder="1"/>
    <xf numFmtId="167" fontId="30" fillId="0" borderId="52" xfId="0" applyNumberFormat="1" applyFont="1" applyBorder="1"/>
    <xf numFmtId="0" fontId="29" fillId="0" borderId="11" xfId="0" quotePrefix="1" applyFont="1" applyBorder="1" applyAlignment="1">
      <alignment horizontal="left"/>
    </xf>
    <xf numFmtId="166" fontId="34" fillId="0" borderId="61" xfId="0" applyNumberFormat="1" applyFont="1" applyBorder="1"/>
    <xf numFmtId="167" fontId="30" fillId="0" borderId="61" xfId="0" applyNumberFormat="1" applyFont="1" applyBorder="1"/>
    <xf numFmtId="0" fontId="29" fillId="0" borderId="66" xfId="0" quotePrefix="1" applyFont="1" applyBorder="1" applyAlignment="1">
      <alignment horizontal="left"/>
    </xf>
    <xf numFmtId="0" fontId="35" fillId="6" borderId="64" xfId="0" applyFont="1" applyFill="1" applyBorder="1" applyAlignment="1">
      <alignment horizontal="left"/>
    </xf>
    <xf numFmtId="0" fontId="31" fillId="6" borderId="67" xfId="0" applyFont="1" applyFill="1" applyBorder="1" applyAlignment="1">
      <alignment horizontal="centerContinuous"/>
    </xf>
    <xf numFmtId="0" fontId="36" fillId="6" borderId="67" xfId="0" applyFont="1" applyFill="1" applyBorder="1" applyAlignment="1">
      <alignment horizontal="centerContinuous"/>
    </xf>
    <xf numFmtId="0" fontId="29" fillId="6" borderId="67" xfId="0" applyFont="1" applyFill="1" applyBorder="1" applyAlignment="1">
      <alignment horizontal="centerContinuous"/>
    </xf>
    <xf numFmtId="0" fontId="36" fillId="6" borderId="62" xfId="0" applyFont="1" applyFill="1" applyBorder="1" applyAlignment="1">
      <alignment horizontal="centerContinuous"/>
    </xf>
    <xf numFmtId="0" fontId="36" fillId="6" borderId="68" xfId="0" applyFont="1" applyFill="1" applyBorder="1" applyAlignment="1">
      <alignment horizontal="centerContinuous"/>
    </xf>
    <xf numFmtId="0" fontId="30" fillId="0" borderId="11" xfId="0" quotePrefix="1" applyFont="1" applyBorder="1" applyAlignment="1">
      <alignment horizontal="left"/>
    </xf>
    <xf numFmtId="0" fontId="32" fillId="0" borderId="65" xfId="0" applyFont="1" applyBorder="1"/>
    <xf numFmtId="0" fontId="29" fillId="0" borderId="0" xfId="0" quotePrefix="1" applyFont="1" applyAlignment="1">
      <alignment horizontal="left"/>
    </xf>
    <xf numFmtId="0" fontId="32" fillId="0" borderId="42" xfId="0" applyFont="1" applyBorder="1"/>
    <xf numFmtId="0" fontId="32" fillId="5" borderId="13" xfId="0" applyFont="1" applyFill="1" applyBorder="1"/>
    <xf numFmtId="0" fontId="29" fillId="0" borderId="61" xfId="0" applyFont="1" applyBorder="1" applyAlignment="1">
      <alignment horizontal="left"/>
    </xf>
    <xf numFmtId="0" fontId="29" fillId="0" borderId="61" xfId="0" quotePrefix="1" applyFont="1" applyBorder="1" applyAlignment="1">
      <alignment horizontal="left"/>
    </xf>
    <xf numFmtId="174" fontId="30" fillId="0" borderId="39" xfId="0" applyNumberFormat="1" applyFont="1" applyBorder="1"/>
    <xf numFmtId="0" fontId="30" fillId="0" borderId="0" xfId="0" applyFont="1"/>
    <xf numFmtId="174" fontId="30" fillId="0" borderId="4" xfId="0" applyNumberFormat="1" applyFont="1" applyBorder="1"/>
    <xf numFmtId="0" fontId="29" fillId="0" borderId="61" xfId="0" applyFont="1" applyBorder="1"/>
    <xf numFmtId="174" fontId="30" fillId="0" borderId="69" xfId="0" applyNumberFormat="1" applyFont="1" applyBorder="1"/>
    <xf numFmtId="0" fontId="32" fillId="0" borderId="70" xfId="0" applyFont="1" applyBorder="1"/>
    <xf numFmtId="0" fontId="32" fillId="0" borderId="71" xfId="0" applyFont="1" applyBorder="1"/>
    <xf numFmtId="0" fontId="37" fillId="6" borderId="64" xfId="0" applyFont="1" applyFill="1" applyBorder="1" applyAlignment="1">
      <alignment horizontal="left"/>
    </xf>
    <xf numFmtId="0" fontId="37" fillId="6" borderId="67" xfId="0" applyFont="1" applyFill="1" applyBorder="1" applyAlignment="1">
      <alignment horizontal="centerContinuous"/>
    </xf>
    <xf numFmtId="0" fontId="29" fillId="0" borderId="72" xfId="0" applyFont="1" applyBorder="1"/>
    <xf numFmtId="0" fontId="32" fillId="0" borderId="73" xfId="0" applyFont="1" applyBorder="1"/>
    <xf numFmtId="0" fontId="32" fillId="0" borderId="0" xfId="0" applyFont="1" applyBorder="1"/>
    <xf numFmtId="0" fontId="32" fillId="0" borderId="63" xfId="0" applyFont="1" applyBorder="1"/>
    <xf numFmtId="0" fontId="32" fillId="0" borderId="62" xfId="0" applyFont="1" applyBorder="1"/>
    <xf numFmtId="0" fontId="29" fillId="0" borderId="59" xfId="0" applyFont="1" applyBorder="1" applyAlignment="1">
      <alignment horizontal="left"/>
    </xf>
    <xf numFmtId="0" fontId="29" fillId="0" borderId="64" xfId="0" applyFont="1" applyBorder="1" applyAlignment="1">
      <alignment horizontal="left"/>
    </xf>
    <xf numFmtId="0" fontId="32" fillId="0" borderId="74" xfId="0" applyFont="1" applyBorder="1"/>
    <xf numFmtId="0" fontId="32" fillId="0" borderId="1" xfId="0" applyFont="1" applyBorder="1"/>
    <xf numFmtId="0" fontId="38" fillId="0" borderId="61" xfId="0" applyFont="1" applyBorder="1"/>
    <xf numFmtId="0" fontId="29" fillId="6" borderId="64" xfId="0" applyFont="1" applyFill="1" applyBorder="1" applyAlignment="1">
      <alignment horizontal="centerContinuous"/>
    </xf>
    <xf numFmtId="0" fontId="32" fillId="6" borderId="67" xfId="0" applyFont="1" applyFill="1" applyBorder="1" applyAlignment="1">
      <alignment horizontal="centerContinuous"/>
    </xf>
    <xf numFmtId="0" fontId="32" fillId="6" borderId="68" xfId="0" applyFont="1" applyFill="1" applyBorder="1" applyAlignment="1">
      <alignment horizontal="centerContinuous"/>
    </xf>
    <xf numFmtId="0" fontId="30" fillId="0" borderId="72" xfId="0" applyFont="1" applyBorder="1"/>
    <xf numFmtId="0" fontId="30" fillId="5" borderId="2" xfId="0" applyFont="1" applyFill="1" applyBorder="1"/>
    <xf numFmtId="172" fontId="30" fillId="0" borderId="6" xfId="0" applyNumberFormat="1" applyFont="1" applyBorder="1"/>
    <xf numFmtId="0" fontId="30" fillId="0" borderId="12" xfId="0" applyFont="1" applyBorder="1"/>
    <xf numFmtId="0" fontId="30" fillId="5" borderId="0" xfId="0" applyFont="1" applyFill="1"/>
    <xf numFmtId="167" fontId="30" fillId="0" borderId="12" xfId="0" applyNumberFormat="1" applyFont="1" applyBorder="1"/>
    <xf numFmtId="0" fontId="39" fillId="0" borderId="72" xfId="0" applyFont="1" applyBorder="1"/>
    <xf numFmtId="167" fontId="30" fillId="2" borderId="6" xfId="0" applyNumberFormat="1" applyFont="1" applyFill="1" applyBorder="1"/>
    <xf numFmtId="167" fontId="30" fillId="5" borderId="13" xfId="0" applyNumberFormat="1" applyFont="1" applyFill="1" applyBorder="1"/>
    <xf numFmtId="0" fontId="30" fillId="0" borderId="11" xfId="0" applyFont="1" applyBorder="1"/>
    <xf numFmtId="0" fontId="30" fillId="0" borderId="51" xfId="0" quotePrefix="1" applyFont="1" applyBorder="1" applyAlignment="1">
      <alignment horizontal="left"/>
    </xf>
    <xf numFmtId="167" fontId="30" fillId="2" borderId="75" xfId="0" applyNumberFormat="1" applyFont="1" applyFill="1" applyBorder="1" applyProtection="1"/>
    <xf numFmtId="0" fontId="30" fillId="0" borderId="76" xfId="0" quotePrefix="1" applyFont="1" applyBorder="1" applyAlignment="1">
      <alignment horizontal="left"/>
    </xf>
    <xf numFmtId="0" fontId="30" fillId="5" borderId="14" xfId="0" applyFont="1" applyFill="1" applyBorder="1"/>
    <xf numFmtId="167" fontId="30" fillId="0" borderId="77" xfId="0" applyNumberFormat="1" applyFont="1" applyBorder="1"/>
    <xf numFmtId="167" fontId="29" fillId="0" borderId="3" xfId="0" applyNumberFormat="1" applyFont="1" applyBorder="1"/>
    <xf numFmtId="0" fontId="30" fillId="0" borderId="3" xfId="0" applyFont="1" applyBorder="1"/>
    <xf numFmtId="0" fontId="29" fillId="0" borderId="72" xfId="0" quotePrefix="1" applyFont="1" applyBorder="1" applyAlignment="1">
      <alignment horizontal="left"/>
    </xf>
    <xf numFmtId="172" fontId="29" fillId="0" borderId="52" xfId="0" applyNumberFormat="1" applyFont="1" applyBorder="1"/>
    <xf numFmtId="0" fontId="34" fillId="0" borderId="12" xfId="0" applyFont="1" applyBorder="1"/>
    <xf numFmtId="167" fontId="34" fillId="0" borderId="61" xfId="0" applyNumberFormat="1" applyFont="1" applyBorder="1"/>
    <xf numFmtId="0" fontId="32" fillId="0" borderId="12" xfId="0" applyFont="1" applyBorder="1"/>
    <xf numFmtId="0" fontId="30" fillId="0" borderId="72" xfId="0" quotePrefix="1" applyFont="1" applyBorder="1" applyAlignment="1">
      <alignment horizontal="left"/>
    </xf>
    <xf numFmtId="0" fontId="30" fillId="0" borderId="2" xfId="0" applyFont="1" applyBorder="1"/>
    <xf numFmtId="0" fontId="30" fillId="0" borderId="39" xfId="0" applyFont="1" applyBorder="1"/>
    <xf numFmtId="167" fontId="30" fillId="2" borderId="12" xfId="0" applyNumberFormat="1" applyFont="1" applyFill="1" applyBorder="1" applyProtection="1"/>
    <xf numFmtId="167" fontId="30" fillId="2" borderId="39" xfId="0" applyNumberFormat="1" applyFont="1" applyFill="1" applyBorder="1"/>
    <xf numFmtId="172" fontId="30" fillId="0" borderId="4" xfId="0" applyNumberFormat="1" applyFont="1" applyBorder="1"/>
    <xf numFmtId="172" fontId="34" fillId="0" borderId="4" xfId="0" applyNumberFormat="1" applyFont="1" applyBorder="1"/>
    <xf numFmtId="167" fontId="30" fillId="2" borderId="39" xfId="0" applyNumberFormat="1" applyFont="1" applyFill="1" applyBorder="1" applyProtection="1"/>
    <xf numFmtId="167" fontId="30" fillId="2" borderId="78" xfId="0" applyNumberFormat="1" applyFont="1" applyFill="1" applyBorder="1" applyProtection="1"/>
    <xf numFmtId="0" fontId="30" fillId="0" borderId="1" xfId="0" applyFont="1" applyBorder="1"/>
    <xf numFmtId="0" fontId="30" fillId="0" borderId="79" xfId="0" applyFont="1" applyBorder="1"/>
    <xf numFmtId="0" fontId="30" fillId="0" borderId="80" xfId="0" applyFont="1" applyBorder="1"/>
    <xf numFmtId="0" fontId="30" fillId="0" borderId="2" xfId="0" quotePrefix="1" applyFont="1" applyBorder="1" applyAlignment="1">
      <alignment horizontal="left"/>
    </xf>
    <xf numFmtId="0" fontId="32" fillId="0" borderId="39" xfId="0" applyFont="1" applyBorder="1"/>
    <xf numFmtId="0" fontId="32" fillId="0" borderId="39" xfId="0" quotePrefix="1" applyFont="1" applyBorder="1" applyAlignment="1">
      <alignment horizontal="left"/>
    </xf>
    <xf numFmtId="0" fontId="32" fillId="0" borderId="39" xfId="0" applyFont="1" applyBorder="1" applyAlignment="1">
      <alignment horizontal="center"/>
    </xf>
    <xf numFmtId="0" fontId="29" fillId="0" borderId="66" xfId="0" applyFont="1" applyBorder="1"/>
    <xf numFmtId="167" fontId="29" fillId="0" borderId="81" xfId="0" applyNumberFormat="1" applyFont="1" applyBorder="1"/>
    <xf numFmtId="0" fontId="32" fillId="0" borderId="81" xfId="0" applyFont="1" applyBorder="1"/>
    <xf numFmtId="0" fontId="32" fillId="0" borderId="82" xfId="0" applyFont="1" applyBorder="1"/>
    <xf numFmtId="0" fontId="32" fillId="0" borderId="83" xfId="0" applyFont="1" applyBorder="1"/>
    <xf numFmtId="0" fontId="32" fillId="0" borderId="22" xfId="0" applyFont="1" applyBorder="1"/>
    <xf numFmtId="0" fontId="29" fillId="0" borderId="2" xfId="0" applyFont="1" applyBorder="1" applyAlignment="1">
      <alignment horizontal="right"/>
    </xf>
    <xf numFmtId="164" fontId="29" fillId="0" borderId="2" xfId="0" applyNumberFormat="1" applyFont="1" applyBorder="1" applyAlignment="1">
      <alignment horizontal="centerContinuous"/>
    </xf>
    <xf numFmtId="0" fontId="30" fillId="0" borderId="13" xfId="0" applyFont="1" applyBorder="1"/>
    <xf numFmtId="0" fontId="32" fillId="0" borderId="3" xfId="0" applyFont="1" applyBorder="1"/>
    <xf numFmtId="0" fontId="32" fillId="0" borderId="4" xfId="0" applyFont="1" applyBorder="1"/>
    <xf numFmtId="0" fontId="29" fillId="0" borderId="76" xfId="0" quotePrefix="1" applyFont="1" applyBorder="1" applyAlignment="1">
      <alignment horizontal="left"/>
    </xf>
    <xf numFmtId="0" fontId="29" fillId="0" borderId="14" xfId="0" quotePrefix="1" applyFont="1" applyBorder="1" applyAlignment="1">
      <alignment horizontal="left"/>
    </xf>
    <xf numFmtId="0" fontId="34" fillId="0" borderId="69" xfId="0" applyFont="1" applyBorder="1"/>
    <xf numFmtId="0" fontId="29" fillId="0" borderId="14" xfId="0" applyFont="1" applyBorder="1"/>
    <xf numFmtId="0" fontId="34" fillId="0" borderId="14" xfId="0" applyFont="1" applyBorder="1" applyAlignment="1">
      <alignment horizontal="left"/>
    </xf>
    <xf numFmtId="0" fontId="29" fillId="0" borderId="70" xfId="0" quotePrefix="1" applyFont="1" applyBorder="1" applyAlignment="1">
      <alignment horizontal="left"/>
    </xf>
    <xf numFmtId="0" fontId="29" fillId="0" borderId="84" xfId="0" applyFont="1" applyBorder="1"/>
    <xf numFmtId="0" fontId="16" fillId="0" borderId="0" xfId="0" applyFont="1"/>
    <xf numFmtId="0" fontId="14" fillId="0" borderId="0" xfId="0" applyFont="1" applyAlignment="1">
      <alignment horizontal="left"/>
    </xf>
    <xf numFmtId="166" fontId="30" fillId="0" borderId="75" xfId="0" applyNumberFormat="1" applyFont="1" applyBorder="1"/>
    <xf numFmtId="166" fontId="30" fillId="2" borderId="61" xfId="0" applyNumberFormat="1" applyFont="1" applyFill="1" applyBorder="1" applyProtection="1"/>
    <xf numFmtId="0" fontId="0" fillId="0" borderId="0" xfId="0" quotePrefix="1" applyBorder="1" applyAlignment="1">
      <alignment horizontal="left"/>
    </xf>
    <xf numFmtId="0" fontId="29" fillId="0" borderId="0" xfId="0" applyFont="1" applyBorder="1" applyAlignment="1">
      <alignment horizontal="right"/>
    </xf>
    <xf numFmtId="0" fontId="30" fillId="0" borderId="12" xfId="0" applyFont="1" applyBorder="1" applyAlignment="1">
      <alignment horizontal="left"/>
    </xf>
    <xf numFmtId="0" fontId="30" fillId="0" borderId="39" xfId="0" quotePrefix="1" applyFont="1" applyBorder="1" applyAlignment="1">
      <alignment horizontal="left"/>
    </xf>
    <xf numFmtId="0" fontId="30" fillId="0" borderId="11" xfId="0" applyFont="1" applyBorder="1" applyAlignment="1">
      <alignment horizontal="left"/>
    </xf>
    <xf numFmtId="179" fontId="8" fillId="0" borderId="0" xfId="0" applyNumberFormat="1" applyFont="1" applyBorder="1"/>
    <xf numFmtId="0" fontId="7" fillId="7" borderId="5" xfId="0" applyFont="1" applyFill="1" applyBorder="1"/>
    <xf numFmtId="0" fontId="7" fillId="7" borderId="17" xfId="0" applyFont="1" applyFill="1" applyBorder="1"/>
    <xf numFmtId="179" fontId="8" fillId="0" borderId="14" xfId="0" applyNumberFormat="1" applyFont="1" applyBorder="1"/>
    <xf numFmtId="0" fontId="0" fillId="0" borderId="30" xfId="0" applyBorder="1"/>
    <xf numFmtId="0" fontId="1" fillId="2" borderId="31" xfId="0" quotePrefix="1" applyFont="1" applyFill="1" applyBorder="1" applyAlignment="1">
      <alignment horizontal="left"/>
    </xf>
    <xf numFmtId="0" fontId="0" fillId="0" borderId="85" xfId="0" applyBorder="1"/>
    <xf numFmtId="0" fontId="41" fillId="0" borderId="0" xfId="0" applyFont="1"/>
    <xf numFmtId="0" fontId="0" fillId="0" borderId="62" xfId="0" applyBorder="1"/>
    <xf numFmtId="0" fontId="11" fillId="0" borderId="86" xfId="0" applyFont="1" applyBorder="1"/>
    <xf numFmtId="0" fontId="0" fillId="0" borderId="87" xfId="0" applyBorder="1"/>
    <xf numFmtId="0" fontId="11" fillId="0" borderId="88" xfId="0" applyFont="1" applyBorder="1"/>
    <xf numFmtId="0" fontId="0" fillId="0" borderId="49" xfId="0" applyBorder="1"/>
    <xf numFmtId="0" fontId="42" fillId="0" borderId="8" xfId="0" applyFont="1" applyBorder="1" applyAlignment="1">
      <alignment horizontal="left"/>
    </xf>
    <xf numFmtId="167" fontId="11" fillId="0" borderId="89" xfId="0" applyNumberFormat="1" applyFont="1" applyBorder="1"/>
    <xf numFmtId="0" fontId="11" fillId="0" borderId="49" xfId="0" applyFont="1" applyBorder="1" applyAlignment="1">
      <alignment horizontal="right"/>
    </xf>
    <xf numFmtId="0" fontId="21" fillId="0" borderId="0" xfId="0" quotePrefix="1" applyFont="1" applyAlignment="1">
      <alignment horizontal="left"/>
    </xf>
    <xf numFmtId="0" fontId="0" fillId="0" borderId="26" xfId="0" applyBorder="1"/>
    <xf numFmtId="0" fontId="7" fillId="0" borderId="7" xfId="0" applyFont="1" applyBorder="1"/>
    <xf numFmtId="0" fontId="7" fillId="2" borderId="24" xfId="0" applyFont="1" applyFill="1" applyBorder="1"/>
    <xf numFmtId="167" fontId="7" fillId="2" borderId="40" xfId="0" applyNumberFormat="1" applyFont="1" applyFill="1" applyBorder="1"/>
    <xf numFmtId="167" fontId="11" fillId="0" borderId="62" xfId="0" applyNumberFormat="1" applyFont="1" applyBorder="1"/>
    <xf numFmtId="167" fontId="11" fillId="0" borderId="49" xfId="0" applyNumberFormat="1" applyFont="1" applyBorder="1"/>
    <xf numFmtId="164" fontId="0" fillId="0" borderId="0" xfId="0" applyNumberFormat="1" applyAlignment="1" applyProtection="1">
      <alignment horizontal="left"/>
    </xf>
    <xf numFmtId="167" fontId="11" fillId="0" borderId="24" xfId="0" applyNumberFormat="1" applyFont="1" applyBorder="1"/>
    <xf numFmtId="0" fontId="15" fillId="0" borderId="0" xfId="0" applyFont="1" applyAlignment="1">
      <alignment horizontal="left"/>
    </xf>
    <xf numFmtId="167" fontId="30" fillId="0" borderId="60" xfId="0" applyNumberFormat="1" applyFont="1" applyFill="1" applyBorder="1" applyAlignment="1"/>
    <xf numFmtId="0" fontId="30" fillId="0" borderId="1" xfId="0" applyFont="1" applyFill="1" applyBorder="1" applyAlignment="1"/>
    <xf numFmtId="0" fontId="0" fillId="0" borderId="0" xfId="0" applyNumberFormat="1"/>
    <xf numFmtId="0" fontId="45" fillId="0" borderId="0" xfId="0" applyFont="1"/>
    <xf numFmtId="0" fontId="29" fillId="5" borderId="49" xfId="0" applyFont="1" applyFill="1" applyBorder="1" applyAlignment="1">
      <alignment horizontal="center"/>
    </xf>
    <xf numFmtId="0" fontId="30" fillId="0" borderId="1" xfId="0" quotePrefix="1" applyFont="1" applyFill="1" applyBorder="1" applyAlignment="1">
      <alignment horizontal="left"/>
    </xf>
    <xf numFmtId="166" fontId="30" fillId="0" borderId="90" xfId="0" applyNumberFormat="1" applyFont="1" applyFill="1" applyBorder="1" applyAlignment="1"/>
    <xf numFmtId="0" fontId="16" fillId="0" borderId="0" xfId="0" applyFont="1" applyFill="1"/>
    <xf numFmtId="166" fontId="5" fillId="0" borderId="0" xfId="0" applyNumberFormat="1" applyFont="1" applyAlignment="1">
      <alignment horizontal="centerContinuous"/>
    </xf>
    <xf numFmtId="0" fontId="30" fillId="0" borderId="61" xfId="0" applyFont="1" applyFill="1" applyBorder="1" applyAlignment="1"/>
    <xf numFmtId="179" fontId="16" fillId="2" borderId="91" xfId="0" applyNumberFormat="1" applyFont="1" applyFill="1" applyBorder="1" applyAlignment="1" applyProtection="1">
      <alignment horizontal="center"/>
    </xf>
    <xf numFmtId="1" fontId="47" fillId="8" borderId="92" xfId="0" applyNumberFormat="1" applyFont="1" applyFill="1" applyBorder="1" applyAlignment="1">
      <alignment horizontal="left"/>
    </xf>
    <xf numFmtId="0" fontId="48" fillId="0" borderId="0" xfId="0" applyFont="1" applyProtection="1">
      <protection locked="0"/>
    </xf>
    <xf numFmtId="0" fontId="47" fillId="0" borderId="0" xfId="0" applyFont="1" applyProtection="1">
      <protection locked="0"/>
    </xf>
    <xf numFmtId="164" fontId="16" fillId="2" borderId="91" xfId="0" applyNumberFormat="1" applyFont="1" applyFill="1" applyBorder="1" applyProtection="1"/>
    <xf numFmtId="164" fontId="16" fillId="2" borderId="93" xfId="0" applyNumberFormat="1" applyFont="1" applyFill="1" applyBorder="1" applyProtection="1"/>
    <xf numFmtId="166" fontId="16" fillId="2" borderId="94" xfId="0" applyNumberFormat="1" applyFont="1" applyFill="1" applyBorder="1" applyProtection="1"/>
    <xf numFmtId="166" fontId="16" fillId="2" borderId="95" xfId="0" applyNumberFormat="1" applyFont="1" applyFill="1" applyBorder="1" applyProtection="1"/>
    <xf numFmtId="166" fontId="16" fillId="2" borderId="75" xfId="0" applyNumberFormat="1" applyFont="1" applyFill="1" applyBorder="1" applyProtection="1"/>
    <xf numFmtId="166" fontId="16" fillId="2" borderId="96" xfId="0" applyNumberFormat="1" applyFont="1" applyFill="1" applyBorder="1" applyProtection="1"/>
    <xf numFmtId="166" fontId="16" fillId="2" borderId="97" xfId="0" applyNumberFormat="1" applyFont="1" applyFill="1" applyBorder="1" applyProtection="1"/>
    <xf numFmtId="0" fontId="16" fillId="2" borderId="0" xfId="0" applyFont="1" applyFill="1" applyBorder="1" applyProtection="1"/>
    <xf numFmtId="166" fontId="16" fillId="2" borderId="0" xfId="0" applyNumberFormat="1" applyFont="1" applyFill="1" applyBorder="1" applyProtection="1"/>
    <xf numFmtId="166" fontId="16" fillId="2" borderId="14" xfId="0" applyNumberFormat="1" applyFont="1" applyFill="1" applyBorder="1" applyProtection="1"/>
    <xf numFmtId="0" fontId="16" fillId="2" borderId="98" xfId="0" applyFont="1" applyFill="1" applyBorder="1" applyProtection="1"/>
    <xf numFmtId="166" fontId="16" fillId="2" borderId="98" xfId="0" applyNumberFormat="1" applyFont="1" applyFill="1" applyBorder="1" applyProtection="1"/>
    <xf numFmtId="166" fontId="16" fillId="2" borderId="99" xfId="0" applyNumberFormat="1" applyFont="1" applyFill="1" applyBorder="1" applyProtection="1"/>
    <xf numFmtId="2" fontId="16" fillId="2" borderId="75" xfId="0" applyNumberFormat="1" applyFont="1" applyFill="1" applyBorder="1" applyProtection="1"/>
    <xf numFmtId="2" fontId="16" fillId="2" borderId="97" xfId="0" applyNumberFormat="1" applyFont="1" applyFill="1" applyBorder="1" applyProtection="1"/>
    <xf numFmtId="0" fontId="1" fillId="0" borderId="0" xfId="0" applyFont="1" applyAlignment="1" applyProtection="1">
      <alignment horizontal="left"/>
      <protection locked="0"/>
    </xf>
    <xf numFmtId="0" fontId="47" fillId="0" borderId="0" xfId="0" applyFont="1" applyAlignment="1" applyProtection="1">
      <alignment horizontal="left"/>
      <protection locked="0"/>
    </xf>
    <xf numFmtId="0" fontId="37" fillId="0" borderId="67" xfId="0" applyFont="1" applyFill="1" applyBorder="1" applyAlignment="1">
      <alignment horizontal="centerContinuous"/>
    </xf>
    <xf numFmtId="167" fontId="7" fillId="0" borderId="6" xfId="0" applyNumberFormat="1" applyFont="1" applyBorder="1"/>
    <xf numFmtId="0" fontId="29" fillId="6" borderId="67" xfId="0" applyFont="1" applyFill="1" applyBorder="1" applyAlignment="1">
      <alignment horizontal="right"/>
    </xf>
    <xf numFmtId="0" fontId="6" fillId="5" borderId="67" xfId="0" applyFont="1" applyFill="1" applyBorder="1"/>
    <xf numFmtId="0" fontId="31" fillId="6" borderId="67" xfId="0" applyFont="1" applyFill="1" applyBorder="1" applyAlignment="1">
      <alignment horizontal="left"/>
    </xf>
    <xf numFmtId="0" fontId="29" fillId="5" borderId="49" xfId="0" applyFont="1" applyFill="1" applyBorder="1" applyAlignment="1">
      <alignment horizontal="left"/>
    </xf>
    <xf numFmtId="0" fontId="29" fillId="0" borderId="100" xfId="0" applyFont="1" applyFill="1" applyBorder="1" applyAlignment="1">
      <alignment horizontal="left"/>
    </xf>
    <xf numFmtId="0" fontId="0" fillId="0" borderId="0" xfId="0" applyFill="1"/>
    <xf numFmtId="0" fontId="32" fillId="0" borderId="12" xfId="0" applyFont="1" applyFill="1" applyBorder="1"/>
    <xf numFmtId="0" fontId="32" fillId="9" borderId="83" xfId="0" applyFont="1" applyFill="1" applyBorder="1"/>
    <xf numFmtId="0" fontId="30" fillId="0" borderId="11" xfId="0" applyFont="1" applyFill="1" applyBorder="1" applyAlignment="1">
      <alignment horizontal="left"/>
    </xf>
    <xf numFmtId="0" fontId="30" fillId="0" borderId="13" xfId="0" quotePrefix="1" applyFont="1" applyFill="1" applyBorder="1" applyAlignment="1"/>
    <xf numFmtId="166" fontId="30" fillId="0" borderId="0" xfId="0" applyNumberFormat="1" applyFont="1" applyFill="1" applyBorder="1" applyAlignment="1" applyProtection="1"/>
    <xf numFmtId="0" fontId="29" fillId="5" borderId="101" xfId="0" quotePrefix="1" applyFont="1" applyFill="1" applyBorder="1" applyAlignment="1">
      <alignment horizontal="left"/>
    </xf>
    <xf numFmtId="0" fontId="29" fillId="5" borderId="30" xfId="0" applyFont="1" applyFill="1" applyBorder="1" applyAlignment="1">
      <alignment horizontal="center"/>
    </xf>
    <xf numFmtId="0" fontId="29" fillId="5" borderId="30" xfId="0" quotePrefix="1" applyFont="1" applyFill="1" applyBorder="1" applyAlignment="1">
      <alignment horizontal="left"/>
    </xf>
    <xf numFmtId="0" fontId="29" fillId="5" borderId="85" xfId="0" quotePrefix="1" applyFont="1" applyFill="1" applyBorder="1" applyAlignment="1">
      <alignment horizontal="left"/>
    </xf>
    <xf numFmtId="171" fontId="30" fillId="0" borderId="5" xfId="0" applyNumberFormat="1" applyFont="1" applyFill="1" applyBorder="1" applyAlignment="1"/>
    <xf numFmtId="166" fontId="30" fillId="0" borderId="102" xfId="0" applyNumberFormat="1" applyFont="1" applyFill="1" applyBorder="1" applyAlignment="1" applyProtection="1"/>
    <xf numFmtId="0" fontId="30" fillId="0" borderId="74" xfId="0" applyFont="1" applyFill="1" applyBorder="1" applyAlignment="1"/>
    <xf numFmtId="0" fontId="30" fillId="0" borderId="102" xfId="0" applyFont="1" applyFill="1" applyBorder="1" applyAlignment="1"/>
    <xf numFmtId="0" fontId="29" fillId="5" borderId="101" xfId="0" applyFont="1" applyFill="1" applyBorder="1" applyAlignment="1">
      <alignment horizontal="center"/>
    </xf>
    <xf numFmtId="166" fontId="30" fillId="5" borderId="103" xfId="0" applyNumberFormat="1" applyFont="1" applyFill="1" applyBorder="1" applyAlignment="1"/>
    <xf numFmtId="166" fontId="30" fillId="5" borderId="104" xfId="0" applyNumberFormat="1" applyFont="1" applyFill="1" applyBorder="1" applyAlignment="1"/>
    <xf numFmtId="0" fontId="30" fillId="5" borderId="30" xfId="0" applyFont="1" applyFill="1" applyBorder="1" applyAlignment="1"/>
    <xf numFmtId="0" fontId="30" fillId="5" borderId="104" xfId="0" applyFont="1" applyFill="1" applyBorder="1" applyAlignment="1"/>
    <xf numFmtId="0" fontId="30" fillId="5" borderId="105" xfId="0" applyFont="1" applyFill="1" applyBorder="1" applyAlignment="1"/>
    <xf numFmtId="0" fontId="30" fillId="5" borderId="85" xfId="0" applyFont="1" applyFill="1" applyBorder="1" applyAlignment="1"/>
    <xf numFmtId="166" fontId="30" fillId="0" borderId="30" xfId="0" applyNumberFormat="1" applyFont="1" applyFill="1" applyBorder="1" applyAlignment="1"/>
    <xf numFmtId="0" fontId="30" fillId="0" borderId="59" xfId="0" applyFont="1" applyFill="1" applyBorder="1" applyAlignment="1">
      <alignment horizontal="left"/>
    </xf>
    <xf numFmtId="0" fontId="29" fillId="0" borderId="64" xfId="0" applyFont="1" applyFill="1" applyBorder="1" applyAlignment="1">
      <alignment horizontal="center"/>
    </xf>
    <xf numFmtId="167" fontId="30" fillId="0" borderId="2" xfId="0" applyNumberFormat="1" applyFont="1" applyFill="1" applyBorder="1" applyAlignment="1"/>
    <xf numFmtId="167" fontId="30" fillId="0" borderId="52" xfId="0" applyNumberFormat="1" applyFont="1" applyFill="1" applyBorder="1" applyAlignment="1"/>
    <xf numFmtId="0" fontId="29" fillId="6" borderId="67" xfId="0" applyFont="1" applyFill="1" applyBorder="1" applyAlignment="1">
      <alignment horizontal="center"/>
    </xf>
    <xf numFmtId="0" fontId="38" fillId="6" borderId="67" xfId="0" applyFont="1" applyFill="1" applyBorder="1" applyAlignment="1">
      <alignment horizontal="center"/>
    </xf>
    <xf numFmtId="0" fontId="29" fillId="0" borderId="101" xfId="0" quotePrefix="1" applyFont="1" applyBorder="1" applyAlignment="1">
      <alignment horizontal="left"/>
    </xf>
    <xf numFmtId="167" fontId="30" fillId="2" borderId="30" xfId="0" applyNumberFormat="1" applyFont="1" applyFill="1" applyBorder="1" applyProtection="1"/>
    <xf numFmtId="0" fontId="32" fillId="0" borderId="103" xfId="0" applyFont="1" applyBorder="1"/>
    <xf numFmtId="0" fontId="32" fillId="0" borderId="56" xfId="0" applyFont="1" applyBorder="1"/>
    <xf numFmtId="167" fontId="30" fillId="2" borderId="57" xfId="0" applyNumberFormat="1" applyFont="1" applyFill="1" applyBorder="1" applyProtection="1"/>
    <xf numFmtId="0" fontId="32" fillId="0" borderId="57" xfId="0" applyFont="1" applyBorder="1"/>
    <xf numFmtId="0" fontId="32" fillId="0" borderId="106" xfId="0" applyFont="1" applyBorder="1"/>
    <xf numFmtId="0" fontId="32" fillId="0" borderId="13" xfId="0" applyFont="1" applyBorder="1"/>
    <xf numFmtId="172" fontId="30" fillId="0" borderId="3" xfId="0" applyNumberFormat="1" applyFont="1" applyBorder="1"/>
    <xf numFmtId="167" fontId="34" fillId="0" borderId="73" xfId="0" applyNumberFormat="1" applyFont="1" applyBorder="1"/>
    <xf numFmtId="0" fontId="29" fillId="6" borderId="66" xfId="0" applyFont="1" applyFill="1" applyBorder="1" applyAlignment="1">
      <alignment horizontal="centerContinuous"/>
    </xf>
    <xf numFmtId="0" fontId="32" fillId="6" borderId="1" xfId="0" applyFont="1" applyFill="1" applyBorder="1" applyAlignment="1">
      <alignment horizontal="centerContinuous"/>
    </xf>
    <xf numFmtId="0" fontId="32" fillId="6" borderId="80" xfId="0" applyFont="1" applyFill="1" applyBorder="1" applyAlignment="1">
      <alignment horizontal="centerContinuous"/>
    </xf>
    <xf numFmtId="0" fontId="32" fillId="0" borderId="104" xfId="0" applyFont="1" applyBorder="1"/>
    <xf numFmtId="0" fontId="32" fillId="0" borderId="107" xfId="0" applyFont="1" applyBorder="1"/>
    <xf numFmtId="167" fontId="29" fillId="0" borderId="55" xfId="0" applyNumberFormat="1" applyFont="1" applyBorder="1"/>
    <xf numFmtId="0" fontId="32" fillId="0" borderId="55" xfId="0" applyFont="1" applyBorder="1"/>
    <xf numFmtId="0" fontId="32" fillId="0" borderId="108" xfId="0" applyFont="1" applyBorder="1"/>
    <xf numFmtId="0" fontId="32" fillId="0" borderId="109" xfId="0" applyFont="1" applyBorder="1"/>
    <xf numFmtId="0" fontId="30" fillId="0" borderId="51" xfId="0" applyFont="1" applyBorder="1"/>
    <xf numFmtId="0" fontId="30" fillId="0" borderId="18" xfId="0" applyFont="1" applyBorder="1"/>
    <xf numFmtId="0" fontId="30" fillId="0" borderId="62" xfId="0" applyFont="1" applyBorder="1"/>
    <xf numFmtId="0" fontId="30" fillId="0" borderId="60" xfId="0" applyFont="1" applyBorder="1"/>
    <xf numFmtId="0" fontId="32" fillId="0" borderId="47" xfId="0" applyFont="1" applyBorder="1"/>
    <xf numFmtId="0" fontId="30" fillId="0" borderId="110" xfId="0" applyFont="1" applyBorder="1" applyAlignment="1">
      <alignment horizontal="left"/>
    </xf>
    <xf numFmtId="0" fontId="32" fillId="0" borderId="28" xfId="0" applyFont="1" applyBorder="1"/>
    <xf numFmtId="0" fontId="32" fillId="0" borderId="5" xfId="0" applyFont="1" applyBorder="1"/>
    <xf numFmtId="0" fontId="32" fillId="0" borderId="40" xfId="0" applyFont="1" applyBorder="1"/>
    <xf numFmtId="0" fontId="30" fillId="0" borderId="40" xfId="0" applyFont="1" applyBorder="1" applyAlignment="1">
      <alignment horizontal="left"/>
    </xf>
    <xf numFmtId="0" fontId="30" fillId="0" borderId="16" xfId="0" applyFont="1" applyBorder="1"/>
    <xf numFmtId="0" fontId="38" fillId="0" borderId="5" xfId="0" applyFont="1" applyBorder="1"/>
    <xf numFmtId="0" fontId="32" fillId="0" borderId="60" xfId="0" applyFont="1" applyBorder="1"/>
    <xf numFmtId="0" fontId="30" fillId="0" borderId="111" xfId="0" applyFont="1" applyBorder="1"/>
    <xf numFmtId="0" fontId="11" fillId="0" borderId="31" xfId="0" applyFont="1" applyBorder="1"/>
    <xf numFmtId="0" fontId="6" fillId="0" borderId="30" xfId="0" applyFont="1" applyBorder="1"/>
    <xf numFmtId="0" fontId="6" fillId="0" borderId="29" xfId="0" applyFont="1" applyBorder="1"/>
    <xf numFmtId="0" fontId="32" fillId="0" borderId="112" xfId="0" applyFont="1" applyBorder="1"/>
    <xf numFmtId="0" fontId="37" fillId="6" borderId="66" xfId="0" applyFont="1" applyFill="1" applyBorder="1" applyAlignment="1">
      <alignment horizontal="left"/>
    </xf>
    <xf numFmtId="0" fontId="31" fillId="6" borderId="1" xfId="0" applyFont="1" applyFill="1" applyBorder="1" applyAlignment="1">
      <alignment horizontal="centerContinuous"/>
    </xf>
    <xf numFmtId="0" fontId="38" fillId="6" borderId="1" xfId="0" applyFont="1" applyFill="1" applyBorder="1" applyAlignment="1">
      <alignment horizontal="center"/>
    </xf>
    <xf numFmtId="0" fontId="37" fillId="6" borderId="1" xfId="0" applyFont="1" applyFill="1" applyBorder="1" applyAlignment="1">
      <alignment horizontal="centerContinuous"/>
    </xf>
    <xf numFmtId="0" fontId="29" fillId="0" borderId="101" xfId="0" applyFont="1" applyBorder="1" applyAlignment="1">
      <alignment horizontal="left"/>
    </xf>
    <xf numFmtId="0" fontId="29" fillId="6" borderId="1" xfId="0" applyFont="1" applyFill="1" applyBorder="1" applyAlignment="1">
      <alignment horizontal="centerContinuous"/>
    </xf>
    <xf numFmtId="167" fontId="29" fillId="0" borderId="103" xfId="0" applyNumberFormat="1" applyFont="1" applyBorder="1"/>
    <xf numFmtId="167" fontId="30" fillId="0" borderId="104" xfId="0" applyNumberFormat="1" applyFont="1" applyBorder="1"/>
    <xf numFmtId="167" fontId="30" fillId="0" borderId="57" xfId="0" applyNumberFormat="1" applyFont="1" applyBorder="1"/>
    <xf numFmtId="0" fontId="30" fillId="0" borderId="113" xfId="0" applyFont="1" applyBorder="1"/>
    <xf numFmtId="0" fontId="30" fillId="0" borderId="90" xfId="0" applyFont="1" applyBorder="1"/>
    <xf numFmtId="172" fontId="30" fillId="0" borderId="103" xfId="0" applyNumberFormat="1" applyFont="1" applyBorder="1"/>
    <xf numFmtId="167" fontId="30" fillId="0" borderId="85" xfId="0" applyNumberFormat="1" applyFont="1" applyBorder="1"/>
    <xf numFmtId="0" fontId="30" fillId="0" borderId="59" xfId="0" applyFont="1" applyBorder="1"/>
    <xf numFmtId="167" fontId="30" fillId="2" borderId="2" xfId="0" applyNumberFormat="1" applyFont="1" applyFill="1" applyBorder="1"/>
    <xf numFmtId="167" fontId="30" fillId="0" borderId="43" xfId="0" applyNumberFormat="1" applyFont="1" applyBorder="1"/>
    <xf numFmtId="167" fontId="30" fillId="2" borderId="0" xfId="0" applyNumberFormat="1" applyFont="1" applyFill="1" applyBorder="1"/>
    <xf numFmtId="167" fontId="30" fillId="0" borderId="13" xfId="0" applyNumberFormat="1" applyFont="1" applyBorder="1"/>
    <xf numFmtId="0" fontId="30" fillId="0" borderId="5" xfId="0" applyFont="1" applyBorder="1"/>
    <xf numFmtId="0" fontId="30" fillId="0" borderId="57" xfId="0" applyFont="1" applyBorder="1"/>
    <xf numFmtId="0" fontId="30" fillId="0" borderId="110" xfId="0" applyFont="1" applyBorder="1"/>
    <xf numFmtId="0" fontId="30" fillId="0" borderId="28" xfId="0" applyFont="1" applyBorder="1"/>
    <xf numFmtId="167" fontId="29" fillId="0" borderId="43" xfId="0" applyNumberFormat="1" applyFont="1" applyBorder="1"/>
    <xf numFmtId="0" fontId="30" fillId="0" borderId="66" xfId="0" applyFont="1" applyBorder="1"/>
    <xf numFmtId="0" fontId="30" fillId="0" borderId="102" xfId="0" applyFont="1" applyBorder="1"/>
    <xf numFmtId="0" fontId="30" fillId="0" borderId="68" xfId="0" applyFont="1" applyBorder="1"/>
    <xf numFmtId="0" fontId="30" fillId="0" borderId="100" xfId="0" applyFont="1" applyBorder="1" applyAlignment="1">
      <alignment horizontal="left"/>
    </xf>
    <xf numFmtId="0" fontId="29" fillId="0" borderId="90" xfId="0" quotePrefix="1" applyFont="1" applyBorder="1" applyAlignment="1">
      <alignment horizontal="left"/>
    </xf>
    <xf numFmtId="0" fontId="32" fillId="0" borderId="85" xfId="0" applyFont="1" applyBorder="1"/>
    <xf numFmtId="0" fontId="32" fillId="0" borderId="102" xfId="0" applyFont="1" applyBorder="1"/>
    <xf numFmtId="0" fontId="32" fillId="0" borderId="68" xfId="0" applyFont="1" applyBorder="1"/>
    <xf numFmtId="0" fontId="30" fillId="0" borderId="43" xfId="0" applyFont="1" applyBorder="1" applyAlignment="1">
      <alignment horizontal="left"/>
    </xf>
    <xf numFmtId="0" fontId="29" fillId="0" borderId="114" xfId="0" applyFont="1" applyFill="1" applyBorder="1" applyAlignment="1">
      <alignment horizontal="left"/>
    </xf>
    <xf numFmtId="0" fontId="30" fillId="0" borderId="115" xfId="0" applyFont="1" applyFill="1" applyBorder="1" applyAlignment="1"/>
    <xf numFmtId="0" fontId="29" fillId="0" borderId="116" xfId="0" applyFont="1" applyFill="1" applyBorder="1" applyAlignment="1"/>
    <xf numFmtId="179" fontId="16" fillId="2" borderId="117" xfId="0" applyNumberFormat="1" applyFont="1" applyFill="1" applyBorder="1" applyAlignment="1" applyProtection="1">
      <alignment horizontal="center"/>
    </xf>
    <xf numFmtId="164" fontId="29" fillId="0" borderId="116" xfId="0" applyNumberFormat="1" applyFont="1" applyFill="1" applyBorder="1" applyAlignment="1"/>
    <xf numFmtId="0" fontId="30" fillId="0" borderId="116" xfId="0" applyFont="1" applyFill="1" applyBorder="1" applyAlignment="1"/>
    <xf numFmtId="0" fontId="30" fillId="0" borderId="118" xfId="0" applyFont="1" applyFill="1" applyBorder="1" applyAlignment="1"/>
    <xf numFmtId="0" fontId="30" fillId="0" borderId="0" xfId="0" applyFont="1" applyBorder="1"/>
    <xf numFmtId="0" fontId="29" fillId="0" borderId="110" xfId="0" applyFont="1" applyBorder="1"/>
    <xf numFmtId="0" fontId="6" fillId="0" borderId="119" xfId="0" applyFont="1" applyBorder="1"/>
    <xf numFmtId="0" fontId="6" fillId="0" borderId="14" xfId="0" applyFont="1" applyBorder="1"/>
    <xf numFmtId="0" fontId="6" fillId="0" borderId="14" xfId="0" applyFont="1" applyBorder="1" applyAlignment="1">
      <alignment horizontal="center"/>
    </xf>
    <xf numFmtId="0" fontId="6" fillId="0" borderId="22" xfId="0" applyFont="1" applyBorder="1"/>
    <xf numFmtId="0" fontId="30" fillId="0" borderId="3" xfId="0" quotePrefix="1" applyFont="1" applyFill="1" applyBorder="1" applyAlignment="1"/>
    <xf numFmtId="0" fontId="30" fillId="0" borderId="3" xfId="0" applyFont="1" applyFill="1" applyBorder="1" applyAlignment="1"/>
    <xf numFmtId="0" fontId="30" fillId="0" borderId="4" xfId="0" applyFont="1" applyFill="1" applyBorder="1" applyAlignment="1"/>
    <xf numFmtId="0" fontId="30" fillId="0" borderId="120" xfId="0" quotePrefix="1" applyFont="1" applyFill="1" applyBorder="1" applyAlignment="1"/>
    <xf numFmtId="0" fontId="30" fillId="0" borderId="121" xfId="0" applyFont="1" applyFill="1" applyBorder="1" applyAlignment="1"/>
    <xf numFmtId="0" fontId="30" fillId="0" borderId="111" xfId="0" quotePrefix="1" applyFont="1" applyFill="1" applyBorder="1" applyAlignment="1"/>
    <xf numFmtId="0" fontId="30" fillId="0" borderId="122" xfId="0" applyFont="1" applyFill="1" applyBorder="1" applyAlignment="1"/>
    <xf numFmtId="0" fontId="30" fillId="0" borderId="63" xfId="0" applyFont="1" applyFill="1" applyBorder="1" applyAlignment="1"/>
    <xf numFmtId="0" fontId="30" fillId="0" borderId="123" xfId="0" applyFont="1" applyFill="1" applyBorder="1" applyAlignment="1"/>
    <xf numFmtId="0" fontId="30" fillId="0" borderId="3" xfId="0" quotePrefix="1" applyFont="1" applyFill="1" applyBorder="1" applyAlignment="1">
      <alignment horizontal="left"/>
    </xf>
    <xf numFmtId="0" fontId="32" fillId="0" borderId="54" xfId="0" applyFont="1" applyBorder="1"/>
    <xf numFmtId="167" fontId="30" fillId="0" borderId="73" xfId="0" applyNumberFormat="1" applyFont="1" applyBorder="1"/>
    <xf numFmtId="167" fontId="29" fillId="0" borderId="40" xfId="0" applyNumberFormat="1" applyFont="1" applyBorder="1"/>
    <xf numFmtId="0" fontId="6" fillId="0" borderId="46" xfId="0" applyFont="1" applyBorder="1"/>
    <xf numFmtId="166" fontId="30" fillId="0" borderId="6" xfId="0" applyNumberFormat="1" applyFont="1" applyFill="1" applyBorder="1" applyAlignment="1"/>
    <xf numFmtId="166" fontId="30" fillId="0" borderId="36" xfId="0" applyNumberFormat="1" applyFont="1" applyFill="1" applyBorder="1" applyAlignment="1"/>
    <xf numFmtId="0" fontId="29" fillId="0" borderId="101" xfId="0" applyFont="1" applyFill="1" applyBorder="1" applyAlignment="1">
      <alignment horizontal="left"/>
    </xf>
    <xf numFmtId="166" fontId="30" fillId="0" borderId="31" xfId="0" applyNumberFormat="1" applyFont="1" applyFill="1" applyBorder="1" applyAlignment="1"/>
    <xf numFmtId="166" fontId="30" fillId="0" borderId="105" xfId="0" applyNumberFormat="1" applyFont="1" applyFill="1" applyBorder="1" applyAlignment="1"/>
    <xf numFmtId="0" fontId="30" fillId="0" borderId="57" xfId="0" applyFont="1" applyFill="1" applyBorder="1" applyAlignment="1"/>
    <xf numFmtId="0" fontId="30" fillId="0" borderId="60" xfId="0" applyFont="1" applyFill="1" applyBorder="1" applyAlignment="1"/>
    <xf numFmtId="166" fontId="30" fillId="0" borderId="103" xfId="0" applyNumberFormat="1" applyFont="1" applyFill="1" applyBorder="1" applyAlignment="1"/>
    <xf numFmtId="0" fontId="30" fillId="0" borderId="85" xfId="0" applyFont="1" applyFill="1" applyBorder="1" applyAlignment="1"/>
    <xf numFmtId="167" fontId="30" fillId="0" borderId="6" xfId="0" applyNumberFormat="1" applyFont="1" applyFill="1" applyBorder="1" applyAlignment="1"/>
    <xf numFmtId="0" fontId="7" fillId="0" borderId="0" xfId="0" applyFont="1" applyFill="1"/>
    <xf numFmtId="0" fontId="7" fillId="0" borderId="0" xfId="0" applyFont="1" applyFill="1" applyProtection="1">
      <protection locked="0"/>
    </xf>
    <xf numFmtId="0" fontId="7" fillId="0" borderId="0" xfId="0" applyFont="1" applyFill="1" applyBorder="1" applyProtection="1">
      <protection locked="0"/>
    </xf>
    <xf numFmtId="1" fontId="7" fillId="0" borderId="0" xfId="0" applyNumberFormat="1" applyFont="1" applyFill="1" applyProtection="1">
      <protection locked="0"/>
    </xf>
    <xf numFmtId="1" fontId="7" fillId="0" borderId="3" xfId="0" applyNumberFormat="1" applyFont="1" applyFill="1" applyBorder="1" applyProtection="1">
      <protection locked="0"/>
    </xf>
    <xf numFmtId="0" fontId="7" fillId="0" borderId="0" xfId="0" applyFont="1" applyFill="1" applyBorder="1"/>
    <xf numFmtId="0" fontId="11" fillId="0" borderId="1" xfId="0" quotePrefix="1" applyFont="1" applyBorder="1" applyAlignment="1">
      <alignment horizontal="center"/>
    </xf>
    <xf numFmtId="0" fontId="7" fillId="0" borderId="28" xfId="0" applyFont="1" applyBorder="1"/>
    <xf numFmtId="167" fontId="0" fillId="0" borderId="54" xfId="0" applyNumberFormat="1" applyBorder="1"/>
    <xf numFmtId="0" fontId="2" fillId="0" borderId="0" xfId="0" applyFont="1" applyBorder="1"/>
    <xf numFmtId="0" fontId="7" fillId="0" borderId="0" xfId="0" applyFont="1" applyBorder="1" applyAlignment="1">
      <alignment horizontal="left"/>
    </xf>
    <xf numFmtId="167" fontId="1" fillId="0" borderId="0" xfId="0" applyNumberFormat="1" applyFont="1" applyBorder="1"/>
    <xf numFmtId="0" fontId="30" fillId="0" borderId="16" xfId="0" applyFont="1" applyFill="1" applyBorder="1" applyAlignment="1">
      <alignment horizontal="left"/>
    </xf>
    <xf numFmtId="0" fontId="29" fillId="0" borderId="48" xfId="0" applyFont="1" applyFill="1" applyBorder="1" applyAlignment="1">
      <alignment horizontal="center"/>
    </xf>
    <xf numFmtId="0" fontId="16" fillId="0" borderId="11" xfId="0" applyFont="1" applyBorder="1"/>
    <xf numFmtId="0" fontId="37" fillId="6" borderId="101" xfId="0" applyFont="1" applyFill="1" applyBorder="1" applyAlignment="1">
      <alignment horizontal="left"/>
    </xf>
    <xf numFmtId="0" fontId="50" fillId="0" borderId="115" xfId="0" applyFont="1" applyBorder="1"/>
    <xf numFmtId="0" fontId="50" fillId="0" borderId="116" xfId="0" applyFont="1" applyBorder="1"/>
    <xf numFmtId="0" fontId="50" fillId="0" borderId="11" xfId="0" applyFont="1" applyBorder="1"/>
    <xf numFmtId="0" fontId="51" fillId="0" borderId="0" xfId="0" applyFont="1" applyBorder="1"/>
    <xf numFmtId="0" fontId="51" fillId="0" borderId="87" xfId="0" applyFont="1" applyBorder="1"/>
    <xf numFmtId="0" fontId="51" fillId="0" borderId="13" xfId="0" applyFont="1" applyBorder="1"/>
    <xf numFmtId="0" fontId="50" fillId="0" borderId="8" xfId="0" applyFont="1" applyBorder="1" applyAlignment="1">
      <alignment horizontal="center"/>
    </xf>
    <xf numFmtId="0" fontId="50" fillId="0" borderId="24" xfId="0" applyFont="1" applyBorder="1" applyAlignment="1">
      <alignment horizontal="center"/>
    </xf>
    <xf numFmtId="0" fontId="50" fillId="0" borderId="0" xfId="0" applyFont="1" applyBorder="1" applyAlignment="1">
      <alignment horizontal="center"/>
    </xf>
    <xf numFmtId="0" fontId="50" fillId="0" borderId="13" xfId="0" applyFont="1" applyBorder="1" applyAlignment="1">
      <alignment horizontal="center"/>
    </xf>
    <xf numFmtId="0" fontId="51" fillId="0" borderId="124" xfId="0" applyFont="1" applyBorder="1" applyAlignment="1">
      <alignment horizontal="center"/>
    </xf>
    <xf numFmtId="1" fontId="50" fillId="0" borderId="9" xfId="0" applyNumberFormat="1" applyFont="1" applyBorder="1" applyAlignment="1">
      <alignment horizontal="center"/>
    </xf>
    <xf numFmtId="0" fontId="50" fillId="0" borderId="1" xfId="0" applyFont="1" applyBorder="1" applyAlignment="1">
      <alignment horizontal="center"/>
    </xf>
    <xf numFmtId="0" fontId="50" fillId="0" borderId="125" xfId="0" applyFont="1" applyBorder="1" applyAlignment="1">
      <alignment horizontal="center"/>
    </xf>
    <xf numFmtId="0" fontId="50" fillId="0" borderId="9" xfId="0" applyFont="1" applyBorder="1" applyAlignment="1">
      <alignment horizontal="center"/>
    </xf>
    <xf numFmtId="0" fontId="50" fillId="0" borderId="126" xfId="0" applyFont="1" applyBorder="1" applyAlignment="1">
      <alignment horizontal="center"/>
    </xf>
    <xf numFmtId="0" fontId="52" fillId="0" borderId="127" xfId="0" applyFont="1" applyBorder="1"/>
    <xf numFmtId="0" fontId="53" fillId="0" borderId="9" xfId="0" applyFont="1" applyBorder="1"/>
    <xf numFmtId="171" fontId="53" fillId="0" borderId="26" xfId="0" applyNumberFormat="1" applyFont="1" applyBorder="1"/>
    <xf numFmtId="0" fontId="53" fillId="0" borderId="26" xfId="0" applyFont="1" applyBorder="1"/>
    <xf numFmtId="0" fontId="53" fillId="0" borderId="80" xfId="0" applyFont="1" applyBorder="1"/>
    <xf numFmtId="0" fontId="50" fillId="5" borderId="101" xfId="0" applyFont="1" applyFill="1" applyBorder="1"/>
    <xf numFmtId="0" fontId="50" fillId="5" borderId="31" xfId="0" applyFont="1" applyFill="1" applyBorder="1"/>
    <xf numFmtId="0" fontId="50" fillId="5" borderId="29" xfId="0" applyFont="1" applyFill="1" applyBorder="1"/>
    <xf numFmtId="0" fontId="50" fillId="5" borderId="30" xfId="0" applyFont="1" applyFill="1" applyBorder="1"/>
    <xf numFmtId="0" fontId="50" fillId="5" borderId="85" xfId="0" applyFont="1" applyFill="1" applyBorder="1"/>
    <xf numFmtId="0" fontId="52" fillId="0" borderId="11" xfId="0" applyFont="1" applyBorder="1"/>
    <xf numFmtId="0" fontId="53" fillId="0" borderId="1" xfId="0" applyFont="1" applyBorder="1"/>
    <xf numFmtId="0" fontId="50" fillId="5" borderId="7" xfId="0" applyFont="1" applyFill="1" applyBorder="1"/>
    <xf numFmtId="0" fontId="50" fillId="5" borderId="27" xfId="0" applyFont="1" applyFill="1" applyBorder="1"/>
    <xf numFmtId="0" fontId="50" fillId="2" borderId="110" xfId="0" applyFont="1" applyFill="1" applyBorder="1"/>
    <xf numFmtId="0" fontId="50" fillId="2" borderId="128" xfId="0" applyFont="1" applyFill="1" applyBorder="1"/>
    <xf numFmtId="171" fontId="53" fillId="0" borderId="129" xfId="0" applyNumberFormat="1" applyFont="1" applyBorder="1"/>
    <xf numFmtId="0" fontId="50" fillId="2" borderId="54" xfId="0" applyFont="1" applyFill="1" applyBorder="1"/>
    <xf numFmtId="0" fontId="50" fillId="2" borderId="27" xfId="0" applyFont="1" applyFill="1" applyBorder="1"/>
    <xf numFmtId="0" fontId="50" fillId="2" borderId="7" xfId="0" applyFont="1" applyFill="1" applyBorder="1"/>
    <xf numFmtId="0" fontId="50" fillId="2" borderId="130" xfId="0" applyFont="1" applyFill="1" applyBorder="1"/>
    <xf numFmtId="0" fontId="50" fillId="2" borderId="131" xfId="0" applyFont="1" applyFill="1" applyBorder="1"/>
    <xf numFmtId="0" fontId="50" fillId="2" borderId="86" xfId="0" applyFont="1" applyFill="1" applyBorder="1"/>
    <xf numFmtId="171" fontId="53" fillId="0" borderId="87" xfId="0" applyNumberFormat="1" applyFont="1" applyBorder="1"/>
    <xf numFmtId="0" fontId="50" fillId="2" borderId="62" xfId="0" applyFont="1" applyFill="1" applyBorder="1"/>
    <xf numFmtId="0" fontId="50" fillId="2" borderId="87" xfId="0" applyFont="1" applyFill="1" applyBorder="1"/>
    <xf numFmtId="0" fontId="50" fillId="2" borderId="58" xfId="0" applyFont="1" applyFill="1" applyBorder="1"/>
    <xf numFmtId="0" fontId="50" fillId="2" borderId="10" xfId="0" applyFont="1" applyFill="1" applyBorder="1"/>
    <xf numFmtId="0" fontId="50" fillId="2" borderId="32" xfId="0" applyFont="1" applyFill="1" applyBorder="1"/>
    <xf numFmtId="0" fontId="50" fillId="2" borderId="124" xfId="0" applyFont="1" applyFill="1" applyBorder="1"/>
    <xf numFmtId="0" fontId="50" fillId="2" borderId="1" xfId="0" applyFont="1" applyFill="1" applyBorder="1"/>
    <xf numFmtId="0" fontId="50" fillId="2" borderId="26" xfId="0" applyFont="1" applyFill="1" applyBorder="1"/>
    <xf numFmtId="0" fontId="50" fillId="2" borderId="9" xfId="0" applyFont="1" applyFill="1" applyBorder="1"/>
    <xf numFmtId="0" fontId="50" fillId="2" borderId="80" xfId="0" applyFont="1" applyFill="1" applyBorder="1"/>
    <xf numFmtId="0" fontId="52" fillId="0" borderId="124" xfId="0" applyFont="1" applyBorder="1"/>
    <xf numFmtId="0" fontId="52" fillId="0" borderId="9" xfId="0" applyFont="1" applyBorder="1"/>
    <xf numFmtId="0" fontId="52" fillId="0" borderId="26" xfId="0" applyFont="1" applyBorder="1"/>
    <xf numFmtId="0" fontId="52" fillId="0" borderId="1" xfId="0" applyFont="1" applyBorder="1"/>
    <xf numFmtId="0" fontId="52" fillId="0" borderId="80" xfId="0" applyFont="1" applyBorder="1"/>
    <xf numFmtId="0" fontId="49" fillId="5" borderId="101" xfId="0" applyFont="1" applyFill="1" applyBorder="1" applyAlignment="1">
      <alignment horizontal="center"/>
    </xf>
    <xf numFmtId="0" fontId="53" fillId="0" borderId="11" xfId="0" applyFont="1" applyBorder="1"/>
    <xf numFmtId="0" fontId="53" fillId="0" borderId="8" xfId="0" applyFont="1" applyBorder="1"/>
    <xf numFmtId="1" fontId="53" fillId="0" borderId="24" xfId="0" applyNumberFormat="1" applyFont="1" applyBorder="1"/>
    <xf numFmtId="0" fontId="53" fillId="0" borderId="0" xfId="0" applyFont="1" applyBorder="1"/>
    <xf numFmtId="0" fontId="53" fillId="0" borderId="24" xfId="0" applyFont="1" applyBorder="1"/>
    <xf numFmtId="0" fontId="53" fillId="0" borderId="13" xfId="0" applyFont="1" applyBorder="1"/>
    <xf numFmtId="0" fontId="49" fillId="5" borderId="127" xfId="0" applyFont="1" applyFill="1" applyBorder="1" applyAlignment="1">
      <alignment horizontal="center"/>
    </xf>
    <xf numFmtId="0" fontId="52" fillId="0" borderId="101" xfId="0" applyFont="1" applyBorder="1"/>
    <xf numFmtId="0" fontId="53" fillId="0" borderId="31" xfId="0" applyFont="1" applyBorder="1"/>
    <xf numFmtId="171" fontId="53" fillId="0" borderId="29" xfId="0" applyNumberFormat="1" applyFont="1" applyBorder="1"/>
    <xf numFmtId="0" fontId="53" fillId="0" borderId="30" xfId="0" applyFont="1" applyBorder="1"/>
    <xf numFmtId="0" fontId="53" fillId="0" borderId="29" xfId="0" applyFont="1" applyBorder="1"/>
    <xf numFmtId="0" fontId="53" fillId="0" borderId="85" xfId="0" applyFont="1" applyBorder="1"/>
    <xf numFmtId="0" fontId="51" fillId="0" borderId="11" xfId="0" applyFont="1" applyBorder="1"/>
    <xf numFmtId="0" fontId="50" fillId="0" borderId="10" xfId="0" applyFont="1" applyBorder="1"/>
    <xf numFmtId="166" fontId="50" fillId="0" borderId="32" xfId="0" applyNumberFormat="1" applyFont="1" applyBorder="1"/>
    <xf numFmtId="0" fontId="50" fillId="0" borderId="2" xfId="0" applyFont="1" applyBorder="1"/>
    <xf numFmtId="0" fontId="51" fillId="0" borderId="131" xfId="0" applyFont="1" applyBorder="1"/>
    <xf numFmtId="0" fontId="50" fillId="0" borderId="8" xfId="0" applyFont="1" applyBorder="1"/>
    <xf numFmtId="0" fontId="50" fillId="0" borderId="0" xfId="0" applyFont="1" applyBorder="1"/>
    <xf numFmtId="0" fontId="50" fillId="0" borderId="24" xfId="0" applyFont="1" applyBorder="1"/>
    <xf numFmtId="0" fontId="50" fillId="0" borderId="86" xfId="0" applyFont="1" applyBorder="1"/>
    <xf numFmtId="0" fontId="50" fillId="0" borderId="62" xfId="0" applyFont="1" applyBorder="1"/>
    <xf numFmtId="0" fontId="50" fillId="0" borderId="87" xfId="0" applyFont="1" applyBorder="1"/>
    <xf numFmtId="0" fontId="50" fillId="0" borderId="9" xfId="0" applyFont="1" applyBorder="1"/>
    <xf numFmtId="0" fontId="50" fillId="0" borderId="26" xfId="0" applyFont="1" applyBorder="1"/>
    <xf numFmtId="0" fontId="53" fillId="5" borderId="101" xfId="0" applyFont="1" applyFill="1" applyBorder="1"/>
    <xf numFmtId="0" fontId="53" fillId="5" borderId="30" xfId="0" applyFont="1" applyFill="1" applyBorder="1"/>
    <xf numFmtId="0" fontId="52" fillId="5" borderId="30" xfId="0" applyFont="1" applyFill="1" applyBorder="1" applyAlignment="1">
      <alignment horizontal="center"/>
    </xf>
    <xf numFmtId="0" fontId="53" fillId="5" borderId="29" xfId="0" applyFont="1" applyFill="1" applyBorder="1"/>
    <xf numFmtId="0" fontId="52" fillId="5" borderId="30" xfId="0" applyFont="1" applyFill="1" applyBorder="1"/>
    <xf numFmtId="0" fontId="53" fillId="5" borderId="85" xfId="0" applyFont="1" applyFill="1" applyBorder="1"/>
    <xf numFmtId="167" fontId="50" fillId="0" borderId="46" xfId="0" applyNumberFormat="1" applyFont="1" applyBorder="1"/>
    <xf numFmtId="0" fontId="50" fillId="0" borderId="42" xfId="0" applyFont="1" applyBorder="1"/>
    <xf numFmtId="0" fontId="50" fillId="0" borderId="46" xfId="0" applyFont="1" applyBorder="1"/>
    <xf numFmtId="0" fontId="50" fillId="0" borderId="129" xfId="0" applyFont="1" applyBorder="1"/>
    <xf numFmtId="0" fontId="54" fillId="0" borderId="0" xfId="0" applyFont="1" applyBorder="1"/>
    <xf numFmtId="0" fontId="50" fillId="0" borderId="54" xfId="0" applyFont="1" applyBorder="1"/>
    <xf numFmtId="0" fontId="50" fillId="2" borderId="13" xfId="0" applyFont="1" applyFill="1" applyBorder="1"/>
    <xf numFmtId="167" fontId="50" fillId="0" borderId="39" xfId="0" applyNumberFormat="1" applyFont="1" applyBorder="1"/>
    <xf numFmtId="0" fontId="50" fillId="0" borderId="61" xfId="0" applyFont="1" applyBorder="1"/>
    <xf numFmtId="0" fontId="50" fillId="0" borderId="40" xfId="0" applyFont="1" applyBorder="1"/>
    <xf numFmtId="167" fontId="50" fillId="0" borderId="79" xfId="0" applyNumberFormat="1" applyFont="1" applyBorder="1"/>
    <xf numFmtId="0" fontId="50" fillId="0" borderId="1" xfId="0" applyFont="1" applyBorder="1"/>
    <xf numFmtId="0" fontId="50" fillId="0" borderId="79" xfId="0" applyFont="1" applyBorder="1"/>
    <xf numFmtId="0" fontId="49" fillId="0" borderId="101" xfId="0" applyFont="1" applyBorder="1"/>
    <xf numFmtId="0" fontId="51" fillId="0" borderId="104" xfId="0" applyFont="1" applyBorder="1"/>
    <xf numFmtId="0" fontId="51" fillId="0" borderId="107" xfId="0" applyFont="1" applyBorder="1"/>
    <xf numFmtId="0" fontId="51" fillId="0" borderId="55" xfId="0" applyFont="1" applyBorder="1"/>
    <xf numFmtId="0" fontId="51" fillId="0" borderId="27" xfId="0" applyFont="1" applyBorder="1"/>
    <xf numFmtId="0" fontId="51" fillId="0" borderId="40" xfId="0" applyFont="1" applyBorder="1"/>
    <xf numFmtId="0" fontId="51" fillId="0" borderId="24" xfId="0" applyFont="1" applyBorder="1"/>
    <xf numFmtId="0" fontId="50" fillId="0" borderId="104" xfId="0" applyFont="1" applyBorder="1"/>
    <xf numFmtId="0" fontId="50" fillId="0" borderId="30" xfId="0" applyFont="1" applyBorder="1"/>
    <xf numFmtId="0" fontId="50" fillId="0" borderId="29" xfId="0" applyFont="1" applyBorder="1"/>
    <xf numFmtId="0" fontId="50" fillId="0" borderId="63" xfId="0" applyFont="1" applyBorder="1"/>
    <xf numFmtId="0" fontId="51" fillId="0" borderId="5" xfId="0" applyFont="1" applyBorder="1"/>
    <xf numFmtId="0" fontId="55" fillId="0" borderId="132" xfId="0" applyFont="1" applyBorder="1"/>
    <xf numFmtId="0" fontId="51" fillId="0" borderId="133" xfId="0" applyFont="1" applyBorder="1"/>
    <xf numFmtId="0" fontId="51" fillId="0" borderId="61" xfId="0" applyFont="1" applyBorder="1"/>
    <xf numFmtId="0" fontId="51" fillId="0" borderId="134" xfId="0" applyFont="1" applyBorder="1"/>
    <xf numFmtId="0" fontId="51" fillId="0" borderId="14" xfId="0" applyFont="1" applyBorder="1"/>
    <xf numFmtId="1" fontId="50" fillId="0" borderId="125" xfId="0" applyNumberFormat="1" applyFont="1" applyBorder="1" applyAlignment="1">
      <alignment horizontal="center"/>
    </xf>
    <xf numFmtId="167" fontId="55" fillId="0" borderId="39" xfId="0" applyNumberFormat="1" applyFont="1" applyBorder="1"/>
    <xf numFmtId="167" fontId="55" fillId="0" borderId="46" xfId="0" applyNumberFormat="1" applyFont="1" applyBorder="1"/>
    <xf numFmtId="167" fontId="55" fillId="0" borderId="61" xfId="0" applyNumberFormat="1" applyFont="1" applyBorder="1"/>
    <xf numFmtId="167" fontId="55" fillId="0" borderId="104" xfId="0" applyNumberFormat="1" applyFont="1" applyBorder="1"/>
    <xf numFmtId="171" fontId="52" fillId="0" borderId="26" xfId="0" applyNumberFormat="1" applyFont="1" applyBorder="1"/>
    <xf numFmtId="0" fontId="51" fillId="0" borderId="11" xfId="0" quotePrefix="1" applyFont="1" applyBorder="1" applyAlignment="1">
      <alignment horizontal="left"/>
    </xf>
    <xf numFmtId="0" fontId="51" fillId="0" borderId="135" xfId="0" applyFont="1" applyBorder="1"/>
    <xf numFmtId="0" fontId="51" fillId="0" borderId="136" xfId="0" applyFont="1" applyBorder="1"/>
    <xf numFmtId="0" fontId="51" fillId="0" borderId="70" xfId="0" applyFont="1" applyBorder="1"/>
    <xf numFmtId="0" fontId="51" fillId="0" borderId="137" xfId="0" applyFont="1" applyBorder="1"/>
    <xf numFmtId="0" fontId="50" fillId="0" borderId="14" xfId="0" applyFont="1" applyBorder="1"/>
    <xf numFmtId="0" fontId="56" fillId="0" borderId="116" xfId="0" applyFont="1" applyFill="1" applyBorder="1" applyAlignment="1"/>
    <xf numFmtId="49" fontId="30" fillId="0" borderId="11" xfId="0" applyNumberFormat="1" applyFont="1" applyBorder="1" applyAlignment="1">
      <alignment horizontal="left" wrapText="1"/>
    </xf>
    <xf numFmtId="167" fontId="4" fillId="2" borderId="5" xfId="0" applyNumberFormat="1" applyFont="1" applyFill="1" applyBorder="1"/>
    <xf numFmtId="0" fontId="7" fillId="0" borderId="138" xfId="0" quotePrefix="1" applyFont="1" applyBorder="1" applyAlignment="1">
      <alignment horizontal="left"/>
    </xf>
    <xf numFmtId="167" fontId="50" fillId="0" borderId="43" xfId="0" applyNumberFormat="1" applyFont="1" applyBorder="1"/>
    <xf numFmtId="167" fontId="50" fillId="0" borderId="58" xfId="0" applyNumberFormat="1" applyFont="1" applyBorder="1"/>
    <xf numFmtId="167" fontId="50" fillId="0" borderId="12" xfId="0" applyNumberFormat="1" applyFont="1" applyBorder="1"/>
    <xf numFmtId="0" fontId="7" fillId="0" borderId="40" xfId="0" applyFont="1" applyBorder="1"/>
    <xf numFmtId="0" fontId="0" fillId="0" borderId="0" xfId="0" applyAlignment="1">
      <alignment horizontal="fill"/>
    </xf>
    <xf numFmtId="0" fontId="7" fillId="0" borderId="4" xfId="0" applyFont="1" applyBorder="1"/>
    <xf numFmtId="0" fontId="7" fillId="0" borderId="139" xfId="0" quotePrefix="1" applyFont="1" applyBorder="1" applyAlignment="1">
      <alignment horizontal="left"/>
    </xf>
    <xf numFmtId="0" fontId="13" fillId="2" borderId="0" xfId="0" applyFont="1" applyFill="1" applyBorder="1"/>
    <xf numFmtId="0" fontId="57" fillId="0" borderId="88" xfId="0" quotePrefix="1" applyFont="1" applyBorder="1" applyAlignment="1">
      <alignment horizontal="left"/>
    </xf>
    <xf numFmtId="0" fontId="55" fillId="0" borderId="11" xfId="0" applyFont="1" applyBorder="1"/>
    <xf numFmtId="0" fontId="55" fillId="0" borderId="11" xfId="0" quotePrefix="1" applyFont="1" applyBorder="1" applyAlignment="1">
      <alignment horizontal="left"/>
    </xf>
    <xf numFmtId="167" fontId="50" fillId="0" borderId="32" xfId="0" applyNumberFormat="1" applyFont="1" applyBorder="1"/>
    <xf numFmtId="0" fontId="8" fillId="0" borderId="3" xfId="0" applyFont="1" applyBorder="1" applyAlignment="1">
      <alignment horizontal="centerContinuous"/>
    </xf>
    <xf numFmtId="0" fontId="30" fillId="0" borderId="11" xfId="0" applyFont="1" applyFill="1" applyBorder="1" applyAlignment="1"/>
    <xf numFmtId="0" fontId="7" fillId="0" borderId="36" xfId="0" applyFont="1" applyBorder="1"/>
    <xf numFmtId="0" fontId="0" fillId="0" borderId="115" xfId="0" applyBorder="1"/>
    <xf numFmtId="0" fontId="42" fillId="0" borderId="140" xfId="0" applyFont="1" applyBorder="1"/>
    <xf numFmtId="167" fontId="51" fillId="0" borderId="58" xfId="0" applyNumberFormat="1" applyFont="1" applyBorder="1"/>
    <xf numFmtId="166" fontId="51" fillId="0" borderId="87" xfId="0" applyNumberFormat="1" applyFont="1" applyBorder="1"/>
    <xf numFmtId="0" fontId="16" fillId="0" borderId="0" xfId="0" quotePrefix="1" applyFont="1" applyBorder="1" applyAlignment="1">
      <alignment horizontal="left"/>
    </xf>
    <xf numFmtId="0" fontId="16" fillId="0" borderId="87" xfId="0" applyFont="1" applyBorder="1"/>
    <xf numFmtId="0" fontId="16" fillId="0" borderId="0" xfId="0" applyFont="1" applyBorder="1"/>
    <xf numFmtId="0" fontId="16" fillId="0" borderId="8" xfId="0" applyFont="1" applyBorder="1"/>
    <xf numFmtId="37" fontId="0" fillId="0" borderId="0" xfId="0" applyNumberFormat="1"/>
    <xf numFmtId="167" fontId="7" fillId="2" borderId="141" xfId="0" applyNumberFormat="1" applyFont="1" applyFill="1" applyBorder="1"/>
    <xf numFmtId="0" fontId="29" fillId="0" borderId="101" xfId="0" applyFont="1" applyBorder="1"/>
    <xf numFmtId="0" fontId="11" fillId="0" borderId="0" xfId="0" applyFont="1"/>
    <xf numFmtId="167" fontId="11" fillId="0" borderId="142" xfId="0" applyNumberFormat="1" applyFont="1" applyBorder="1"/>
    <xf numFmtId="0" fontId="0" fillId="0" borderId="32" xfId="0" applyBorder="1"/>
    <xf numFmtId="0" fontId="11" fillId="0" borderId="143" xfId="0" applyFont="1" applyBorder="1" applyAlignment="1">
      <alignment horizontal="center"/>
    </xf>
    <xf numFmtId="0" fontId="11" fillId="0" borderId="115" xfId="0" applyFont="1" applyBorder="1" applyAlignment="1">
      <alignment horizontal="center"/>
    </xf>
    <xf numFmtId="0" fontId="7" fillId="0" borderId="40" xfId="0" applyFont="1" applyBorder="1" applyAlignment="1">
      <alignment horizontal="center"/>
    </xf>
    <xf numFmtId="0" fontId="7" fillId="0" borderId="39" xfId="0" applyFont="1" applyBorder="1" applyAlignment="1">
      <alignment horizontal="center"/>
    </xf>
    <xf numFmtId="0" fontId="7" fillId="0" borderId="54" xfId="0" applyFont="1" applyBorder="1"/>
    <xf numFmtId="167" fontId="7" fillId="2" borderId="0" xfId="0" applyNumberFormat="1" applyFont="1" applyFill="1" applyBorder="1" applyProtection="1"/>
    <xf numFmtId="167" fontId="7" fillId="0" borderId="32" xfId="0" applyNumberFormat="1" applyFont="1" applyBorder="1"/>
    <xf numFmtId="179" fontId="42" fillId="0" borderId="31" xfId="0" applyNumberFormat="1" applyFont="1" applyBorder="1" applyAlignment="1">
      <alignment horizontal="right"/>
    </xf>
    <xf numFmtId="0" fontId="44" fillId="0" borderId="29" xfId="0" applyFont="1" applyBorder="1"/>
    <xf numFmtId="0" fontId="0" fillId="0" borderId="0" xfId="0" applyAlignment="1"/>
    <xf numFmtId="0" fontId="0" fillId="0" borderId="58" xfId="0" applyBorder="1"/>
    <xf numFmtId="167" fontId="1" fillId="2" borderId="61" xfId="0" applyNumberFormat="1" applyFont="1" applyFill="1" applyBorder="1"/>
    <xf numFmtId="167" fontId="7" fillId="0" borderId="73" xfId="0" applyNumberFormat="1" applyFont="1" applyBorder="1"/>
    <xf numFmtId="167" fontId="7" fillId="0" borderId="13" xfId="0" applyNumberFormat="1" applyFont="1" applyBorder="1"/>
    <xf numFmtId="167" fontId="7" fillId="0" borderId="79" xfId="0" applyNumberFormat="1" applyFont="1" applyBorder="1"/>
    <xf numFmtId="167" fontId="7" fillId="0" borderId="80" xfId="0" applyNumberFormat="1" applyFont="1" applyBorder="1"/>
    <xf numFmtId="0" fontId="0" fillId="0" borderId="144" xfId="0" applyBorder="1"/>
    <xf numFmtId="0" fontId="8" fillId="0" borderId="86" xfId="0" applyFont="1" applyBorder="1"/>
    <xf numFmtId="167" fontId="51" fillId="0" borderId="55" xfId="0" applyNumberFormat="1" applyFont="1" applyBorder="1"/>
    <xf numFmtId="167" fontId="50" fillId="0" borderId="61" xfId="0" applyNumberFormat="1" applyFont="1" applyBorder="1"/>
    <xf numFmtId="167" fontId="51" fillId="0" borderId="40" xfId="0" applyNumberFormat="1" applyFont="1" applyBorder="1"/>
    <xf numFmtId="167" fontId="50" fillId="0" borderId="104" xfId="0" applyNumberFormat="1" applyFont="1" applyBorder="1"/>
    <xf numFmtId="0" fontId="50" fillId="5" borderId="110" xfId="0" applyFont="1" applyFill="1" applyBorder="1"/>
    <xf numFmtId="0" fontId="50" fillId="5" borderId="54" xfId="0" applyFont="1" applyFill="1" applyBorder="1"/>
    <xf numFmtId="0" fontId="50" fillId="5" borderId="130" xfId="0" applyFont="1" applyFill="1" applyBorder="1"/>
    <xf numFmtId="0" fontId="4" fillId="2" borderId="145" xfId="0" applyFont="1" applyFill="1" applyBorder="1"/>
    <xf numFmtId="0" fontId="52" fillId="2" borderId="110" xfId="0" applyFont="1" applyFill="1" applyBorder="1"/>
    <xf numFmtId="0" fontId="49" fillId="5" borderId="85" xfId="0" applyFont="1" applyFill="1" applyBorder="1" applyAlignment="1">
      <alignment horizontal="left"/>
    </xf>
    <xf numFmtId="0" fontId="52" fillId="5" borderId="30" xfId="0" quotePrefix="1" applyFont="1" applyFill="1" applyBorder="1" applyAlignment="1">
      <alignment horizontal="center"/>
    </xf>
    <xf numFmtId="37" fontId="7" fillId="0" borderId="0" xfId="0" applyNumberFormat="1" applyFont="1" applyAlignment="1">
      <alignment horizontal="right"/>
    </xf>
    <xf numFmtId="164" fontId="7" fillId="0" borderId="0" xfId="0" applyNumberFormat="1" applyFont="1" applyFill="1"/>
    <xf numFmtId="164" fontId="7" fillId="0" borderId="0" xfId="0" applyNumberFormat="1" applyFont="1" applyFill="1" applyBorder="1"/>
    <xf numFmtId="0" fontId="7" fillId="0" borderId="3" xfId="0" applyFont="1" applyFill="1" applyBorder="1" applyAlignment="1" applyProtection="1">
      <protection locked="0"/>
    </xf>
    <xf numFmtId="0" fontId="58" fillId="2" borderId="115" xfId="0" applyFont="1" applyFill="1" applyBorder="1" applyProtection="1"/>
    <xf numFmtId="164" fontId="58" fillId="2" borderId="115" xfId="0" applyNumberFormat="1" applyFont="1" applyFill="1" applyBorder="1" applyAlignment="1" applyProtection="1">
      <alignment horizontal="center"/>
    </xf>
    <xf numFmtId="164" fontId="58" fillId="2" borderId="15" xfId="0" applyNumberFormat="1" applyFont="1" applyFill="1" applyBorder="1" applyAlignment="1" applyProtection="1">
      <alignment horizontal="center"/>
    </xf>
    <xf numFmtId="0" fontId="57" fillId="2" borderId="11" xfId="0" quotePrefix="1" applyFont="1" applyFill="1" applyBorder="1" applyAlignment="1" applyProtection="1">
      <alignment horizontal="left"/>
    </xf>
    <xf numFmtId="0" fontId="58" fillId="2" borderId="0" xfId="0" applyFont="1" applyFill="1" applyBorder="1" applyProtection="1"/>
    <xf numFmtId="0" fontId="58" fillId="2" borderId="13" xfId="0" applyFont="1" applyFill="1" applyBorder="1" applyProtection="1"/>
    <xf numFmtId="0" fontId="59" fillId="2" borderId="11" xfId="0" applyFont="1" applyFill="1" applyBorder="1" applyProtection="1"/>
    <xf numFmtId="0" fontId="57" fillId="2" borderId="0" xfId="0" applyFont="1" applyFill="1" applyBorder="1" applyAlignment="1" applyProtection="1">
      <alignment horizontal="center"/>
    </xf>
    <xf numFmtId="0" fontId="57" fillId="2" borderId="13" xfId="0" applyFont="1" applyFill="1" applyBorder="1" applyAlignment="1" applyProtection="1">
      <alignment horizontal="center"/>
    </xf>
    <xf numFmtId="0" fontId="59" fillId="2" borderId="146" xfId="0" applyFont="1" applyFill="1" applyBorder="1" applyAlignment="1" applyProtection="1">
      <alignment horizontal="left"/>
    </xf>
    <xf numFmtId="0" fontId="58" fillId="2" borderId="147" xfId="0" applyFont="1" applyFill="1" applyBorder="1" applyProtection="1"/>
    <xf numFmtId="164" fontId="58" fillId="2" borderId="91" xfId="0" applyNumberFormat="1" applyFont="1" applyFill="1" applyBorder="1" applyProtection="1"/>
    <xf numFmtId="164" fontId="58" fillId="2" borderId="93" xfId="0" applyNumberFormat="1" applyFont="1" applyFill="1" applyBorder="1" applyProtection="1"/>
    <xf numFmtId="0" fontId="60" fillId="2" borderId="11" xfId="0" applyFont="1" applyFill="1" applyBorder="1" applyProtection="1"/>
    <xf numFmtId="166" fontId="58" fillId="2" borderId="94" xfId="0" applyNumberFormat="1" applyFont="1" applyFill="1" applyBorder="1" applyProtection="1"/>
    <xf numFmtId="166" fontId="58" fillId="2" borderId="95" xfId="0" applyNumberFormat="1" applyFont="1" applyFill="1" applyBorder="1" applyProtection="1"/>
    <xf numFmtId="0" fontId="60" fillId="2" borderId="11" xfId="0" applyFont="1" applyFill="1" applyBorder="1" applyAlignment="1" applyProtection="1">
      <alignment horizontal="left"/>
    </xf>
    <xf numFmtId="0" fontId="58" fillId="2" borderId="0" xfId="0" applyFont="1" applyFill="1" applyBorder="1"/>
    <xf numFmtId="0" fontId="58" fillId="2" borderId="0" xfId="0" quotePrefix="1" applyFont="1" applyFill="1" applyBorder="1" applyAlignment="1" applyProtection="1">
      <alignment horizontal="left"/>
    </xf>
    <xf numFmtId="166" fontId="58" fillId="2" borderId="148" xfId="0" applyNumberFormat="1" applyFont="1" applyFill="1" applyBorder="1" applyProtection="1"/>
    <xf numFmtId="0" fontId="58" fillId="2" borderId="0" xfId="0" applyFont="1" applyFill="1" applyBorder="1" applyAlignment="1" applyProtection="1">
      <alignment horizontal="left"/>
    </xf>
    <xf numFmtId="0" fontId="60" fillId="2" borderId="149" xfId="0" applyFont="1" applyFill="1" applyBorder="1" applyAlignment="1" applyProtection="1">
      <alignment horizontal="left"/>
    </xf>
    <xf numFmtId="0" fontId="58" fillId="2" borderId="150" xfId="0" applyFont="1" applyFill="1" applyBorder="1" applyProtection="1"/>
    <xf numFmtId="166" fontId="58" fillId="2" borderId="97" xfId="0" applyNumberFormat="1" applyFont="1" applyFill="1" applyBorder="1" applyProtection="1"/>
    <xf numFmtId="166" fontId="58" fillId="2" borderId="151" xfId="0" applyNumberFormat="1" applyFont="1" applyFill="1" applyBorder="1" applyProtection="1"/>
    <xf numFmtId="0" fontId="57" fillId="2" borderId="0" xfId="0" applyFont="1" applyFill="1" applyBorder="1" applyProtection="1"/>
    <xf numFmtId="0" fontId="59" fillId="2" borderId="152" xfId="0" applyFont="1" applyFill="1" applyBorder="1" applyAlignment="1" applyProtection="1">
      <alignment horizontal="left"/>
    </xf>
    <xf numFmtId="0" fontId="58" fillId="2" borderId="153" xfId="0" applyFont="1" applyFill="1" applyBorder="1" applyProtection="1"/>
    <xf numFmtId="166" fontId="58" fillId="2" borderId="98" xfId="0" applyNumberFormat="1" applyFont="1" applyFill="1" applyBorder="1" applyProtection="1"/>
    <xf numFmtId="166" fontId="58" fillId="2" borderId="154" xfId="0" applyNumberFormat="1" applyFont="1" applyFill="1" applyBorder="1" applyProtection="1"/>
    <xf numFmtId="0" fontId="60" fillId="2" borderId="11" xfId="0" quotePrefix="1" applyFont="1" applyFill="1" applyBorder="1" applyAlignment="1" applyProtection="1">
      <alignment horizontal="left"/>
    </xf>
    <xf numFmtId="0" fontId="60" fillId="2" borderId="44" xfId="0" applyFont="1" applyFill="1" applyBorder="1" applyProtection="1"/>
    <xf numFmtId="0" fontId="58" fillId="2" borderId="2" xfId="0" applyFont="1" applyFill="1" applyBorder="1" applyProtection="1"/>
    <xf numFmtId="166" fontId="58" fillId="2" borderId="155" xfId="0" applyNumberFormat="1" applyFont="1" applyFill="1" applyBorder="1" applyProtection="1"/>
    <xf numFmtId="0" fontId="60" fillId="2" borderId="156" xfId="0" applyFont="1" applyFill="1" applyBorder="1" applyAlignment="1" applyProtection="1">
      <alignment horizontal="left"/>
    </xf>
    <xf numFmtId="0" fontId="58" fillId="2" borderId="157" xfId="0" applyFont="1" applyFill="1" applyBorder="1" applyProtection="1"/>
    <xf numFmtId="0" fontId="58" fillId="2" borderId="158" xfId="0" applyFont="1" applyFill="1" applyBorder="1" applyAlignment="1" applyProtection="1">
      <alignment horizontal="left"/>
    </xf>
    <xf numFmtId="0" fontId="58" fillId="2" borderId="25" xfId="0" applyFont="1" applyFill="1" applyBorder="1" applyProtection="1"/>
    <xf numFmtId="0" fontId="58" fillId="2" borderId="149" xfId="0" applyFont="1" applyFill="1" applyBorder="1" applyAlignment="1" applyProtection="1">
      <alignment horizontal="left"/>
    </xf>
    <xf numFmtId="0" fontId="58" fillId="2" borderId="14" xfId="0" applyFont="1" applyFill="1" applyBorder="1" applyProtection="1"/>
    <xf numFmtId="2" fontId="58" fillId="2" borderId="97" xfId="0" applyNumberFormat="1" applyFont="1" applyFill="1" applyBorder="1" applyProtection="1"/>
    <xf numFmtId="2" fontId="58" fillId="2" borderId="151" xfId="0" applyNumberFormat="1" applyFont="1" applyFill="1" applyBorder="1" applyProtection="1"/>
    <xf numFmtId="0" fontId="57" fillId="2" borderId="114" xfId="0" applyFont="1" applyFill="1" applyBorder="1" applyAlignment="1" applyProtection="1">
      <alignment horizontal="left"/>
    </xf>
    <xf numFmtId="164" fontId="58" fillId="2" borderId="115" xfId="0" applyNumberFormat="1" applyFont="1" applyFill="1" applyBorder="1" applyAlignment="1" applyProtection="1">
      <alignment horizontal="right"/>
    </xf>
    <xf numFmtId="164" fontId="58" fillId="2" borderId="15" xfId="0" applyNumberFormat="1" applyFont="1" applyFill="1" applyBorder="1" applyAlignment="1" applyProtection="1">
      <alignment horizontal="left"/>
    </xf>
    <xf numFmtId="166" fontId="58" fillId="2" borderId="94" xfId="0" applyNumberFormat="1" applyFont="1" applyFill="1" applyBorder="1" applyAlignment="1" applyProtection="1">
      <alignment horizontal="right"/>
    </xf>
    <xf numFmtId="166" fontId="58" fillId="2" borderId="95" xfId="0" applyNumberFormat="1" applyFont="1" applyFill="1" applyBorder="1" applyAlignment="1" applyProtection="1">
      <alignment horizontal="right"/>
    </xf>
    <xf numFmtId="166" fontId="58" fillId="2" borderId="159" xfId="0" applyNumberFormat="1" applyFont="1" applyFill="1" applyBorder="1" applyProtection="1"/>
    <xf numFmtId="166" fontId="58" fillId="2" borderId="78" xfId="0" applyNumberFormat="1" applyFont="1" applyFill="1" applyBorder="1" applyProtection="1"/>
    <xf numFmtId="0" fontId="60" fillId="2" borderId="119" xfId="0" applyFont="1" applyFill="1" applyBorder="1" applyAlignment="1" applyProtection="1">
      <alignment horizontal="left"/>
    </xf>
    <xf numFmtId="0" fontId="60" fillId="2" borderId="0" xfId="0" applyFont="1" applyFill="1" applyProtection="1"/>
    <xf numFmtId="0" fontId="58" fillId="2" borderId="0" xfId="0" applyFont="1" applyFill="1" applyProtection="1"/>
    <xf numFmtId="166" fontId="58" fillId="2" borderId="0" xfId="0" applyNumberFormat="1" applyFont="1" applyFill="1" applyProtection="1"/>
    <xf numFmtId="0" fontId="61" fillId="2" borderId="152" xfId="0" applyFont="1" applyFill="1" applyBorder="1" applyAlignment="1" applyProtection="1">
      <alignment horizontal="left"/>
    </xf>
    <xf numFmtId="2" fontId="58" fillId="2" borderId="160" xfId="0" applyNumberFormat="1" applyFont="1" applyFill="1" applyBorder="1" applyProtection="1"/>
    <xf numFmtId="2" fontId="58" fillId="2" borderId="161" xfId="0" applyNumberFormat="1" applyFont="1" applyFill="1" applyBorder="1" applyProtection="1"/>
    <xf numFmtId="0" fontId="58" fillId="2" borderId="162" xfId="0" applyFont="1" applyFill="1" applyBorder="1" applyAlignment="1" applyProtection="1">
      <alignment horizontal="left"/>
    </xf>
    <xf numFmtId="0" fontId="58" fillId="2" borderId="163" xfId="0" applyFont="1" applyFill="1" applyBorder="1" applyProtection="1"/>
    <xf numFmtId="2" fontId="58" fillId="2" borderId="91" xfId="0" applyNumberFormat="1" applyFont="1" applyFill="1" applyBorder="1" applyProtection="1"/>
    <xf numFmtId="2" fontId="58" fillId="2" borderId="93" xfId="0" applyNumberFormat="1" applyFont="1" applyFill="1" applyBorder="1" applyProtection="1"/>
    <xf numFmtId="0" fontId="58" fillId="2" borderId="119" xfId="0" applyFont="1" applyFill="1" applyBorder="1" applyAlignment="1" applyProtection="1">
      <alignment horizontal="left"/>
    </xf>
    <xf numFmtId="0" fontId="58" fillId="2" borderId="0" xfId="0" applyFont="1" applyFill="1"/>
    <xf numFmtId="0" fontId="58" fillId="0" borderId="0" xfId="0" applyFont="1"/>
    <xf numFmtId="0" fontId="58" fillId="2" borderId="164" xfId="0" quotePrefix="1" applyFont="1" applyFill="1" applyBorder="1" applyAlignment="1">
      <alignment horizontal="left"/>
    </xf>
    <xf numFmtId="0" fontId="58" fillId="2" borderId="165" xfId="0" applyFont="1" applyFill="1" applyBorder="1"/>
    <xf numFmtId="1" fontId="58" fillId="2" borderId="166" xfId="0" applyNumberFormat="1" applyFont="1" applyFill="1" applyBorder="1"/>
    <xf numFmtId="0" fontId="58" fillId="2" borderId="167" xfId="0" applyFont="1" applyFill="1" applyBorder="1"/>
    <xf numFmtId="0" fontId="60" fillId="2" borderId="115" xfId="0" applyFont="1" applyFill="1" applyBorder="1" applyProtection="1"/>
    <xf numFmtId="167" fontId="0" fillId="0" borderId="0" xfId="0" applyNumberFormat="1"/>
    <xf numFmtId="167" fontId="11" fillId="0" borderId="30" xfId="0" applyNumberFormat="1" applyFont="1" applyBorder="1"/>
    <xf numFmtId="167" fontId="11" fillId="0" borderId="29" xfId="0" applyNumberFormat="1" applyFont="1" applyBorder="1"/>
    <xf numFmtId="0" fontId="42" fillId="0" borderId="8" xfId="0" applyFont="1" applyBorder="1"/>
    <xf numFmtId="167" fontId="11" fillId="0" borderId="0" xfId="0" applyNumberFormat="1" applyFont="1" applyBorder="1"/>
    <xf numFmtId="179" fontId="42" fillId="0" borderId="30" xfId="0" applyNumberFormat="1" applyFont="1" applyBorder="1" applyAlignment="1">
      <alignment horizontal="left"/>
    </xf>
    <xf numFmtId="0" fontId="43" fillId="0" borderId="30" xfId="0" applyFont="1" applyBorder="1"/>
    <xf numFmtId="0" fontId="7" fillId="0" borderId="0" xfId="0" applyFont="1" applyAlignment="1" applyProtection="1">
      <alignment horizontal="left"/>
      <protection locked="0"/>
    </xf>
    <xf numFmtId="37" fontId="7" fillId="0" borderId="0" xfId="0" applyNumberFormat="1" applyFont="1" applyProtection="1">
      <protection locked="0"/>
    </xf>
    <xf numFmtId="37" fontId="7" fillId="0" borderId="3" xfId="0" applyNumberFormat="1" applyFont="1" applyBorder="1" applyProtection="1">
      <protection locked="0"/>
    </xf>
    <xf numFmtId="37" fontId="7" fillId="0" borderId="3" xfId="0" applyNumberFormat="1" applyFont="1" applyBorder="1" applyProtection="1"/>
    <xf numFmtId="37" fontId="7" fillId="0" borderId="0" xfId="0" applyNumberFormat="1" applyFont="1" applyProtection="1"/>
    <xf numFmtId="37" fontId="7" fillId="0" borderId="0" xfId="0" quotePrefix="1" applyNumberFormat="1" applyFont="1" applyAlignment="1" applyProtection="1">
      <alignment horizontal="center"/>
    </xf>
    <xf numFmtId="37" fontId="7" fillId="0" borderId="0" xfId="0" quotePrefix="1" applyNumberFormat="1" applyFont="1" applyAlignment="1" applyProtection="1">
      <alignment horizontal="left"/>
    </xf>
    <xf numFmtId="37" fontId="7" fillId="0" borderId="3" xfId="0" applyNumberFormat="1" applyFont="1" applyFill="1" applyBorder="1" applyProtection="1">
      <protection locked="0"/>
    </xf>
    <xf numFmtId="37" fontId="7" fillId="0" borderId="0" xfId="0" applyNumberFormat="1" applyFont="1" applyAlignment="1" applyProtection="1"/>
    <xf numFmtId="37" fontId="7" fillId="0" borderId="0" xfId="0" applyNumberFormat="1" applyFont="1"/>
    <xf numFmtId="1" fontId="7" fillId="0" borderId="5" xfId="0" applyNumberFormat="1" applyFont="1" applyFill="1" applyBorder="1" applyProtection="1">
      <protection locked="0"/>
    </xf>
    <xf numFmtId="1" fontId="7" fillId="0" borderId="0" xfId="0" applyNumberFormat="1" applyFont="1" applyFill="1" applyBorder="1" applyProtection="1">
      <protection locked="0"/>
    </xf>
    <xf numFmtId="1" fontId="7" fillId="0" borderId="40" xfId="0" applyNumberFormat="1" applyFont="1" applyFill="1" applyBorder="1" applyProtection="1">
      <protection locked="0"/>
    </xf>
    <xf numFmtId="0" fontId="7" fillId="0" borderId="5" xfId="0" applyFont="1" applyFill="1" applyBorder="1" applyProtection="1">
      <protection locked="0"/>
    </xf>
    <xf numFmtId="0" fontId="7" fillId="0" borderId="3" xfId="0" applyFont="1" applyFill="1" applyBorder="1" applyProtection="1">
      <protection locked="0"/>
    </xf>
    <xf numFmtId="0" fontId="7" fillId="0" borderId="40" xfId="0" applyFont="1" applyFill="1" applyBorder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62" fillId="0" borderId="0" xfId="0" applyFont="1"/>
    <xf numFmtId="0" fontId="11" fillId="0" borderId="0" xfId="0" applyFont="1" applyAlignment="1">
      <alignment horizontal="center"/>
    </xf>
    <xf numFmtId="18" fontId="11" fillId="0" borderId="0" xfId="0" applyNumberFormat="1" applyFont="1"/>
    <xf numFmtId="166" fontId="7" fillId="0" borderId="0" xfId="0" applyNumberFormat="1" applyFont="1"/>
    <xf numFmtId="0" fontId="63" fillId="0" borderId="0" xfId="0" applyFont="1" applyAlignment="1">
      <alignment horizontal="center"/>
    </xf>
    <xf numFmtId="0" fontId="41" fillId="0" borderId="0" xfId="0" applyFont="1" applyAlignment="1">
      <alignment horizontal="center"/>
    </xf>
    <xf numFmtId="0" fontId="63" fillId="0" borderId="0" xfId="0" applyFont="1"/>
    <xf numFmtId="0" fontId="63" fillId="0" borderId="0" xfId="0" applyFont="1" applyAlignment="1">
      <alignment horizontal="right"/>
    </xf>
    <xf numFmtId="0" fontId="41" fillId="0" borderId="0" xfId="0" applyFont="1" applyAlignment="1">
      <alignment horizontal="right"/>
    </xf>
    <xf numFmtId="49" fontId="63" fillId="0" borderId="0" xfId="0" applyNumberFormat="1" applyFont="1" applyAlignment="1">
      <alignment horizontal="right" wrapText="1"/>
    </xf>
    <xf numFmtId="0" fontId="63" fillId="0" borderId="0" xfId="0" applyFont="1" applyAlignment="1">
      <alignment horizontal="center" wrapText="1"/>
    </xf>
    <xf numFmtId="0" fontId="63" fillId="0" borderId="0" xfId="0" applyFont="1" applyAlignment="1">
      <alignment wrapText="1"/>
    </xf>
    <xf numFmtId="49" fontId="63" fillId="0" borderId="0" xfId="0" applyNumberFormat="1" applyFont="1" applyAlignment="1">
      <alignment wrapText="1"/>
    </xf>
    <xf numFmtId="49" fontId="63" fillId="0" borderId="0" xfId="0" applyNumberFormat="1" applyFont="1" applyAlignment="1"/>
    <xf numFmtId="0" fontId="63" fillId="0" borderId="0" xfId="0" applyFont="1" applyBorder="1" applyAlignment="1"/>
    <xf numFmtId="0" fontId="63" fillId="0" borderId="0" xfId="0" applyFont="1" applyAlignment="1">
      <alignment horizontal="left"/>
    </xf>
    <xf numFmtId="49" fontId="63" fillId="0" borderId="0" xfId="0" applyNumberFormat="1" applyFont="1" applyAlignment="1">
      <alignment horizontal="right"/>
    </xf>
    <xf numFmtId="167" fontId="63" fillId="0" borderId="0" xfId="0" applyNumberFormat="1" applyFont="1" applyAlignment="1">
      <alignment wrapText="1"/>
    </xf>
    <xf numFmtId="0" fontId="63" fillId="0" borderId="0" xfId="0" applyFont="1" applyAlignment="1">
      <alignment horizontal="left" wrapText="1"/>
    </xf>
    <xf numFmtId="0" fontId="41" fillId="0" borderId="0" xfId="0" applyFont="1" applyBorder="1" applyAlignment="1">
      <alignment horizontal="center"/>
    </xf>
    <xf numFmtId="0" fontId="63" fillId="0" borderId="0" xfId="0" applyFont="1" applyBorder="1" applyAlignment="1">
      <alignment horizontal="center"/>
    </xf>
    <xf numFmtId="0" fontId="41" fillId="0" borderId="0" xfId="0" quotePrefix="1" applyFont="1" applyBorder="1" applyAlignment="1">
      <alignment horizontal="center"/>
    </xf>
    <xf numFmtId="0" fontId="63" fillId="0" borderId="0" xfId="0" quotePrefix="1" applyFont="1" applyBorder="1" applyAlignment="1">
      <alignment horizontal="center"/>
    </xf>
    <xf numFmtId="167" fontId="63" fillId="0" borderId="0" xfId="0" applyNumberFormat="1" applyFont="1" applyBorder="1" applyAlignment="1">
      <alignment horizontal="left"/>
    </xf>
    <xf numFmtId="167" fontId="63" fillId="0" borderId="0" xfId="0" applyNumberFormat="1" applyFont="1" applyAlignment="1">
      <alignment horizontal="left"/>
    </xf>
    <xf numFmtId="0" fontId="16" fillId="0" borderId="87" xfId="0" applyFont="1" applyBorder="1" applyAlignment="1">
      <alignment horizontal="center"/>
    </xf>
    <xf numFmtId="167" fontId="63" fillId="0" borderId="0" xfId="0" applyNumberFormat="1" applyFont="1" applyBorder="1" applyAlignment="1">
      <alignment horizontal="center"/>
    </xf>
    <xf numFmtId="49" fontId="63" fillId="0" borderId="0" xfId="0" applyNumberFormat="1" applyFont="1" applyBorder="1" applyAlignment="1">
      <alignment horizontal="left"/>
    </xf>
    <xf numFmtId="0" fontId="63" fillId="0" borderId="0" xfId="0" applyFont="1" applyBorder="1" applyAlignment="1">
      <alignment horizontal="right"/>
    </xf>
    <xf numFmtId="0" fontId="63" fillId="0" borderId="0" xfId="0" applyFont="1" applyBorder="1" applyAlignment="1">
      <alignment horizontal="left"/>
    </xf>
    <xf numFmtId="0" fontId="63" fillId="0" borderId="0" xfId="0" applyFont="1" applyBorder="1"/>
    <xf numFmtId="0" fontId="63" fillId="10" borderId="0" xfId="0" applyFont="1" applyFill="1" applyBorder="1" applyAlignment="1">
      <alignment horizontal="left"/>
    </xf>
    <xf numFmtId="167" fontId="63" fillId="0" borderId="0" xfId="0" applyNumberFormat="1" applyFont="1" applyAlignment="1">
      <alignment horizontal="center"/>
    </xf>
    <xf numFmtId="167" fontId="63" fillId="0" borderId="0" xfId="0" applyNumberFormat="1" applyFont="1" applyBorder="1" applyAlignment="1">
      <alignment horizontal="right"/>
    </xf>
    <xf numFmtId="0" fontId="30" fillId="0" borderId="6" xfId="0" applyFont="1" applyFill="1" applyBorder="1" applyAlignment="1">
      <alignment horizontal="center"/>
    </xf>
    <xf numFmtId="0" fontId="30" fillId="0" borderId="39" xfId="0" applyFont="1" applyFill="1" applyBorder="1" applyAlignment="1">
      <alignment horizontal="center"/>
    </xf>
    <xf numFmtId="1" fontId="30" fillId="0" borderId="39" xfId="0" applyNumberFormat="1" applyFont="1" applyFill="1" applyBorder="1" applyAlignment="1">
      <alignment horizontal="center"/>
    </xf>
    <xf numFmtId="0" fontId="30" fillId="0" borderId="60" xfId="0" applyFont="1" applyFill="1" applyBorder="1" applyAlignment="1">
      <alignment horizontal="center"/>
    </xf>
    <xf numFmtId="166" fontId="29" fillId="0" borderId="63" xfId="0" applyNumberFormat="1" applyFont="1" applyBorder="1"/>
    <xf numFmtId="166" fontId="30" fillId="0" borderId="2" xfId="0" applyNumberFormat="1" applyFont="1" applyFill="1" applyBorder="1" applyAlignment="1" applyProtection="1"/>
    <xf numFmtId="171" fontId="30" fillId="0" borderId="63" xfId="0" applyNumberFormat="1" applyFont="1" applyFill="1" applyBorder="1" applyAlignment="1"/>
    <xf numFmtId="166" fontId="30" fillId="5" borderId="105" xfId="0" applyNumberFormat="1" applyFont="1" applyFill="1" applyBorder="1" applyAlignment="1"/>
    <xf numFmtId="0" fontId="29" fillId="5" borderId="85" xfId="0" applyFont="1" applyFill="1" applyBorder="1" applyAlignment="1">
      <alignment horizontal="left"/>
    </xf>
    <xf numFmtId="166" fontId="30" fillId="0" borderId="63" xfId="0" applyNumberFormat="1" applyFont="1" applyFill="1" applyBorder="1"/>
    <xf numFmtId="166" fontId="30" fillId="0" borderId="63" xfId="0" applyNumberFormat="1" applyFont="1" applyFill="1" applyBorder="1" applyAlignment="1"/>
    <xf numFmtId="166" fontId="29" fillId="0" borderId="111" xfId="0" applyNumberFormat="1" applyFont="1" applyFill="1" applyBorder="1" applyAlignment="1"/>
    <xf numFmtId="166" fontId="29" fillId="0" borderId="168" xfId="0" applyNumberFormat="1" applyFont="1" applyFill="1" applyBorder="1" applyAlignment="1"/>
    <xf numFmtId="0" fontId="30" fillId="0" borderId="169" xfId="0" applyFont="1" applyFill="1" applyBorder="1" applyAlignment="1"/>
    <xf numFmtId="167" fontId="30" fillId="0" borderId="169" xfId="0" applyNumberFormat="1" applyFont="1" applyFill="1" applyBorder="1" applyAlignment="1"/>
    <xf numFmtId="167" fontId="30" fillId="0" borderId="170" xfId="0" applyNumberFormat="1" applyFont="1" applyFill="1" applyBorder="1" applyAlignment="1"/>
    <xf numFmtId="166" fontId="30" fillId="0" borderId="171" xfId="0" applyNumberFormat="1" applyFont="1" applyFill="1" applyBorder="1" applyAlignment="1"/>
    <xf numFmtId="166" fontId="30" fillId="0" borderId="172" xfId="0" applyNumberFormat="1" applyFont="1" applyFill="1" applyBorder="1" applyAlignment="1"/>
    <xf numFmtId="167" fontId="30" fillId="0" borderId="171" xfId="0" applyNumberFormat="1" applyFont="1" applyFill="1" applyBorder="1" applyAlignment="1"/>
    <xf numFmtId="167" fontId="30" fillId="0" borderId="50" xfId="0" applyNumberFormat="1" applyFont="1" applyFill="1" applyBorder="1" applyAlignment="1"/>
    <xf numFmtId="0" fontId="6" fillId="0" borderId="60" xfId="0" applyFont="1" applyBorder="1"/>
    <xf numFmtId="166" fontId="29" fillId="0" borderId="60" xfId="0" applyNumberFormat="1" applyFont="1" applyBorder="1"/>
    <xf numFmtId="166" fontId="29" fillId="0" borderId="58" xfId="0" applyNumberFormat="1" applyFont="1" applyBorder="1"/>
    <xf numFmtId="166" fontId="30" fillId="0" borderId="63" xfId="0" applyNumberFormat="1" applyFont="1" applyBorder="1"/>
    <xf numFmtId="166" fontId="30" fillId="0" borderId="60" xfId="0" applyNumberFormat="1" applyFont="1" applyBorder="1"/>
    <xf numFmtId="167" fontId="30" fillId="0" borderId="58" xfId="0" applyNumberFormat="1" applyFont="1" applyBorder="1"/>
    <xf numFmtId="0" fontId="6" fillId="0" borderId="3" xfId="0" applyFont="1" applyFill="1" applyBorder="1"/>
    <xf numFmtId="166" fontId="29" fillId="0" borderId="63" xfId="0" applyNumberFormat="1" applyFont="1" applyFill="1" applyBorder="1"/>
    <xf numFmtId="0" fontId="6" fillId="0" borderId="60" xfId="0" applyFont="1" applyFill="1" applyBorder="1"/>
    <xf numFmtId="166" fontId="30" fillId="0" borderId="58" xfId="0" applyNumberFormat="1" applyFont="1" applyBorder="1"/>
    <xf numFmtId="0" fontId="6" fillId="0" borderId="3" xfId="0" applyFont="1" applyBorder="1"/>
    <xf numFmtId="0" fontId="36" fillId="6" borderId="169" xfId="0" applyFont="1" applyFill="1" applyBorder="1" applyAlignment="1">
      <alignment horizontal="centerContinuous"/>
    </xf>
    <xf numFmtId="0" fontId="32" fillId="5" borderId="13" xfId="0" applyFont="1" applyFill="1" applyBorder="1" applyAlignment="1">
      <alignment horizontal="center"/>
    </xf>
    <xf numFmtId="0" fontId="32" fillId="2" borderId="141" xfId="0" applyFont="1" applyFill="1" applyBorder="1"/>
    <xf numFmtId="0" fontId="30" fillId="0" borderId="5" xfId="0" applyFont="1" applyBorder="1" applyAlignment="1">
      <alignment horizontal="left"/>
    </xf>
    <xf numFmtId="0" fontId="29" fillId="6" borderId="1" xfId="0" applyFont="1" applyFill="1" applyBorder="1" applyAlignment="1">
      <alignment horizontal="center"/>
    </xf>
    <xf numFmtId="0" fontId="37" fillId="6" borderId="85" xfId="0" applyFont="1" applyFill="1" applyBorder="1" applyAlignment="1">
      <alignment horizontal="centerContinuous"/>
    </xf>
    <xf numFmtId="167" fontId="16" fillId="0" borderId="40" xfId="0" applyNumberFormat="1" applyFont="1" applyBorder="1"/>
    <xf numFmtId="167" fontId="29" fillId="0" borderId="104" xfId="0" applyNumberFormat="1" applyFont="1" applyBorder="1"/>
    <xf numFmtId="167" fontId="30" fillId="0" borderId="30" xfId="0" applyNumberFormat="1" applyFont="1" applyBorder="1"/>
    <xf numFmtId="0" fontId="32" fillId="0" borderId="29" xfId="0" applyFont="1" applyBorder="1"/>
    <xf numFmtId="172" fontId="30" fillId="0" borderId="56" xfId="0" applyNumberFormat="1" applyFont="1" applyBorder="1"/>
    <xf numFmtId="172" fontId="30" fillId="0" borderId="52" xfId="0" applyNumberFormat="1" applyFont="1" applyBorder="1"/>
    <xf numFmtId="167" fontId="30" fillId="2" borderId="3" xfId="0" applyNumberFormat="1" applyFont="1" applyFill="1" applyBorder="1" applyProtection="1"/>
    <xf numFmtId="167" fontId="30" fillId="0" borderId="60" xfId="0" applyNumberFormat="1" applyFont="1" applyBorder="1"/>
    <xf numFmtId="167" fontId="30" fillId="0" borderId="65" xfId="0" applyNumberFormat="1" applyFont="1" applyBorder="1"/>
    <xf numFmtId="0" fontId="31" fillId="6" borderId="30" xfId="0" applyFont="1" applyFill="1" applyBorder="1" applyAlignment="1">
      <alignment horizontal="centerContinuous"/>
    </xf>
    <xf numFmtId="0" fontId="29" fillId="6" borderId="30" xfId="0" applyFont="1" applyFill="1" applyBorder="1" applyAlignment="1">
      <alignment horizontal="center"/>
    </xf>
    <xf numFmtId="0" fontId="37" fillId="6" borderId="30" xfId="0" applyFont="1" applyFill="1" applyBorder="1" applyAlignment="1">
      <alignment horizontal="centerContinuous"/>
    </xf>
    <xf numFmtId="0" fontId="0" fillId="0" borderId="65" xfId="0" applyBorder="1"/>
    <xf numFmtId="0" fontId="0" fillId="0" borderId="73" xfId="0" applyBorder="1"/>
    <xf numFmtId="172" fontId="30" fillId="0" borderId="141" xfId="0" applyNumberFormat="1" applyFont="1" applyBorder="1"/>
    <xf numFmtId="0" fontId="34" fillId="0" borderId="110" xfId="0" applyFont="1" applyBorder="1"/>
    <xf numFmtId="0" fontId="30" fillId="0" borderId="54" xfId="0" applyFont="1" applyBorder="1"/>
    <xf numFmtId="0" fontId="34" fillId="0" borderId="11" xfId="0" applyFont="1" applyBorder="1"/>
    <xf numFmtId="167" fontId="30" fillId="0" borderId="39" xfId="0" applyNumberFormat="1" applyFont="1" applyBorder="1"/>
    <xf numFmtId="0" fontId="34" fillId="0" borderId="44" xfId="0" applyFont="1" applyBorder="1"/>
    <xf numFmtId="167" fontId="5" fillId="0" borderId="104" xfId="0" applyNumberFormat="1" applyFont="1" applyBorder="1"/>
    <xf numFmtId="167" fontId="7" fillId="0" borderId="26" xfId="0" applyNumberFormat="1" applyFont="1" applyBorder="1"/>
    <xf numFmtId="0" fontId="30" fillId="0" borderId="13" xfId="0" applyFont="1" applyBorder="1" applyAlignment="1">
      <alignment horizontal="left"/>
    </xf>
    <xf numFmtId="0" fontId="30" fillId="0" borderId="14" xfId="0" applyFont="1" applyBorder="1"/>
    <xf numFmtId="0" fontId="30" fillId="0" borderId="58" xfId="0" applyFont="1" applyBorder="1" applyAlignment="1">
      <alignment horizontal="left"/>
    </xf>
    <xf numFmtId="0" fontId="29" fillId="0" borderId="64" xfId="0" applyFont="1" applyBorder="1"/>
    <xf numFmtId="0" fontId="0" fillId="0" borderId="119" xfId="0" quotePrefix="1" applyBorder="1" applyAlignment="1">
      <alignment horizontal="left"/>
    </xf>
    <xf numFmtId="167" fontId="5" fillId="0" borderId="55" xfId="0" applyNumberFormat="1" applyFont="1" applyBorder="1"/>
    <xf numFmtId="167" fontId="5" fillId="0" borderId="39" xfId="0" applyNumberFormat="1" applyFont="1" applyBorder="1"/>
    <xf numFmtId="0" fontId="16" fillId="0" borderId="83" xfId="0" applyFont="1" applyBorder="1"/>
    <xf numFmtId="167" fontId="5" fillId="0" borderId="61" xfId="0" applyNumberFormat="1" applyFont="1" applyBorder="1"/>
    <xf numFmtId="167" fontId="16" fillId="0" borderId="104" xfId="0" applyNumberFormat="1" applyFont="1" applyBorder="1"/>
    <xf numFmtId="167" fontId="16" fillId="0" borderId="81" xfId="0" applyNumberFormat="1" applyFont="1" applyBorder="1"/>
    <xf numFmtId="167" fontId="29" fillId="0" borderId="55" xfId="0" applyNumberFormat="1" applyFont="1" applyBorder="1" applyAlignment="1">
      <alignment horizontal="center"/>
    </xf>
    <xf numFmtId="167" fontId="29" fillId="0" borderId="173" xfId="0" applyNumberFormat="1" applyFont="1" applyBorder="1" applyAlignment="1">
      <alignment horizontal="center"/>
    </xf>
    <xf numFmtId="167" fontId="29" fillId="0" borderId="174" xfId="0" applyNumberFormat="1" applyFont="1" applyBorder="1" applyAlignment="1">
      <alignment horizontal="center"/>
    </xf>
    <xf numFmtId="167" fontId="29" fillId="0" borderId="40" xfId="0" applyNumberFormat="1" applyFont="1" applyBorder="1" applyAlignment="1">
      <alignment horizontal="center"/>
    </xf>
    <xf numFmtId="167" fontId="29" fillId="0" borderId="46" xfId="0" applyNumberFormat="1" applyFont="1" applyBorder="1" applyAlignment="1">
      <alignment horizontal="center"/>
    </xf>
    <xf numFmtId="167" fontId="29" fillId="0" borderId="106" xfId="0" applyNumberFormat="1" applyFont="1" applyBorder="1" applyAlignment="1">
      <alignment horizontal="center"/>
    </xf>
    <xf numFmtId="167" fontId="29" fillId="0" borderId="61" xfId="0" applyNumberFormat="1" applyFont="1" applyBorder="1" applyAlignment="1">
      <alignment horizontal="center"/>
    </xf>
    <xf numFmtId="167" fontId="29" fillId="0" borderId="65" xfId="0" applyNumberFormat="1" applyFont="1" applyBorder="1" applyAlignment="1">
      <alignment horizontal="center"/>
    </xf>
    <xf numFmtId="167" fontId="7" fillId="2" borderId="112" xfId="0" applyNumberFormat="1" applyFont="1" applyFill="1" applyBorder="1"/>
    <xf numFmtId="0" fontId="7" fillId="2" borderId="0" xfId="0" applyFont="1" applyFill="1" applyBorder="1"/>
    <xf numFmtId="0" fontId="7" fillId="0" borderId="138" xfId="0" applyFont="1" applyBorder="1"/>
    <xf numFmtId="179" fontId="63" fillId="0" borderId="0" xfId="0" applyNumberFormat="1" applyFont="1" applyBorder="1" applyAlignment="1">
      <alignment horizontal="right"/>
    </xf>
    <xf numFmtId="179" fontId="63" fillId="0" borderId="0" xfId="0" applyNumberFormat="1" applyFont="1" applyBorder="1" applyAlignment="1">
      <alignment horizontal="left"/>
    </xf>
    <xf numFmtId="0" fontId="64" fillId="0" borderId="0" xfId="0" applyFont="1"/>
    <xf numFmtId="0" fontId="63" fillId="10" borderId="0" xfId="0" applyFont="1" applyFill="1" applyAlignment="1">
      <alignment horizontal="left"/>
    </xf>
    <xf numFmtId="0" fontId="63" fillId="10" borderId="0" xfId="0" applyFont="1" applyFill="1" applyAlignment="1">
      <alignment horizontal="right"/>
    </xf>
    <xf numFmtId="167" fontId="63" fillId="0" borderId="0" xfId="0" applyNumberFormat="1" applyFont="1" applyAlignment="1">
      <alignment horizontal="center" wrapText="1"/>
    </xf>
    <xf numFmtId="167" fontId="65" fillId="0" borderId="12" xfId="0" applyNumberFormat="1" applyFont="1" applyBorder="1" applyAlignment="1">
      <alignment horizontal="center"/>
    </xf>
    <xf numFmtId="0" fontId="64" fillId="0" borderId="0" xfId="0" applyFont="1" applyAlignment="1">
      <alignment horizontal="center"/>
    </xf>
    <xf numFmtId="0" fontId="64" fillId="0" borderId="0" xfId="0" applyFont="1" applyBorder="1"/>
    <xf numFmtId="0" fontId="63" fillId="10" borderId="0" xfId="0" applyFont="1" applyFill="1" applyAlignment="1">
      <alignment horizontal="center"/>
    </xf>
    <xf numFmtId="0" fontId="63" fillId="0" borderId="0" xfId="0" applyFont="1" applyFill="1" applyAlignment="1">
      <alignment horizontal="center"/>
    </xf>
    <xf numFmtId="0" fontId="64" fillId="0" borderId="0" xfId="0" applyFont="1" applyFill="1"/>
    <xf numFmtId="0" fontId="64" fillId="0" borderId="0" xfId="0" applyFont="1" applyFill="1" applyAlignment="1">
      <alignment horizontal="center"/>
    </xf>
    <xf numFmtId="167" fontId="63" fillId="10" borderId="0" xfId="0" applyNumberFormat="1" applyFont="1" applyFill="1" applyAlignment="1">
      <alignment horizontal="center"/>
    </xf>
    <xf numFmtId="167" fontId="63" fillId="0" borderId="0" xfId="0" applyNumberFormat="1" applyFont="1" applyFill="1" applyAlignment="1">
      <alignment horizontal="center"/>
    </xf>
    <xf numFmtId="2" fontId="41" fillId="2" borderId="0" xfId="0" applyNumberFormat="1" applyFont="1" applyFill="1" applyBorder="1" applyProtection="1"/>
    <xf numFmtId="167" fontId="63" fillId="2" borderId="0" xfId="0" applyNumberFormat="1" applyFont="1" applyFill="1" applyBorder="1" applyAlignment="1" applyProtection="1">
      <alignment horizontal="center"/>
    </xf>
    <xf numFmtId="166" fontId="63" fillId="2" borderId="0" xfId="0" applyNumberFormat="1" applyFont="1" applyFill="1" applyBorder="1" applyAlignment="1" applyProtection="1">
      <alignment horizontal="center"/>
    </xf>
    <xf numFmtId="2" fontId="63" fillId="0" borderId="0" xfId="0" applyNumberFormat="1" applyFont="1" applyAlignment="1">
      <alignment horizontal="center"/>
    </xf>
    <xf numFmtId="167" fontId="63" fillId="0" borderId="0" xfId="0" quotePrefix="1" applyNumberFormat="1" applyFont="1" applyBorder="1" applyAlignment="1">
      <alignment horizontal="center"/>
    </xf>
    <xf numFmtId="0" fontId="64" fillId="10" borderId="0" xfId="0" applyFont="1" applyFill="1"/>
    <xf numFmtId="0" fontId="63" fillId="10" borderId="0" xfId="0" applyFont="1" applyFill="1" applyBorder="1" applyAlignment="1">
      <alignment horizontal="center"/>
    </xf>
    <xf numFmtId="1" fontId="63" fillId="10" borderId="61" xfId="0" applyNumberFormat="1" applyFont="1" applyFill="1" applyBorder="1" applyAlignment="1">
      <alignment horizontal="center"/>
    </xf>
    <xf numFmtId="1" fontId="63" fillId="0" borderId="61" xfId="0" applyNumberFormat="1" applyFont="1" applyBorder="1" applyAlignment="1">
      <alignment horizontal="center"/>
    </xf>
    <xf numFmtId="167" fontId="64" fillId="0" borderId="0" xfId="0" applyNumberFormat="1" applyFont="1" applyBorder="1" applyAlignment="1">
      <alignment horizontal="center"/>
    </xf>
    <xf numFmtId="167" fontId="63" fillId="0" borderId="61" xfId="0" applyNumberFormat="1" applyFont="1" applyBorder="1" applyAlignment="1"/>
    <xf numFmtId="167" fontId="63" fillId="0" borderId="61" xfId="0" applyNumberFormat="1" applyFont="1" applyBorder="1" applyAlignment="1">
      <alignment horizontal="center"/>
    </xf>
    <xf numFmtId="0" fontId="64" fillId="0" borderId="0" xfId="0" applyFont="1" applyAlignment="1">
      <alignment horizontal="right"/>
    </xf>
    <xf numFmtId="0" fontId="63" fillId="10" borderId="61" xfId="0" applyFont="1" applyFill="1" applyBorder="1" applyAlignment="1">
      <alignment horizontal="center"/>
    </xf>
    <xf numFmtId="167" fontId="64" fillId="0" borderId="0" xfId="0" applyNumberFormat="1" applyFont="1"/>
    <xf numFmtId="49" fontId="7" fillId="0" borderId="0" xfId="0" applyNumberFormat="1" applyFont="1" applyAlignment="1">
      <alignment horizontal="center" shrinkToFit="1"/>
    </xf>
    <xf numFmtId="0" fontId="41" fillId="0" borderId="0" xfId="0" applyFont="1" applyBorder="1"/>
    <xf numFmtId="0" fontId="8" fillId="0" borderId="6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42" fillId="0" borderId="7" xfId="0" applyFont="1" applyBorder="1"/>
    <xf numFmtId="0" fontId="44" fillId="0" borderId="54" xfId="0" applyFont="1" applyBorder="1"/>
    <xf numFmtId="0" fontId="0" fillId="0" borderId="31" xfId="0" applyBorder="1"/>
    <xf numFmtId="0" fontId="0" fillId="0" borderId="29" xfId="0" applyBorder="1"/>
    <xf numFmtId="186" fontId="7" fillId="0" borderId="0" xfId="0" applyNumberFormat="1" applyFont="1" applyBorder="1" applyAlignment="1">
      <alignment horizontal="right"/>
    </xf>
    <xf numFmtId="164" fontId="56" fillId="0" borderId="116" xfId="0" applyNumberFormat="1" applyFont="1" applyFill="1" applyBorder="1" applyAlignment="1">
      <alignment horizontal="left"/>
    </xf>
    <xf numFmtId="172" fontId="11" fillId="0" borderId="130" xfId="0" applyNumberFormat="1" applyFont="1" applyBorder="1"/>
    <xf numFmtId="167" fontId="16" fillId="0" borderId="43" xfId="0" applyNumberFormat="1" applyFont="1" applyBorder="1"/>
    <xf numFmtId="172" fontId="16" fillId="0" borderId="58" xfId="0" applyNumberFormat="1" applyFont="1" applyBorder="1"/>
    <xf numFmtId="0" fontId="30" fillId="0" borderId="46" xfId="0" applyFont="1" applyBorder="1"/>
    <xf numFmtId="0" fontId="30" fillId="0" borderId="61" xfId="0" applyFont="1" applyBorder="1" applyAlignment="1">
      <alignment horizontal="left"/>
    </xf>
    <xf numFmtId="0" fontId="15" fillId="0" borderId="8" xfId="0" applyFont="1" applyBorder="1"/>
    <xf numFmtId="0" fontId="0" fillId="0" borderId="175" xfId="0" applyBorder="1"/>
    <xf numFmtId="0" fontId="57" fillId="0" borderId="176" xfId="0" applyFont="1" applyBorder="1"/>
    <xf numFmtId="0" fontId="49" fillId="0" borderId="131" xfId="0" applyFont="1" applyBorder="1" applyAlignment="1">
      <alignment horizontal="center"/>
    </xf>
    <xf numFmtId="0" fontId="51" fillId="0" borderId="22" xfId="0" applyFont="1" applyBorder="1"/>
    <xf numFmtId="0" fontId="49" fillId="0" borderId="14" xfId="0" applyFont="1" applyBorder="1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60" xfId="0" applyBorder="1" applyAlignment="1">
      <alignment horizontal="center"/>
    </xf>
    <xf numFmtId="0" fontId="0" fillId="0" borderId="62" xfId="0" applyBorder="1" applyAlignment="1">
      <alignment horizontal="center"/>
    </xf>
    <xf numFmtId="0" fontId="0" fillId="0" borderId="63" xfId="0" applyBorder="1" applyAlignment="1">
      <alignment horizontal="center"/>
    </xf>
    <xf numFmtId="167" fontId="29" fillId="0" borderId="81" xfId="0" applyNumberFormat="1" applyFont="1" applyBorder="1" applyAlignment="1">
      <alignment horizontal="center"/>
    </xf>
    <xf numFmtId="167" fontId="29" fillId="0" borderId="82" xfId="0" applyNumberFormat="1" applyFont="1" applyBorder="1" applyAlignment="1">
      <alignment horizontal="center"/>
    </xf>
    <xf numFmtId="0" fontId="0" fillId="0" borderId="104" xfId="0" applyBorder="1"/>
    <xf numFmtId="0" fontId="50" fillId="0" borderId="114" xfId="0" applyFont="1" applyBorder="1"/>
    <xf numFmtId="0" fontId="30" fillId="0" borderId="0" xfId="0" applyFont="1" applyBorder="1" applyAlignment="1">
      <alignment horizontal="left"/>
    </xf>
    <xf numFmtId="166" fontId="30" fillId="0" borderId="62" xfId="0" applyNumberFormat="1" applyFont="1" applyBorder="1"/>
    <xf numFmtId="166" fontId="30" fillId="0" borderId="177" xfId="0" applyNumberFormat="1" applyFont="1" applyBorder="1"/>
    <xf numFmtId="166" fontId="30" fillId="0" borderId="177" xfId="0" applyNumberFormat="1" applyFont="1" applyFill="1" applyBorder="1" applyAlignment="1"/>
    <xf numFmtId="166" fontId="30" fillId="0" borderId="178" xfId="0" applyNumberFormat="1" applyFont="1" applyFill="1" applyBorder="1" applyAlignment="1"/>
    <xf numFmtId="0" fontId="11" fillId="0" borderId="90" xfId="0" applyFont="1" applyBorder="1"/>
    <xf numFmtId="0" fontId="0" fillId="0" borderId="0" xfId="0" quotePrefix="1" applyAlignment="1" applyProtection="1">
      <alignment horizontal="left"/>
      <protection locked="0"/>
    </xf>
    <xf numFmtId="0" fontId="0" fillId="0" borderId="0" xfId="0" quotePrefix="1" applyAlignment="1">
      <alignment horizontal="fill"/>
    </xf>
    <xf numFmtId="0" fontId="46" fillId="0" borderId="0" xfId="0" quotePrefix="1" applyFont="1" applyAlignment="1">
      <alignment horizontal="fill"/>
    </xf>
    <xf numFmtId="0" fontId="46" fillId="0" borderId="0" xfId="0" applyFont="1" applyAlignment="1"/>
    <xf numFmtId="179" fontId="63" fillId="0" borderId="0" xfId="0" applyNumberFormat="1" applyFont="1" applyBorder="1" applyAlignment="1">
      <alignment horizontal="center"/>
    </xf>
    <xf numFmtId="166" fontId="53" fillId="0" borderId="29" xfId="0" applyNumberFormat="1" applyFont="1" applyFill="1" applyBorder="1" applyProtection="1">
      <protection locked="0"/>
    </xf>
    <xf numFmtId="0" fontId="0" fillId="0" borderId="79" xfId="0" applyBorder="1"/>
    <xf numFmtId="0" fontId="0" fillId="0" borderId="60" xfId="0" applyBorder="1"/>
    <xf numFmtId="0" fontId="0" fillId="0" borderId="61" xfId="0" applyBorder="1"/>
    <xf numFmtId="0" fontId="31" fillId="6" borderId="85" xfId="0" applyFont="1" applyFill="1" applyBorder="1" applyAlignment="1">
      <alignment horizontal="centerContinuous"/>
    </xf>
    <xf numFmtId="0" fontId="30" fillId="0" borderId="82" xfId="0" applyFont="1" applyBorder="1"/>
    <xf numFmtId="0" fontId="0" fillId="0" borderId="63" xfId="0" applyBorder="1"/>
    <xf numFmtId="166" fontId="30" fillId="0" borderId="73" xfId="0" applyNumberFormat="1" applyFont="1" applyBorder="1"/>
    <xf numFmtId="0" fontId="31" fillId="6" borderId="1" xfId="0" applyFont="1" applyFill="1" applyBorder="1" applyAlignment="1">
      <alignment horizontal="left"/>
    </xf>
    <xf numFmtId="0" fontId="6" fillId="5" borderId="1" xfId="0" applyFont="1" applyFill="1" applyBorder="1"/>
    <xf numFmtId="0" fontId="36" fillId="6" borderId="1" xfId="0" applyFont="1" applyFill="1" applyBorder="1" applyAlignment="1">
      <alignment horizontal="centerContinuous"/>
    </xf>
    <xf numFmtId="167" fontId="0" fillId="0" borderId="31" xfId="0" applyNumberFormat="1" applyBorder="1"/>
    <xf numFmtId="166" fontId="30" fillId="0" borderId="104" xfId="0" applyNumberFormat="1" applyFont="1" applyBorder="1"/>
    <xf numFmtId="0" fontId="6" fillId="0" borderId="2" xfId="0" applyFont="1" applyBorder="1" applyAlignment="1">
      <alignment horizontal="center"/>
    </xf>
    <xf numFmtId="0" fontId="7" fillId="0" borderId="6" xfId="0" applyFont="1" applyBorder="1"/>
    <xf numFmtId="0" fontId="7" fillId="0" borderId="139" xfId="0" applyFont="1" applyBorder="1"/>
    <xf numFmtId="0" fontId="0" fillId="0" borderId="114" xfId="0" applyBorder="1"/>
    <xf numFmtId="0" fontId="0" fillId="0" borderId="143" xfId="0" applyBorder="1"/>
    <xf numFmtId="0" fontId="11" fillId="0" borderId="48" xfId="0" applyFont="1" applyBorder="1"/>
    <xf numFmtId="166" fontId="0" fillId="0" borderId="62" xfId="0" applyNumberFormat="1" applyBorder="1"/>
    <xf numFmtId="0" fontId="16" fillId="0" borderId="11" xfId="0" quotePrefix="1" applyFont="1" applyBorder="1" applyAlignment="1">
      <alignment horizontal="left"/>
    </xf>
    <xf numFmtId="167" fontId="7" fillId="0" borderId="2" xfId="0" applyNumberFormat="1" applyFont="1" applyBorder="1"/>
    <xf numFmtId="0" fontId="16" fillId="0" borderId="14" xfId="0" applyFont="1" applyBorder="1"/>
    <xf numFmtId="166" fontId="30" fillId="0" borderId="74" xfId="0" applyNumberFormat="1" applyFont="1" applyBorder="1"/>
    <xf numFmtId="167" fontId="0" fillId="0" borderId="0" xfId="0" applyNumberFormat="1" applyBorder="1"/>
    <xf numFmtId="0" fontId="7" fillId="0" borderId="2" xfId="0" applyFont="1" applyBorder="1" applyAlignment="1">
      <alignment horizontal="left"/>
    </xf>
    <xf numFmtId="0" fontId="8" fillId="0" borderId="0" xfId="0" applyFont="1" applyAlignment="1"/>
    <xf numFmtId="0" fontId="66" fillId="0" borderId="0" xfId="0" applyFont="1"/>
    <xf numFmtId="0" fontId="0" fillId="0" borderId="55" xfId="0" applyBorder="1" applyAlignment="1">
      <alignment horizontal="center"/>
    </xf>
    <xf numFmtId="0" fontId="0" fillId="0" borderId="139" xfId="0" applyBorder="1" applyAlignment="1">
      <alignment horizontal="center"/>
    </xf>
    <xf numFmtId="0" fontId="0" fillId="0" borderId="108" xfId="0" applyBorder="1" applyAlignment="1">
      <alignment horizontal="center"/>
    </xf>
    <xf numFmtId="164" fontId="16" fillId="0" borderId="39" xfId="0" applyNumberFormat="1" applyFont="1" applyBorder="1"/>
    <xf numFmtId="164" fontId="0" fillId="0" borderId="4" xfId="0" applyNumberFormat="1" applyBorder="1"/>
    <xf numFmtId="164" fontId="0" fillId="0" borderId="144" xfId="0" applyNumberFormat="1" applyBorder="1"/>
    <xf numFmtId="166" fontId="0" fillId="0" borderId="73" xfId="0" applyNumberFormat="1" applyBorder="1"/>
    <xf numFmtId="166" fontId="0" fillId="0" borderId="179" xfId="0" applyNumberFormat="1" applyBorder="1"/>
    <xf numFmtId="166" fontId="0" fillId="0" borderId="180" xfId="0" applyNumberFormat="1" applyBorder="1"/>
    <xf numFmtId="166" fontId="0" fillId="3" borderId="111" xfId="0" applyNumberFormat="1" applyFill="1" applyBorder="1"/>
    <xf numFmtId="166" fontId="0" fillId="3" borderId="180" xfId="0" applyNumberFormat="1" applyFill="1" applyBorder="1"/>
    <xf numFmtId="166" fontId="0" fillId="0" borderId="111" xfId="0" applyNumberFormat="1" applyBorder="1" applyProtection="1">
      <protection locked="0"/>
    </xf>
    <xf numFmtId="166" fontId="0" fillId="0" borderId="111" xfId="0" applyNumberFormat="1" applyBorder="1"/>
    <xf numFmtId="166" fontId="0" fillId="0" borderId="102" xfId="0" applyNumberFormat="1" applyBorder="1" applyProtection="1">
      <protection locked="0"/>
    </xf>
    <xf numFmtId="166" fontId="0" fillId="0" borderId="102" xfId="0" applyNumberFormat="1" applyBorder="1"/>
    <xf numFmtId="166" fontId="0" fillId="0" borderId="109" xfId="0" applyNumberFormat="1" applyBorder="1"/>
    <xf numFmtId="164" fontId="0" fillId="0" borderId="139" xfId="0" applyNumberFormat="1" applyBorder="1" applyAlignment="1">
      <alignment horizontal="center"/>
    </xf>
    <xf numFmtId="1" fontId="0" fillId="0" borderId="108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181" xfId="0" applyNumberFormat="1" applyBorder="1" applyAlignment="1">
      <alignment horizontal="center"/>
    </xf>
    <xf numFmtId="37" fontId="7" fillId="0" borderId="0" xfId="0" applyNumberFormat="1" applyFont="1" applyFill="1" applyBorder="1" applyProtection="1">
      <protection locked="0"/>
    </xf>
    <xf numFmtId="0" fontId="7" fillId="0" borderId="36" xfId="0" quotePrefix="1" applyFont="1" applyBorder="1" applyAlignment="1">
      <alignment horizontal="center"/>
    </xf>
    <xf numFmtId="166" fontId="30" fillId="0" borderId="4" xfId="0" applyNumberFormat="1" applyFont="1" applyFill="1" applyBorder="1" applyAlignment="1" applyProtection="1"/>
    <xf numFmtId="0" fontId="0" fillId="0" borderId="102" xfId="0" applyBorder="1"/>
    <xf numFmtId="0" fontId="0" fillId="0" borderId="74" xfId="0" applyBorder="1"/>
    <xf numFmtId="0" fontId="16" fillId="2" borderId="48" xfId="0" applyFont="1" applyFill="1" applyBorder="1"/>
    <xf numFmtId="0" fontId="16" fillId="2" borderId="49" xfId="0" applyFont="1" applyFill="1" applyBorder="1"/>
    <xf numFmtId="166" fontId="16" fillId="2" borderId="182" xfId="0" applyNumberFormat="1" applyFont="1" applyFill="1" applyBorder="1" applyProtection="1"/>
    <xf numFmtId="166" fontId="16" fillId="2" borderId="183" xfId="0" applyNumberFormat="1" applyFont="1" applyFill="1" applyBorder="1" applyProtection="1"/>
    <xf numFmtId="0" fontId="7" fillId="2" borderId="0" xfId="0" applyFont="1" applyFill="1" applyBorder="1" applyProtection="1"/>
    <xf numFmtId="0" fontId="58" fillId="2" borderId="48" xfId="0" applyFont="1" applyFill="1" applyBorder="1"/>
    <xf numFmtId="0" fontId="58" fillId="2" borderId="49" xfId="0" applyFont="1" applyFill="1" applyBorder="1"/>
    <xf numFmtId="166" fontId="58" fillId="2" borderId="182" xfId="0" applyNumberFormat="1" applyFont="1" applyFill="1" applyBorder="1" applyProtection="1"/>
    <xf numFmtId="166" fontId="58" fillId="2" borderId="183" xfId="0" applyNumberFormat="1" applyFont="1" applyFill="1" applyBorder="1" applyProtection="1"/>
    <xf numFmtId="166" fontId="16" fillId="2" borderId="184" xfId="0" applyNumberFormat="1" applyFont="1" applyFill="1" applyBorder="1" applyProtection="1"/>
    <xf numFmtId="166" fontId="16" fillId="2" borderId="185" xfId="0" applyNumberFormat="1" applyFont="1" applyFill="1" applyBorder="1" applyProtection="1"/>
    <xf numFmtId="166" fontId="16" fillId="2" borderId="186" xfId="0" applyNumberFormat="1" applyFont="1" applyFill="1" applyBorder="1" applyProtection="1"/>
    <xf numFmtId="2" fontId="16" fillId="2" borderId="96" xfId="0" applyNumberFormat="1" applyFont="1" applyFill="1" applyBorder="1" applyProtection="1"/>
    <xf numFmtId="2" fontId="16" fillId="2" borderId="184" xfId="0" applyNumberFormat="1" applyFont="1" applyFill="1" applyBorder="1" applyProtection="1"/>
    <xf numFmtId="167" fontId="11" fillId="0" borderId="175" xfId="0" applyNumberFormat="1" applyFont="1" applyBorder="1"/>
    <xf numFmtId="167" fontId="11" fillId="0" borderId="187" xfId="0" applyNumberFormat="1" applyFont="1" applyBorder="1"/>
    <xf numFmtId="172" fontId="30" fillId="0" borderId="65" xfId="0" applyNumberFormat="1" applyFont="1" applyBorder="1"/>
    <xf numFmtId="167" fontId="29" fillId="0" borderId="3" xfId="0" applyNumberFormat="1" applyFont="1" applyBorder="1" applyAlignment="1">
      <alignment horizontal="center"/>
    </xf>
    <xf numFmtId="0" fontId="63" fillId="0" borderId="44" xfId="0" quotePrefix="1" applyFont="1" applyBorder="1" applyAlignment="1">
      <alignment horizontal="left"/>
    </xf>
    <xf numFmtId="0" fontId="7" fillId="0" borderId="59" xfId="0" applyFont="1" applyBorder="1"/>
    <xf numFmtId="0" fontId="29" fillId="6" borderId="67" xfId="0" quotePrefix="1" applyFont="1" applyFill="1" applyBorder="1" applyAlignment="1">
      <alignment horizontal="center"/>
    </xf>
    <xf numFmtId="0" fontId="29" fillId="0" borderId="119" xfId="0" quotePrefix="1" applyFont="1" applyBorder="1" applyAlignment="1">
      <alignment horizontal="left"/>
    </xf>
    <xf numFmtId="0" fontId="30" fillId="0" borderId="44" xfId="0" quotePrefix="1" applyFont="1" applyBorder="1" applyAlignment="1">
      <alignment horizontal="left"/>
    </xf>
    <xf numFmtId="166" fontId="0" fillId="0" borderId="179" xfId="0" applyNumberFormat="1" applyBorder="1" applyProtection="1">
      <protection locked="0"/>
    </xf>
    <xf numFmtId="9" fontId="15" fillId="0" borderId="0" xfId="0" applyNumberFormat="1" applyFont="1" applyBorder="1" applyAlignment="1">
      <alignment horizontal="center"/>
    </xf>
    <xf numFmtId="0" fontId="7" fillId="0" borderId="0" xfId="0" applyFont="1" applyAlignment="1">
      <alignment horizontal="fill"/>
    </xf>
    <xf numFmtId="172" fontId="0" fillId="0" borderId="52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12.xml><?xml version="1.0" encoding="utf-8"?>
<formControlPr xmlns="http://schemas.microsoft.com/office/spreadsheetml/2009/9/main" objectType="Button" lockText="1"/>
</file>

<file path=xl/ctrlProps/ctrlProp13.xml><?xml version="1.0" encoding="utf-8"?>
<formControlPr xmlns="http://schemas.microsoft.com/office/spreadsheetml/2009/9/main" objectType="Button" lockText="1"/>
</file>

<file path=xl/ctrlProps/ctrlProp14.xml><?xml version="1.0" encoding="utf-8"?>
<formControlPr xmlns="http://schemas.microsoft.com/office/spreadsheetml/2009/9/main" objectType="Button" lockText="1"/>
</file>

<file path=xl/ctrlProps/ctrlProp15.xml><?xml version="1.0" encoding="utf-8"?>
<formControlPr xmlns="http://schemas.microsoft.com/office/spreadsheetml/2009/9/main" objectType="Drop" dropStyle="combo" dx="26" fmlaLink="$K$5" fmlaRange="$AH$1:$AH$6" noThreeD="1" sel="5" val="0"/>
</file>

<file path=xl/ctrlProps/ctrlProp16.xml><?xml version="1.0" encoding="utf-8"?>
<formControlPr xmlns="http://schemas.microsoft.com/office/spreadsheetml/2009/9/main" objectType="Drop" dropStyle="combo" dx="26" fmlaLink="$K$6" fmlaRange="$AH$1:$AH$6" noThreeD="1" sel="5" val="0"/>
</file>

<file path=xl/ctrlProps/ctrlProp17.xml><?xml version="1.0" encoding="utf-8"?>
<formControlPr xmlns="http://schemas.microsoft.com/office/spreadsheetml/2009/9/main" objectType="Drop" dropStyle="combo" dx="26" fmlaLink="$K$7" fmlaRange="$AH$1:$AH$6" noThreeD="1" sel="2" val="0"/>
</file>

<file path=xl/ctrlProps/ctrlProp18.xml><?xml version="1.0" encoding="utf-8"?>
<formControlPr xmlns="http://schemas.microsoft.com/office/spreadsheetml/2009/9/main" objectType="Drop" dropStyle="combo" dx="26" fmlaLink="$K$8" fmlaRange="$AH$1:$AH$6" noThreeD="1" sel="3" val="0"/>
</file>

<file path=xl/ctrlProps/ctrlProp19.xml><?xml version="1.0" encoding="utf-8"?>
<formControlPr xmlns="http://schemas.microsoft.com/office/spreadsheetml/2009/9/main" objectType="Drop" dropStyle="combo" dx="26" fmlaLink="$K$9" fmlaRange="$AH$1:$AH$6" noThreeD="1" sel="5" val="0"/>
</file>

<file path=xl/ctrlProps/ctrlProp2.xml><?xml version="1.0" encoding="utf-8"?>
<formControlPr xmlns="http://schemas.microsoft.com/office/spreadsheetml/2009/9/main" objectType="Button" lockText="1"/>
</file>

<file path=xl/ctrlProps/ctrlProp20.xml><?xml version="1.0" encoding="utf-8"?>
<formControlPr xmlns="http://schemas.microsoft.com/office/spreadsheetml/2009/9/main" objectType="Drop" dropStyle="combo" dx="26" fmlaLink="$K$10" fmlaRange="$AH$1:$AH$6" noThreeD="1" sel="5" val="0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13" Type="http://schemas.openxmlformats.org/officeDocument/2006/relationships/image" Target="../media/image13.emf"/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12" Type="http://schemas.openxmlformats.org/officeDocument/2006/relationships/image" Target="../media/image12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11" Type="http://schemas.openxmlformats.org/officeDocument/2006/relationships/image" Target="../media/image11.emf"/><Relationship Id="rId5" Type="http://schemas.openxmlformats.org/officeDocument/2006/relationships/image" Target="../media/image5.emf"/><Relationship Id="rId10" Type="http://schemas.openxmlformats.org/officeDocument/2006/relationships/image" Target="../media/image10.emf"/><Relationship Id="rId4" Type="http://schemas.openxmlformats.org/officeDocument/2006/relationships/image" Target="../media/image4.emf"/><Relationship Id="rId9" Type="http://schemas.openxmlformats.org/officeDocument/2006/relationships/image" Target="../media/image9.emf"/><Relationship Id="rId14" Type="http://schemas.openxmlformats.org/officeDocument/2006/relationships/image" Target="../media/image14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</xdr:row>
          <xdr:rowOff>0</xdr:rowOff>
        </xdr:from>
        <xdr:to>
          <xdr:col>4</xdr:col>
          <xdr:colOff>533400</xdr:colOff>
          <xdr:row>6</xdr:row>
          <xdr:rowOff>76200</xdr:rowOff>
        </xdr:to>
        <xdr:sp macro="" textlink="">
          <xdr:nvSpPr>
            <xdr:cNvPr id="1034" name="Butto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all 3 sheets of the 6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4</xdr:row>
          <xdr:rowOff>0</xdr:rowOff>
        </xdr:from>
        <xdr:to>
          <xdr:col>6</xdr:col>
          <xdr:colOff>510540</xdr:colOff>
          <xdr:row>6</xdr:row>
          <xdr:rowOff>83820</xdr:rowOff>
        </xdr:to>
        <xdr:sp macro="" textlink="">
          <xdr:nvSpPr>
            <xdr:cNvPr id="1035" name="Button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Create Sheet for New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7</xdr:row>
          <xdr:rowOff>0</xdr:rowOff>
        </xdr:from>
        <xdr:to>
          <xdr:col>6</xdr:col>
          <xdr:colOff>510540</xdr:colOff>
          <xdr:row>9</xdr:row>
          <xdr:rowOff>76200</xdr:rowOff>
        </xdr:to>
        <xdr:sp macro="" textlink="">
          <xdr:nvSpPr>
            <xdr:cNvPr id="1036" name="Button 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Load Another Day's 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0</xdr:rowOff>
        </xdr:from>
        <xdr:to>
          <xdr:col>4</xdr:col>
          <xdr:colOff>533400</xdr:colOff>
          <xdr:row>9</xdr:row>
          <xdr:rowOff>76200</xdr:rowOff>
        </xdr:to>
        <xdr:sp macro="" textlink="">
          <xdr:nvSpPr>
            <xdr:cNvPr id="1037" name="Button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 &amp; NSG 6-Day sheets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0</xdr:rowOff>
        </xdr:from>
        <xdr:to>
          <xdr:col>4</xdr:col>
          <xdr:colOff>533400</xdr:colOff>
          <xdr:row>12</xdr:row>
          <xdr:rowOff>76200</xdr:rowOff>
        </xdr:to>
        <xdr:sp macro="" textlink="">
          <xdr:nvSpPr>
            <xdr:cNvPr id="1038" name="Button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6-Day Summary 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</xdr:row>
          <xdr:rowOff>0</xdr:rowOff>
        </xdr:from>
        <xdr:to>
          <xdr:col>6</xdr:col>
          <xdr:colOff>518160</xdr:colOff>
          <xdr:row>12</xdr:row>
          <xdr:rowOff>76200</xdr:rowOff>
        </xdr:to>
        <xdr:sp macro="" textlink="">
          <xdr:nvSpPr>
            <xdr:cNvPr id="1039" name="Button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NGPL Forecast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</xdr:colOff>
          <xdr:row>13</xdr:row>
          <xdr:rowOff>0</xdr:rowOff>
        </xdr:from>
        <xdr:to>
          <xdr:col>4</xdr:col>
          <xdr:colOff>548640</xdr:colOff>
          <xdr:row>15</xdr:row>
          <xdr:rowOff>76200</xdr:rowOff>
        </xdr:to>
        <xdr:sp macro="" textlink="">
          <xdr:nvSpPr>
            <xdr:cNvPr id="1041" name="Button 17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Gas Summaries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0</xdr:rowOff>
        </xdr:from>
        <xdr:to>
          <xdr:col>4</xdr:col>
          <xdr:colOff>533400</xdr:colOff>
          <xdr:row>18</xdr:row>
          <xdr:rowOff>76200</xdr:rowOff>
        </xdr:to>
        <xdr:sp macro="" textlink="">
          <xdr:nvSpPr>
            <xdr:cNvPr id="1042" name="Button 18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Copy Weather to Network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30480</xdr:colOff>
          <xdr:row>13</xdr:row>
          <xdr:rowOff>0</xdr:rowOff>
        </xdr:from>
        <xdr:to>
          <xdr:col>6</xdr:col>
          <xdr:colOff>548640</xdr:colOff>
          <xdr:row>15</xdr:row>
          <xdr:rowOff>76200</xdr:rowOff>
        </xdr:to>
        <xdr:sp macro="" textlink="">
          <xdr:nvSpPr>
            <xdr:cNvPr id="1043" name="Button 19" hidden="1">
              <a:extLst>
                <a:ext uri="{63B3BB69-23CF-44E3-9099-C40C66FF867C}">
                  <a14:compatExt spid="_x0000_s10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 &amp; NSG Midcon Noms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</xdr:row>
          <xdr:rowOff>0</xdr:rowOff>
        </xdr:from>
        <xdr:to>
          <xdr:col>6</xdr:col>
          <xdr:colOff>518160</xdr:colOff>
          <xdr:row>21</xdr:row>
          <xdr:rowOff>76200</xdr:rowOff>
        </xdr:to>
        <xdr:sp macro="" textlink="">
          <xdr:nvSpPr>
            <xdr:cNvPr id="1046" name="Button 22" hidden="1">
              <a:extLst>
                <a:ext uri="{63B3BB69-23CF-44E3-9099-C40C66FF867C}">
                  <a14:compatExt spid="_x0000_s10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Nine to Nine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</xdr:row>
          <xdr:rowOff>30480</xdr:rowOff>
        </xdr:from>
        <xdr:to>
          <xdr:col>6</xdr:col>
          <xdr:colOff>518160</xdr:colOff>
          <xdr:row>21</xdr:row>
          <xdr:rowOff>106680</xdr:rowOff>
        </xdr:to>
        <xdr:sp macro="" textlink="">
          <xdr:nvSpPr>
            <xdr:cNvPr id="1047" name="Button 23" hidden="1">
              <a:extLst>
                <a:ext uri="{63B3BB69-23CF-44E3-9099-C40C66FF867C}">
                  <a14:compatExt spid="_x0000_s10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NSG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Nine to Nine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</xdr:row>
          <xdr:rowOff>0</xdr:rowOff>
        </xdr:from>
        <xdr:to>
          <xdr:col>6</xdr:col>
          <xdr:colOff>518160</xdr:colOff>
          <xdr:row>18</xdr:row>
          <xdr:rowOff>76200</xdr:rowOff>
        </xdr:to>
        <xdr:sp macro="" textlink="">
          <xdr:nvSpPr>
            <xdr:cNvPr id="1048" name="Button 24" hidden="1">
              <a:extLst>
                <a:ext uri="{63B3BB69-23CF-44E3-9099-C40C66FF867C}">
                  <a14:compatExt spid="_x0000_s10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Nine to Nine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30480</xdr:rowOff>
        </xdr:from>
        <xdr:to>
          <xdr:col>4</xdr:col>
          <xdr:colOff>533400</xdr:colOff>
          <xdr:row>21</xdr:row>
          <xdr:rowOff>106680</xdr:rowOff>
        </xdr:to>
        <xdr:sp macro="" textlink="">
          <xdr:nvSpPr>
            <xdr:cNvPr id="1051" name="Button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Billy 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</xdr:colOff>
          <xdr:row>22</xdr:row>
          <xdr:rowOff>106680</xdr:rowOff>
        </xdr:from>
        <xdr:to>
          <xdr:col>4</xdr:col>
          <xdr:colOff>541020</xdr:colOff>
          <xdr:row>24</xdr:row>
          <xdr:rowOff>182880</xdr:rowOff>
        </xdr:to>
        <xdr:sp macro="" textlink="">
          <xdr:nvSpPr>
            <xdr:cNvPr id="1052" name="Button 28" hidden="1">
              <a:extLst>
                <a:ext uri="{63B3BB69-23CF-44E3-9099-C40C66FF867C}">
                  <a14:compatExt spid="_x0000_s10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Mahomet Pipeline Graphics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4</xdr:row>
          <xdr:rowOff>7620</xdr:rowOff>
        </xdr:from>
        <xdr:to>
          <xdr:col>12</xdr:col>
          <xdr:colOff>0</xdr:colOff>
          <xdr:row>4</xdr:row>
          <xdr:rowOff>198120</xdr:rowOff>
        </xdr:to>
        <xdr:sp macro="" textlink="">
          <xdr:nvSpPr>
            <xdr:cNvPr id="2064" name="Drop Down 16" hidden="1">
              <a:extLst>
                <a:ext uri="{63B3BB69-23CF-44E3-9099-C40C66FF867C}">
                  <a14:compatExt spid="_x0000_s20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5</xdr:row>
          <xdr:rowOff>7620</xdr:rowOff>
        </xdr:from>
        <xdr:to>
          <xdr:col>12</xdr:col>
          <xdr:colOff>0</xdr:colOff>
          <xdr:row>5</xdr:row>
          <xdr:rowOff>198120</xdr:rowOff>
        </xdr:to>
        <xdr:sp macro="" textlink="">
          <xdr:nvSpPr>
            <xdr:cNvPr id="2065" name="Drop Down 17" hidden="1">
              <a:extLst>
                <a:ext uri="{63B3BB69-23CF-44E3-9099-C40C66FF867C}">
                  <a14:compatExt spid="_x0000_s20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6</xdr:row>
          <xdr:rowOff>7620</xdr:rowOff>
        </xdr:from>
        <xdr:to>
          <xdr:col>12</xdr:col>
          <xdr:colOff>0</xdr:colOff>
          <xdr:row>6</xdr:row>
          <xdr:rowOff>198120</xdr:rowOff>
        </xdr:to>
        <xdr:sp macro="" textlink="">
          <xdr:nvSpPr>
            <xdr:cNvPr id="2066" name="Drop Down 18" hidden="1">
              <a:extLst>
                <a:ext uri="{63B3BB69-23CF-44E3-9099-C40C66FF867C}">
                  <a14:compatExt spid="_x0000_s20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7</xdr:row>
          <xdr:rowOff>7620</xdr:rowOff>
        </xdr:from>
        <xdr:to>
          <xdr:col>12</xdr:col>
          <xdr:colOff>0</xdr:colOff>
          <xdr:row>7</xdr:row>
          <xdr:rowOff>198120</xdr:rowOff>
        </xdr:to>
        <xdr:sp macro="" textlink="">
          <xdr:nvSpPr>
            <xdr:cNvPr id="2067" name="Drop Down 19" hidden="1">
              <a:extLst>
                <a:ext uri="{63B3BB69-23CF-44E3-9099-C40C66FF867C}">
                  <a14:compatExt spid="_x0000_s20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8</xdr:row>
          <xdr:rowOff>7620</xdr:rowOff>
        </xdr:from>
        <xdr:to>
          <xdr:col>12</xdr:col>
          <xdr:colOff>0</xdr:colOff>
          <xdr:row>8</xdr:row>
          <xdr:rowOff>198120</xdr:rowOff>
        </xdr:to>
        <xdr:sp macro="" textlink="">
          <xdr:nvSpPr>
            <xdr:cNvPr id="2068" name="Drop Down 20" hidden="1">
              <a:extLst>
                <a:ext uri="{63B3BB69-23CF-44E3-9099-C40C66FF867C}">
                  <a14:compatExt spid="_x0000_s20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9</xdr:row>
          <xdr:rowOff>7620</xdr:rowOff>
        </xdr:from>
        <xdr:to>
          <xdr:col>12</xdr:col>
          <xdr:colOff>0</xdr:colOff>
          <xdr:row>9</xdr:row>
          <xdr:rowOff>198120</xdr:rowOff>
        </xdr:to>
        <xdr:sp macro="" textlink="">
          <xdr:nvSpPr>
            <xdr:cNvPr id="2069" name="Drop Down 21" hidden="1">
              <a:extLst>
                <a:ext uri="{63B3BB69-23CF-44E3-9099-C40C66FF867C}">
                  <a14:compatExt spid="_x0000_s20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86</xdr:col>
      <xdr:colOff>7620</xdr:colOff>
      <xdr:row>3</xdr:row>
      <xdr:rowOff>0</xdr:rowOff>
    </xdr:from>
    <xdr:to>
      <xdr:col>107</xdr:col>
      <xdr:colOff>0</xdr:colOff>
      <xdr:row>75</xdr:row>
      <xdr:rowOff>7620</xdr:rowOff>
    </xdr:to>
    <xdr:pic>
      <xdr:nvPicPr>
        <xdr:cNvPr id="3086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571500"/>
          <a:ext cx="22235160" cy="13891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8</xdr:row>
      <xdr:rowOff>0</xdr:rowOff>
    </xdr:from>
    <xdr:to>
      <xdr:col>107</xdr:col>
      <xdr:colOff>0</xdr:colOff>
      <xdr:row>75</xdr:row>
      <xdr:rowOff>7620</xdr:rowOff>
    </xdr:to>
    <xdr:pic>
      <xdr:nvPicPr>
        <xdr:cNvPr id="3087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1524000"/>
          <a:ext cx="22235160" cy="129387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13</xdr:row>
      <xdr:rowOff>0</xdr:rowOff>
    </xdr:from>
    <xdr:to>
      <xdr:col>107</xdr:col>
      <xdr:colOff>0</xdr:colOff>
      <xdr:row>75</xdr:row>
      <xdr:rowOff>7620</xdr:rowOff>
    </xdr:to>
    <xdr:pic>
      <xdr:nvPicPr>
        <xdr:cNvPr id="3088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2476500"/>
          <a:ext cx="22235160" cy="11986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18</xdr:row>
      <xdr:rowOff>0</xdr:rowOff>
    </xdr:from>
    <xdr:to>
      <xdr:col>107</xdr:col>
      <xdr:colOff>0</xdr:colOff>
      <xdr:row>75</xdr:row>
      <xdr:rowOff>7620</xdr:rowOff>
    </xdr:to>
    <xdr:pic>
      <xdr:nvPicPr>
        <xdr:cNvPr id="3089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3429000"/>
          <a:ext cx="22235160" cy="110337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28</xdr:row>
      <xdr:rowOff>0</xdr:rowOff>
    </xdr:from>
    <xdr:to>
      <xdr:col>107</xdr:col>
      <xdr:colOff>0</xdr:colOff>
      <xdr:row>75</xdr:row>
      <xdr:rowOff>7620</xdr:rowOff>
    </xdr:to>
    <xdr:pic>
      <xdr:nvPicPr>
        <xdr:cNvPr id="3090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5334000"/>
          <a:ext cx="22235160" cy="91287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23</xdr:row>
      <xdr:rowOff>0</xdr:rowOff>
    </xdr:from>
    <xdr:to>
      <xdr:col>107</xdr:col>
      <xdr:colOff>0</xdr:colOff>
      <xdr:row>75</xdr:row>
      <xdr:rowOff>7620</xdr:rowOff>
    </xdr:to>
    <xdr:pic>
      <xdr:nvPicPr>
        <xdr:cNvPr id="3091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4381500"/>
          <a:ext cx="22235160" cy="10081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3</xdr:row>
      <xdr:rowOff>0</xdr:rowOff>
    </xdr:from>
    <xdr:to>
      <xdr:col>107</xdr:col>
      <xdr:colOff>0</xdr:colOff>
      <xdr:row>75</xdr:row>
      <xdr:rowOff>7620</xdr:rowOff>
    </xdr:to>
    <xdr:pic>
      <xdr:nvPicPr>
        <xdr:cNvPr id="3768" name="Picture 69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571500"/>
          <a:ext cx="22235160" cy="13891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8</xdr:row>
      <xdr:rowOff>0</xdr:rowOff>
    </xdr:from>
    <xdr:to>
      <xdr:col>107</xdr:col>
      <xdr:colOff>0</xdr:colOff>
      <xdr:row>75</xdr:row>
      <xdr:rowOff>7620</xdr:rowOff>
    </xdr:to>
    <xdr:pic>
      <xdr:nvPicPr>
        <xdr:cNvPr id="3769" name="Picture 697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1524000"/>
          <a:ext cx="22235160" cy="129387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13</xdr:row>
      <xdr:rowOff>0</xdr:rowOff>
    </xdr:from>
    <xdr:to>
      <xdr:col>107</xdr:col>
      <xdr:colOff>0</xdr:colOff>
      <xdr:row>75</xdr:row>
      <xdr:rowOff>7620</xdr:rowOff>
    </xdr:to>
    <xdr:pic>
      <xdr:nvPicPr>
        <xdr:cNvPr id="3770" name="Picture 698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2476500"/>
          <a:ext cx="22235160" cy="11986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18</xdr:row>
      <xdr:rowOff>0</xdr:rowOff>
    </xdr:from>
    <xdr:to>
      <xdr:col>107</xdr:col>
      <xdr:colOff>0</xdr:colOff>
      <xdr:row>75</xdr:row>
      <xdr:rowOff>7620</xdr:rowOff>
    </xdr:to>
    <xdr:pic>
      <xdr:nvPicPr>
        <xdr:cNvPr id="3771" name="Picture 699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3429000"/>
          <a:ext cx="22235160" cy="110337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28</xdr:row>
      <xdr:rowOff>0</xdr:rowOff>
    </xdr:from>
    <xdr:to>
      <xdr:col>107</xdr:col>
      <xdr:colOff>0</xdr:colOff>
      <xdr:row>75</xdr:row>
      <xdr:rowOff>7620</xdr:rowOff>
    </xdr:to>
    <xdr:pic>
      <xdr:nvPicPr>
        <xdr:cNvPr id="3772" name="Picture 700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5334000"/>
          <a:ext cx="22235160" cy="91287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23</xdr:row>
      <xdr:rowOff>0</xdr:rowOff>
    </xdr:from>
    <xdr:to>
      <xdr:col>107</xdr:col>
      <xdr:colOff>0</xdr:colOff>
      <xdr:row>75</xdr:row>
      <xdr:rowOff>7620</xdr:rowOff>
    </xdr:to>
    <xdr:pic>
      <xdr:nvPicPr>
        <xdr:cNvPr id="3773" name="Picture 701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4381500"/>
          <a:ext cx="22235160" cy="10081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220980</xdr:colOff>
      <xdr:row>3</xdr:row>
      <xdr:rowOff>0</xdr:rowOff>
    </xdr:from>
    <xdr:to>
      <xdr:col>108</xdr:col>
      <xdr:colOff>91440</xdr:colOff>
      <xdr:row>74</xdr:row>
      <xdr:rowOff>190500</xdr:rowOff>
    </xdr:to>
    <xdr:pic>
      <xdr:nvPicPr>
        <xdr:cNvPr id="5755" name="Picture 268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02840" y="571500"/>
          <a:ext cx="22113240" cy="138760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220980</xdr:colOff>
      <xdr:row>8</xdr:row>
      <xdr:rowOff>0</xdr:rowOff>
    </xdr:from>
    <xdr:to>
      <xdr:col>108</xdr:col>
      <xdr:colOff>91440</xdr:colOff>
      <xdr:row>74</xdr:row>
      <xdr:rowOff>190500</xdr:rowOff>
    </xdr:to>
    <xdr:pic>
      <xdr:nvPicPr>
        <xdr:cNvPr id="5756" name="Picture 2684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02840" y="1524000"/>
          <a:ext cx="22113240" cy="129235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220980</xdr:colOff>
      <xdr:row>18</xdr:row>
      <xdr:rowOff>0</xdr:rowOff>
    </xdr:from>
    <xdr:to>
      <xdr:col>108</xdr:col>
      <xdr:colOff>91440</xdr:colOff>
      <xdr:row>74</xdr:row>
      <xdr:rowOff>190500</xdr:rowOff>
    </xdr:to>
    <xdr:pic>
      <xdr:nvPicPr>
        <xdr:cNvPr id="5757" name="Picture 2685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02840" y="3429000"/>
          <a:ext cx="22113240" cy="110185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220980</xdr:colOff>
      <xdr:row>28</xdr:row>
      <xdr:rowOff>0</xdr:rowOff>
    </xdr:from>
    <xdr:to>
      <xdr:col>108</xdr:col>
      <xdr:colOff>91440</xdr:colOff>
      <xdr:row>74</xdr:row>
      <xdr:rowOff>190500</xdr:rowOff>
    </xdr:to>
    <xdr:pic>
      <xdr:nvPicPr>
        <xdr:cNvPr id="5758" name="Picture 2686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02840" y="5334000"/>
          <a:ext cx="22113240" cy="91135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220980</xdr:colOff>
      <xdr:row>23</xdr:row>
      <xdr:rowOff>0</xdr:rowOff>
    </xdr:from>
    <xdr:to>
      <xdr:col>108</xdr:col>
      <xdr:colOff>91440</xdr:colOff>
      <xdr:row>74</xdr:row>
      <xdr:rowOff>190500</xdr:rowOff>
    </xdr:to>
    <xdr:pic>
      <xdr:nvPicPr>
        <xdr:cNvPr id="5759" name="Picture 2687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02840" y="4381500"/>
          <a:ext cx="22113240" cy="100660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220980</xdr:colOff>
      <xdr:row>13</xdr:row>
      <xdr:rowOff>0</xdr:rowOff>
    </xdr:from>
    <xdr:to>
      <xdr:col>108</xdr:col>
      <xdr:colOff>91440</xdr:colOff>
      <xdr:row>74</xdr:row>
      <xdr:rowOff>190500</xdr:rowOff>
    </xdr:to>
    <xdr:pic>
      <xdr:nvPicPr>
        <xdr:cNvPr id="5760" name="Picture 2688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02840" y="2476500"/>
          <a:ext cx="22113240" cy="119710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8</xdr:row>
      <xdr:rowOff>0</xdr:rowOff>
    </xdr:from>
    <xdr:to>
      <xdr:col>108</xdr:col>
      <xdr:colOff>7620</xdr:colOff>
      <xdr:row>13</xdr:row>
      <xdr:rowOff>7620</xdr:rowOff>
    </xdr:to>
    <xdr:pic>
      <xdr:nvPicPr>
        <xdr:cNvPr id="5768" name="PRTLY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65460" y="1524000"/>
          <a:ext cx="1066800" cy="9601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18</xdr:row>
      <xdr:rowOff>0</xdr:rowOff>
    </xdr:from>
    <xdr:to>
      <xdr:col>108</xdr:col>
      <xdr:colOff>7620</xdr:colOff>
      <xdr:row>23</xdr:row>
      <xdr:rowOff>7620</xdr:rowOff>
    </xdr:to>
    <xdr:pic>
      <xdr:nvPicPr>
        <xdr:cNvPr id="5769" name="TSTORM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65460" y="3429000"/>
          <a:ext cx="1066800" cy="9601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28</xdr:row>
      <xdr:rowOff>0</xdr:rowOff>
    </xdr:from>
    <xdr:to>
      <xdr:col>108</xdr:col>
      <xdr:colOff>7620</xdr:colOff>
      <xdr:row>33</xdr:row>
      <xdr:rowOff>7620</xdr:rowOff>
    </xdr:to>
    <xdr:pic>
      <xdr:nvPicPr>
        <xdr:cNvPr id="5770" name="SNOW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65460" y="5334000"/>
          <a:ext cx="1066800" cy="9601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23</xdr:row>
      <xdr:rowOff>0</xdr:rowOff>
    </xdr:from>
    <xdr:to>
      <xdr:col>108</xdr:col>
      <xdr:colOff>7620</xdr:colOff>
      <xdr:row>28</xdr:row>
      <xdr:rowOff>7620</xdr:rowOff>
    </xdr:to>
    <xdr:pic>
      <xdr:nvPicPr>
        <xdr:cNvPr id="5771" name="SUNNY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65460" y="4381500"/>
          <a:ext cx="1066800" cy="9601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13</xdr:row>
      <xdr:rowOff>0</xdr:rowOff>
    </xdr:from>
    <xdr:to>
      <xdr:col>108</xdr:col>
      <xdr:colOff>7620</xdr:colOff>
      <xdr:row>18</xdr:row>
      <xdr:rowOff>7620</xdr:rowOff>
    </xdr:to>
    <xdr:pic>
      <xdr:nvPicPr>
        <xdr:cNvPr id="5772" name="RAIN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65460" y="2476500"/>
          <a:ext cx="1066800" cy="9601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3</xdr:row>
      <xdr:rowOff>0</xdr:rowOff>
    </xdr:from>
    <xdr:to>
      <xdr:col>108</xdr:col>
      <xdr:colOff>7620</xdr:colOff>
      <xdr:row>8</xdr:row>
      <xdr:rowOff>7620</xdr:rowOff>
    </xdr:to>
    <xdr:pic>
      <xdr:nvPicPr>
        <xdr:cNvPr id="5786" name="CLOUDY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65460" y="571500"/>
          <a:ext cx="1066800" cy="9601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 fLocksWithSheet="0"/>
  </xdr:twoCellAnchor>
  <xdr:twoCellAnchor editAs="oneCell">
    <xdr:from>
      <xdr:col>2</xdr:col>
      <xdr:colOff>0</xdr:colOff>
      <xdr:row>4</xdr:row>
      <xdr:rowOff>0</xdr:rowOff>
    </xdr:from>
    <xdr:to>
      <xdr:col>3</xdr:col>
      <xdr:colOff>91440</xdr:colOff>
      <xdr:row>9</xdr:row>
      <xdr:rowOff>99060</xdr:rowOff>
    </xdr:to>
    <xdr:pic>
      <xdr:nvPicPr>
        <xdr:cNvPr id="38881" name="Day_1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2180" y="762000"/>
          <a:ext cx="1150620" cy="1051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3</xdr:col>
      <xdr:colOff>91440</xdr:colOff>
      <xdr:row>14</xdr:row>
      <xdr:rowOff>99060</xdr:rowOff>
    </xdr:to>
    <xdr:pic>
      <xdr:nvPicPr>
        <xdr:cNvPr id="38882" name="Day_2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2180" y="1714500"/>
          <a:ext cx="1150620" cy="1051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3</xdr:col>
      <xdr:colOff>91440</xdr:colOff>
      <xdr:row>19</xdr:row>
      <xdr:rowOff>99060</xdr:rowOff>
    </xdr:to>
    <xdr:pic>
      <xdr:nvPicPr>
        <xdr:cNvPr id="38883" name="Day_3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2180" y="2667000"/>
          <a:ext cx="1150620" cy="1051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3</xdr:col>
      <xdr:colOff>91440</xdr:colOff>
      <xdr:row>24</xdr:row>
      <xdr:rowOff>99060</xdr:rowOff>
    </xdr:to>
    <xdr:pic>
      <xdr:nvPicPr>
        <xdr:cNvPr id="38884" name="Day_4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2180" y="3619500"/>
          <a:ext cx="1150620" cy="1051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24</xdr:row>
      <xdr:rowOff>0</xdr:rowOff>
    </xdr:from>
    <xdr:to>
      <xdr:col>3</xdr:col>
      <xdr:colOff>91440</xdr:colOff>
      <xdr:row>29</xdr:row>
      <xdr:rowOff>99060</xdr:rowOff>
    </xdr:to>
    <xdr:pic>
      <xdr:nvPicPr>
        <xdr:cNvPr id="38885" name="Day_5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2180" y="4572000"/>
          <a:ext cx="1150620" cy="1051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3</xdr:col>
      <xdr:colOff>91440</xdr:colOff>
      <xdr:row>34</xdr:row>
      <xdr:rowOff>83820</xdr:rowOff>
    </xdr:to>
    <xdr:pic>
      <xdr:nvPicPr>
        <xdr:cNvPr id="38886" name="Day_6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2180" y="5524500"/>
          <a:ext cx="1150620" cy="10439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45720</xdr:rowOff>
    </xdr:from>
    <xdr:to>
      <xdr:col>3</xdr:col>
      <xdr:colOff>0</xdr:colOff>
      <xdr:row>7</xdr:row>
      <xdr:rowOff>30480</xdr:rowOff>
    </xdr:to>
    <xdr:sp macro="" textlink="">
      <xdr:nvSpPr>
        <xdr:cNvPr id="32769" name="Line 1"/>
        <xdr:cNvSpPr>
          <a:spLocks noChangeShapeType="1"/>
        </xdr:cNvSpPr>
      </xdr:nvSpPr>
      <xdr:spPr bwMode="auto">
        <a:xfrm>
          <a:off x="2065020" y="304800"/>
          <a:ext cx="0" cy="12496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</xdr:row>
      <xdr:rowOff>68580</xdr:rowOff>
    </xdr:from>
    <xdr:to>
      <xdr:col>5</xdr:col>
      <xdr:colOff>0</xdr:colOff>
      <xdr:row>3</xdr:row>
      <xdr:rowOff>68580</xdr:rowOff>
    </xdr:to>
    <xdr:sp macro="" textlink="">
      <xdr:nvSpPr>
        <xdr:cNvPr id="32770" name="Line 2"/>
        <xdr:cNvSpPr>
          <a:spLocks noChangeShapeType="1"/>
        </xdr:cNvSpPr>
      </xdr:nvSpPr>
      <xdr:spPr bwMode="auto">
        <a:xfrm>
          <a:off x="2065020" y="739140"/>
          <a:ext cx="8686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304800</xdr:colOff>
      <xdr:row>2</xdr:row>
      <xdr:rowOff>167640</xdr:rowOff>
    </xdr:from>
    <xdr:ext cx="423321" cy="141001"/>
    <xdr:sp macro="" textlink="">
      <xdr:nvSpPr>
        <xdr:cNvPr id="32771" name="Text Box 3"/>
        <xdr:cNvSpPr txBox="1">
          <a:spLocks noChangeArrowheads="1"/>
        </xdr:cNvSpPr>
      </xdr:nvSpPr>
      <xdr:spPr bwMode="auto">
        <a:xfrm>
          <a:off x="2369820" y="632460"/>
          <a:ext cx="423321" cy="1410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 OPEN  </a:t>
          </a:r>
        </a:p>
      </xdr:txBody>
    </xdr:sp>
    <xdr:clientData/>
  </xdr:oneCellAnchor>
  <xdr:twoCellAnchor>
    <xdr:from>
      <xdr:col>1</xdr:col>
      <xdr:colOff>7620</xdr:colOff>
      <xdr:row>7</xdr:row>
      <xdr:rowOff>0</xdr:rowOff>
    </xdr:from>
    <xdr:to>
      <xdr:col>4</xdr:col>
      <xdr:colOff>403860</xdr:colOff>
      <xdr:row>7</xdr:row>
      <xdr:rowOff>0</xdr:rowOff>
    </xdr:to>
    <xdr:sp macro="" textlink="">
      <xdr:nvSpPr>
        <xdr:cNvPr id="32773" name="Line 5"/>
        <xdr:cNvSpPr>
          <a:spLocks noChangeShapeType="1"/>
        </xdr:cNvSpPr>
      </xdr:nvSpPr>
      <xdr:spPr bwMode="auto">
        <a:xfrm>
          <a:off x="731520" y="1524000"/>
          <a:ext cx="2202180" cy="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304800</xdr:colOff>
      <xdr:row>6</xdr:row>
      <xdr:rowOff>220980</xdr:rowOff>
    </xdr:from>
    <xdr:ext cx="457200" cy="152400"/>
    <xdr:sp macro="" textlink="">
      <xdr:nvSpPr>
        <xdr:cNvPr id="32776" name="Text Box 8"/>
        <xdr:cNvSpPr txBox="1">
          <a:spLocks noChangeArrowheads="1"/>
        </xdr:cNvSpPr>
      </xdr:nvSpPr>
      <xdr:spPr bwMode="auto">
        <a:xfrm>
          <a:off x="2369820" y="150876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4</xdr:col>
      <xdr:colOff>944880</xdr:colOff>
      <xdr:row>7</xdr:row>
      <xdr:rowOff>0</xdr:rowOff>
    </xdr:from>
    <xdr:to>
      <xdr:col>5</xdr:col>
      <xdr:colOff>0</xdr:colOff>
      <xdr:row>7</xdr:row>
      <xdr:rowOff>0</xdr:rowOff>
    </xdr:to>
    <xdr:sp macro="" textlink="">
      <xdr:nvSpPr>
        <xdr:cNvPr id="32777" name="Line 9"/>
        <xdr:cNvSpPr>
          <a:spLocks noChangeShapeType="1"/>
        </xdr:cNvSpPr>
      </xdr:nvSpPr>
      <xdr:spPr bwMode="auto">
        <a:xfrm>
          <a:off x="2933700" y="1524000"/>
          <a:ext cx="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495300</xdr:colOff>
      <xdr:row>9</xdr:row>
      <xdr:rowOff>45720</xdr:rowOff>
    </xdr:from>
    <xdr:ext cx="335280" cy="152400"/>
    <xdr:sp macro="" textlink="">
      <xdr:nvSpPr>
        <xdr:cNvPr id="32782" name="Text Box 14"/>
        <xdr:cNvSpPr txBox="1">
          <a:spLocks noChangeArrowheads="1"/>
        </xdr:cNvSpPr>
      </xdr:nvSpPr>
      <xdr:spPr bwMode="auto">
        <a:xfrm>
          <a:off x="1219200" y="193548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7620</xdr:colOff>
      <xdr:row>11</xdr:row>
      <xdr:rowOff>22860</xdr:rowOff>
    </xdr:from>
    <xdr:to>
      <xdr:col>5</xdr:col>
      <xdr:colOff>15240</xdr:colOff>
      <xdr:row>11</xdr:row>
      <xdr:rowOff>22860</xdr:rowOff>
    </xdr:to>
    <xdr:sp macro="" textlink="">
      <xdr:nvSpPr>
        <xdr:cNvPr id="32785" name="Line 17"/>
        <xdr:cNvSpPr>
          <a:spLocks noChangeShapeType="1"/>
        </xdr:cNvSpPr>
      </xdr:nvSpPr>
      <xdr:spPr bwMode="auto">
        <a:xfrm flipV="1">
          <a:off x="731520" y="2324100"/>
          <a:ext cx="22174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304800</xdr:colOff>
      <xdr:row>10</xdr:row>
      <xdr:rowOff>22860</xdr:rowOff>
    </xdr:from>
    <xdr:ext cx="457200" cy="152400"/>
    <xdr:sp macro="" textlink="">
      <xdr:nvSpPr>
        <xdr:cNvPr id="32787" name="Text Box 19"/>
        <xdr:cNvSpPr txBox="1">
          <a:spLocks noChangeArrowheads="1"/>
        </xdr:cNvSpPr>
      </xdr:nvSpPr>
      <xdr:spPr bwMode="auto">
        <a:xfrm>
          <a:off x="2369820" y="214122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1</xdr:col>
      <xdr:colOff>15240</xdr:colOff>
      <xdr:row>8</xdr:row>
      <xdr:rowOff>7620</xdr:rowOff>
    </xdr:from>
    <xdr:to>
      <xdr:col>3</xdr:col>
      <xdr:colOff>0</xdr:colOff>
      <xdr:row>8</xdr:row>
      <xdr:rowOff>7620</xdr:rowOff>
    </xdr:to>
    <xdr:sp macro="" textlink="">
      <xdr:nvSpPr>
        <xdr:cNvPr id="32789" name="Line 21"/>
        <xdr:cNvSpPr>
          <a:spLocks noChangeShapeType="1"/>
        </xdr:cNvSpPr>
      </xdr:nvSpPr>
      <xdr:spPr bwMode="auto">
        <a:xfrm>
          <a:off x="739140" y="1714500"/>
          <a:ext cx="13258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510540</xdr:colOff>
      <xdr:row>7</xdr:row>
      <xdr:rowOff>68580</xdr:rowOff>
    </xdr:from>
    <xdr:ext cx="335280" cy="152400"/>
    <xdr:sp macro="" textlink="">
      <xdr:nvSpPr>
        <xdr:cNvPr id="32791" name="Text Box 23"/>
        <xdr:cNvSpPr txBox="1">
          <a:spLocks noChangeArrowheads="1"/>
        </xdr:cNvSpPr>
      </xdr:nvSpPr>
      <xdr:spPr bwMode="auto">
        <a:xfrm>
          <a:off x="1234440" y="159258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0</xdr:colOff>
      <xdr:row>10</xdr:row>
      <xdr:rowOff>7620</xdr:rowOff>
    </xdr:from>
    <xdr:to>
      <xdr:col>1</xdr:col>
      <xdr:colOff>0</xdr:colOff>
      <xdr:row>11</xdr:row>
      <xdr:rowOff>38100</xdr:rowOff>
    </xdr:to>
    <xdr:sp macro="" textlink="">
      <xdr:nvSpPr>
        <xdr:cNvPr id="32792" name="Line 24"/>
        <xdr:cNvSpPr>
          <a:spLocks noChangeShapeType="1"/>
        </xdr:cNvSpPr>
      </xdr:nvSpPr>
      <xdr:spPr bwMode="auto">
        <a:xfrm>
          <a:off x="723900" y="2125980"/>
          <a:ext cx="0" cy="21336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716280</xdr:colOff>
      <xdr:row>19</xdr:row>
      <xdr:rowOff>335280</xdr:rowOff>
    </xdr:from>
    <xdr:to>
      <xdr:col>5</xdr:col>
      <xdr:colOff>15240</xdr:colOff>
      <xdr:row>20</xdr:row>
      <xdr:rowOff>0</xdr:rowOff>
    </xdr:to>
    <xdr:sp macro="" textlink="">
      <xdr:nvSpPr>
        <xdr:cNvPr id="32795" name="Line 27"/>
        <xdr:cNvSpPr>
          <a:spLocks noChangeShapeType="1"/>
        </xdr:cNvSpPr>
      </xdr:nvSpPr>
      <xdr:spPr bwMode="auto">
        <a:xfrm>
          <a:off x="716280" y="4602480"/>
          <a:ext cx="223266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167640</xdr:colOff>
      <xdr:row>20</xdr:row>
      <xdr:rowOff>0</xdr:rowOff>
    </xdr:from>
    <xdr:ext cx="335280" cy="152400"/>
    <xdr:sp macro="" textlink="">
      <xdr:nvSpPr>
        <xdr:cNvPr id="32796" name="Text Box 28"/>
        <xdr:cNvSpPr txBox="1">
          <a:spLocks noChangeArrowheads="1"/>
        </xdr:cNvSpPr>
      </xdr:nvSpPr>
      <xdr:spPr bwMode="auto">
        <a:xfrm>
          <a:off x="2232660" y="460248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7620</xdr:colOff>
      <xdr:row>19</xdr:row>
      <xdr:rowOff>7620</xdr:rowOff>
    </xdr:from>
    <xdr:to>
      <xdr:col>3</xdr:col>
      <xdr:colOff>7620</xdr:colOff>
      <xdr:row>19</xdr:row>
      <xdr:rowOff>7620</xdr:rowOff>
    </xdr:to>
    <xdr:sp macro="" textlink="">
      <xdr:nvSpPr>
        <xdr:cNvPr id="32797" name="Line 29"/>
        <xdr:cNvSpPr>
          <a:spLocks noChangeShapeType="1"/>
        </xdr:cNvSpPr>
      </xdr:nvSpPr>
      <xdr:spPr bwMode="auto">
        <a:xfrm>
          <a:off x="731520" y="4396740"/>
          <a:ext cx="13411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22</xdr:row>
      <xdr:rowOff>7620</xdr:rowOff>
    </xdr:from>
    <xdr:to>
      <xdr:col>3</xdr:col>
      <xdr:colOff>7620</xdr:colOff>
      <xdr:row>22</xdr:row>
      <xdr:rowOff>7620</xdr:rowOff>
    </xdr:to>
    <xdr:sp macro="" textlink="">
      <xdr:nvSpPr>
        <xdr:cNvPr id="32799" name="Line 31"/>
        <xdr:cNvSpPr>
          <a:spLocks noChangeShapeType="1"/>
        </xdr:cNvSpPr>
      </xdr:nvSpPr>
      <xdr:spPr bwMode="auto">
        <a:xfrm>
          <a:off x="731520" y="4876800"/>
          <a:ext cx="13411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693420</xdr:colOff>
      <xdr:row>23</xdr:row>
      <xdr:rowOff>7620</xdr:rowOff>
    </xdr:from>
    <xdr:to>
      <xdr:col>5</xdr:col>
      <xdr:colOff>0</xdr:colOff>
      <xdr:row>23</xdr:row>
      <xdr:rowOff>7620</xdr:rowOff>
    </xdr:to>
    <xdr:sp macro="" textlink="">
      <xdr:nvSpPr>
        <xdr:cNvPr id="32800" name="Line 32"/>
        <xdr:cNvSpPr>
          <a:spLocks noChangeShapeType="1"/>
        </xdr:cNvSpPr>
      </xdr:nvSpPr>
      <xdr:spPr bwMode="auto">
        <a:xfrm flipV="1">
          <a:off x="693420" y="5006340"/>
          <a:ext cx="22402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167640</xdr:colOff>
      <xdr:row>22</xdr:row>
      <xdr:rowOff>22860</xdr:rowOff>
    </xdr:from>
    <xdr:ext cx="457200" cy="152400"/>
    <xdr:sp macro="" textlink="">
      <xdr:nvSpPr>
        <xdr:cNvPr id="32804" name="Text Box 36"/>
        <xdr:cNvSpPr txBox="1">
          <a:spLocks noChangeArrowheads="1"/>
        </xdr:cNvSpPr>
      </xdr:nvSpPr>
      <xdr:spPr bwMode="auto">
        <a:xfrm>
          <a:off x="2232660" y="489204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3</xdr:col>
      <xdr:colOff>7620</xdr:colOff>
      <xdr:row>25</xdr:row>
      <xdr:rowOff>175260</xdr:rowOff>
    </xdr:from>
    <xdr:to>
      <xdr:col>5</xdr:col>
      <xdr:colOff>7620</xdr:colOff>
      <xdr:row>25</xdr:row>
      <xdr:rowOff>175260</xdr:rowOff>
    </xdr:to>
    <xdr:sp macro="" textlink="">
      <xdr:nvSpPr>
        <xdr:cNvPr id="32805" name="Line 37"/>
        <xdr:cNvSpPr>
          <a:spLocks noChangeShapeType="1"/>
        </xdr:cNvSpPr>
      </xdr:nvSpPr>
      <xdr:spPr bwMode="auto">
        <a:xfrm>
          <a:off x="2072640" y="5417820"/>
          <a:ext cx="8686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403860</xdr:colOff>
      <xdr:row>1</xdr:row>
      <xdr:rowOff>45720</xdr:rowOff>
    </xdr:from>
    <xdr:to>
      <xdr:col>4</xdr:col>
      <xdr:colOff>762000</xdr:colOff>
      <xdr:row>4</xdr:row>
      <xdr:rowOff>15240</xdr:rowOff>
    </xdr:to>
    <xdr:sp macro="" textlink="">
      <xdr:nvSpPr>
        <xdr:cNvPr id="32807" name="Line 39"/>
        <xdr:cNvSpPr>
          <a:spLocks noChangeShapeType="1"/>
        </xdr:cNvSpPr>
      </xdr:nvSpPr>
      <xdr:spPr bwMode="auto">
        <a:xfrm flipH="1" flipV="1">
          <a:off x="2933700" y="304800"/>
          <a:ext cx="0" cy="58674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27</xdr:row>
      <xdr:rowOff>0</xdr:rowOff>
    </xdr:from>
    <xdr:to>
      <xdr:col>9</xdr:col>
      <xdr:colOff>0</xdr:colOff>
      <xdr:row>27</xdr:row>
      <xdr:rowOff>0</xdr:rowOff>
    </xdr:to>
    <xdr:sp macro="" textlink="">
      <xdr:nvSpPr>
        <xdr:cNvPr id="32812" name="Line 44"/>
        <xdr:cNvSpPr>
          <a:spLocks noChangeShapeType="1"/>
        </xdr:cNvSpPr>
      </xdr:nvSpPr>
      <xdr:spPr bwMode="auto">
        <a:xfrm>
          <a:off x="5615940" y="55168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</xdr:row>
      <xdr:rowOff>0</xdr:rowOff>
    </xdr:from>
    <xdr:to>
      <xdr:col>5</xdr:col>
      <xdr:colOff>0</xdr:colOff>
      <xdr:row>3</xdr:row>
      <xdr:rowOff>0</xdr:rowOff>
    </xdr:to>
    <xdr:sp macro="" textlink="">
      <xdr:nvSpPr>
        <xdr:cNvPr id="32816" name="Line 48"/>
        <xdr:cNvSpPr>
          <a:spLocks noChangeShapeType="1"/>
        </xdr:cNvSpPr>
      </xdr:nvSpPr>
      <xdr:spPr bwMode="auto">
        <a:xfrm>
          <a:off x="2933700" y="670560"/>
          <a:ext cx="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403860</xdr:colOff>
      <xdr:row>7</xdr:row>
      <xdr:rowOff>0</xdr:rowOff>
    </xdr:from>
    <xdr:to>
      <xdr:col>5</xdr:col>
      <xdr:colOff>7620</xdr:colOff>
      <xdr:row>7</xdr:row>
      <xdr:rowOff>0</xdr:rowOff>
    </xdr:to>
    <xdr:sp macro="" textlink="">
      <xdr:nvSpPr>
        <xdr:cNvPr id="32818" name="Line 50"/>
        <xdr:cNvSpPr>
          <a:spLocks noChangeShapeType="1"/>
        </xdr:cNvSpPr>
      </xdr:nvSpPr>
      <xdr:spPr bwMode="auto">
        <a:xfrm>
          <a:off x="2933700" y="1524000"/>
          <a:ext cx="762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18</xdr:row>
      <xdr:rowOff>251460</xdr:rowOff>
    </xdr:from>
    <xdr:to>
      <xdr:col>3</xdr:col>
      <xdr:colOff>0</xdr:colOff>
      <xdr:row>20</xdr:row>
      <xdr:rowOff>7620</xdr:rowOff>
    </xdr:to>
    <xdr:sp macro="" textlink="">
      <xdr:nvSpPr>
        <xdr:cNvPr id="32819" name="Line 51"/>
        <xdr:cNvSpPr>
          <a:spLocks noChangeShapeType="1"/>
        </xdr:cNvSpPr>
      </xdr:nvSpPr>
      <xdr:spPr bwMode="auto">
        <a:xfrm flipV="1">
          <a:off x="2065020" y="4389120"/>
          <a:ext cx="0" cy="2209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</xdr:col>
      <xdr:colOff>739140</xdr:colOff>
      <xdr:row>18</xdr:row>
      <xdr:rowOff>91440</xdr:rowOff>
    </xdr:from>
    <xdr:to>
      <xdr:col>3</xdr:col>
      <xdr:colOff>0</xdr:colOff>
      <xdr:row>19</xdr:row>
      <xdr:rowOff>0</xdr:rowOff>
    </xdr:to>
    <xdr:sp macro="" textlink="">
      <xdr:nvSpPr>
        <xdr:cNvPr id="32820" name="Line 52"/>
        <xdr:cNvSpPr>
          <a:spLocks noChangeShapeType="1"/>
        </xdr:cNvSpPr>
      </xdr:nvSpPr>
      <xdr:spPr bwMode="auto">
        <a:xfrm flipH="1" flipV="1">
          <a:off x="2065020" y="4351020"/>
          <a:ext cx="0" cy="381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0</xdr:colOff>
      <xdr:row>18</xdr:row>
      <xdr:rowOff>7620</xdr:rowOff>
    </xdr:from>
    <xdr:to>
      <xdr:col>5</xdr:col>
      <xdr:colOff>0</xdr:colOff>
      <xdr:row>19</xdr:row>
      <xdr:rowOff>15240</xdr:rowOff>
    </xdr:to>
    <xdr:sp macro="" textlink="">
      <xdr:nvSpPr>
        <xdr:cNvPr id="32822" name="Line 54"/>
        <xdr:cNvSpPr>
          <a:spLocks noChangeShapeType="1"/>
        </xdr:cNvSpPr>
      </xdr:nvSpPr>
      <xdr:spPr bwMode="auto">
        <a:xfrm flipV="1">
          <a:off x="2933700" y="4267200"/>
          <a:ext cx="0" cy="13716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18</xdr:row>
      <xdr:rowOff>0</xdr:rowOff>
    </xdr:from>
    <xdr:to>
      <xdr:col>3</xdr:col>
      <xdr:colOff>0</xdr:colOff>
      <xdr:row>18</xdr:row>
      <xdr:rowOff>144780</xdr:rowOff>
    </xdr:to>
    <xdr:sp macro="" textlink="">
      <xdr:nvSpPr>
        <xdr:cNvPr id="32823" name="Line 55"/>
        <xdr:cNvSpPr>
          <a:spLocks noChangeShapeType="1"/>
        </xdr:cNvSpPr>
      </xdr:nvSpPr>
      <xdr:spPr bwMode="auto">
        <a:xfrm flipV="1">
          <a:off x="2065020" y="4259580"/>
          <a:ext cx="0" cy="1295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18</xdr:row>
      <xdr:rowOff>129540</xdr:rowOff>
    </xdr:from>
    <xdr:to>
      <xdr:col>3</xdr:col>
      <xdr:colOff>0</xdr:colOff>
      <xdr:row>18</xdr:row>
      <xdr:rowOff>198120</xdr:rowOff>
    </xdr:to>
    <xdr:sp macro="" textlink="">
      <xdr:nvSpPr>
        <xdr:cNvPr id="32827" name="Line 59"/>
        <xdr:cNvSpPr>
          <a:spLocks noChangeShapeType="1"/>
        </xdr:cNvSpPr>
      </xdr:nvSpPr>
      <xdr:spPr bwMode="auto">
        <a:xfrm>
          <a:off x="2065020" y="4389120"/>
          <a:ext cx="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0</xdr:colOff>
      <xdr:row>17</xdr:row>
      <xdr:rowOff>297180</xdr:rowOff>
    </xdr:from>
    <xdr:to>
      <xdr:col>5</xdr:col>
      <xdr:colOff>0</xdr:colOff>
      <xdr:row>18</xdr:row>
      <xdr:rowOff>76200</xdr:rowOff>
    </xdr:to>
    <xdr:sp macro="" textlink="">
      <xdr:nvSpPr>
        <xdr:cNvPr id="32836" name="Line 68"/>
        <xdr:cNvSpPr>
          <a:spLocks noChangeShapeType="1"/>
        </xdr:cNvSpPr>
      </xdr:nvSpPr>
      <xdr:spPr bwMode="auto">
        <a:xfrm>
          <a:off x="2933700" y="4259580"/>
          <a:ext cx="0" cy="762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19</xdr:row>
      <xdr:rowOff>160020</xdr:rowOff>
    </xdr:from>
    <xdr:to>
      <xdr:col>3</xdr:col>
      <xdr:colOff>0</xdr:colOff>
      <xdr:row>26</xdr:row>
      <xdr:rowOff>0</xdr:rowOff>
    </xdr:to>
    <xdr:sp macro="" textlink="">
      <xdr:nvSpPr>
        <xdr:cNvPr id="32848" name="Line 80"/>
        <xdr:cNvSpPr>
          <a:spLocks noChangeShapeType="1"/>
        </xdr:cNvSpPr>
      </xdr:nvSpPr>
      <xdr:spPr bwMode="auto">
        <a:xfrm>
          <a:off x="2065020" y="4549140"/>
          <a:ext cx="0" cy="8686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373380</xdr:colOff>
      <xdr:row>19</xdr:row>
      <xdr:rowOff>167640</xdr:rowOff>
    </xdr:from>
    <xdr:to>
      <xdr:col>5</xdr:col>
      <xdr:colOff>0</xdr:colOff>
      <xdr:row>26</xdr:row>
      <xdr:rowOff>7620</xdr:rowOff>
    </xdr:to>
    <xdr:sp macro="" textlink="">
      <xdr:nvSpPr>
        <xdr:cNvPr id="32849" name="Line 81"/>
        <xdr:cNvSpPr>
          <a:spLocks noChangeShapeType="1"/>
        </xdr:cNvSpPr>
      </xdr:nvSpPr>
      <xdr:spPr bwMode="auto">
        <a:xfrm>
          <a:off x="2933700" y="4556760"/>
          <a:ext cx="0" cy="8686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4</xdr:row>
      <xdr:rowOff>7620</xdr:rowOff>
    </xdr:from>
    <xdr:to>
      <xdr:col>5</xdr:col>
      <xdr:colOff>0</xdr:colOff>
      <xdr:row>9</xdr:row>
      <xdr:rowOff>7620</xdr:rowOff>
    </xdr:to>
    <xdr:sp macro="" textlink="">
      <xdr:nvSpPr>
        <xdr:cNvPr id="32851" name="Line 83"/>
        <xdr:cNvSpPr>
          <a:spLocks noChangeShapeType="1"/>
        </xdr:cNvSpPr>
      </xdr:nvSpPr>
      <xdr:spPr bwMode="auto">
        <a:xfrm>
          <a:off x="2933700" y="883920"/>
          <a:ext cx="0" cy="101346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8</xdr:row>
      <xdr:rowOff>121920</xdr:rowOff>
    </xdr:from>
    <xdr:to>
      <xdr:col>3</xdr:col>
      <xdr:colOff>0</xdr:colOff>
      <xdr:row>12</xdr:row>
      <xdr:rowOff>0</xdr:rowOff>
    </xdr:to>
    <xdr:sp macro="" textlink="">
      <xdr:nvSpPr>
        <xdr:cNvPr id="32864" name="Line 96"/>
        <xdr:cNvSpPr>
          <a:spLocks noChangeShapeType="1"/>
        </xdr:cNvSpPr>
      </xdr:nvSpPr>
      <xdr:spPr bwMode="auto">
        <a:xfrm>
          <a:off x="2065020" y="1828800"/>
          <a:ext cx="0" cy="6553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8</xdr:row>
      <xdr:rowOff>182880</xdr:rowOff>
    </xdr:from>
    <xdr:to>
      <xdr:col>5</xdr:col>
      <xdr:colOff>0</xdr:colOff>
      <xdr:row>15</xdr:row>
      <xdr:rowOff>22860</xdr:rowOff>
    </xdr:to>
    <xdr:sp macro="" textlink="">
      <xdr:nvSpPr>
        <xdr:cNvPr id="32865" name="Line 97"/>
        <xdr:cNvSpPr>
          <a:spLocks noChangeShapeType="1"/>
        </xdr:cNvSpPr>
      </xdr:nvSpPr>
      <xdr:spPr bwMode="auto">
        <a:xfrm>
          <a:off x="2933700" y="1889760"/>
          <a:ext cx="0" cy="11811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4</xdr:col>
      <xdr:colOff>91440</xdr:colOff>
      <xdr:row>34</xdr:row>
      <xdr:rowOff>0</xdr:rowOff>
    </xdr:from>
    <xdr:ext cx="76200" cy="220980"/>
    <xdr:sp macro="" textlink="">
      <xdr:nvSpPr>
        <xdr:cNvPr id="32876" name="Text Box 108"/>
        <xdr:cNvSpPr txBox="1">
          <a:spLocks noChangeArrowheads="1"/>
        </xdr:cNvSpPr>
      </xdr:nvSpPr>
      <xdr:spPr bwMode="auto">
        <a:xfrm>
          <a:off x="2651760" y="6492240"/>
          <a:ext cx="76200" cy="220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twoCellAnchor>
    <xdr:from>
      <xdr:col>4</xdr:col>
      <xdr:colOff>365760</xdr:colOff>
      <xdr:row>18</xdr:row>
      <xdr:rowOff>121920</xdr:rowOff>
    </xdr:from>
    <xdr:to>
      <xdr:col>5</xdr:col>
      <xdr:colOff>7620</xdr:colOff>
      <xdr:row>20</xdr:row>
      <xdr:rowOff>0</xdr:rowOff>
    </xdr:to>
    <xdr:sp macro="" textlink="">
      <xdr:nvSpPr>
        <xdr:cNvPr id="32885" name="Line 117"/>
        <xdr:cNvSpPr>
          <a:spLocks noChangeShapeType="1"/>
        </xdr:cNvSpPr>
      </xdr:nvSpPr>
      <xdr:spPr bwMode="auto">
        <a:xfrm rot="313428457" flipH="1" flipV="1">
          <a:off x="2926080" y="4381500"/>
          <a:ext cx="15240" cy="22098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20</xdr:row>
      <xdr:rowOff>76200</xdr:rowOff>
    </xdr:from>
    <xdr:to>
      <xdr:col>3</xdr:col>
      <xdr:colOff>0</xdr:colOff>
      <xdr:row>21</xdr:row>
      <xdr:rowOff>106680</xdr:rowOff>
    </xdr:to>
    <xdr:sp macro="" textlink="">
      <xdr:nvSpPr>
        <xdr:cNvPr id="32886" name="Line 118"/>
        <xdr:cNvSpPr>
          <a:spLocks noChangeShapeType="1"/>
        </xdr:cNvSpPr>
      </xdr:nvSpPr>
      <xdr:spPr bwMode="auto">
        <a:xfrm flipV="1">
          <a:off x="2065020" y="4678680"/>
          <a:ext cx="0" cy="1676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7</xdr:row>
      <xdr:rowOff>0</xdr:rowOff>
    </xdr:from>
    <xdr:to>
      <xdr:col>5</xdr:col>
      <xdr:colOff>7620</xdr:colOff>
      <xdr:row>8</xdr:row>
      <xdr:rowOff>0</xdr:rowOff>
    </xdr:to>
    <xdr:sp macro="" textlink="">
      <xdr:nvSpPr>
        <xdr:cNvPr id="32887" name="Line 119"/>
        <xdr:cNvSpPr>
          <a:spLocks noChangeShapeType="1"/>
        </xdr:cNvSpPr>
      </xdr:nvSpPr>
      <xdr:spPr bwMode="auto">
        <a:xfrm rot="21524447" flipH="1" flipV="1">
          <a:off x="2933700" y="1524000"/>
          <a:ext cx="7620" cy="1828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7</xdr:row>
      <xdr:rowOff>0</xdr:rowOff>
    </xdr:from>
    <xdr:to>
      <xdr:col>3</xdr:col>
      <xdr:colOff>7620</xdr:colOff>
      <xdr:row>7</xdr:row>
      <xdr:rowOff>106680</xdr:rowOff>
    </xdr:to>
    <xdr:sp macro="" textlink="">
      <xdr:nvSpPr>
        <xdr:cNvPr id="32888" name="Line 120"/>
        <xdr:cNvSpPr>
          <a:spLocks noChangeShapeType="1"/>
        </xdr:cNvSpPr>
      </xdr:nvSpPr>
      <xdr:spPr bwMode="auto">
        <a:xfrm flipV="1">
          <a:off x="2065020" y="1524000"/>
          <a:ext cx="7620" cy="1066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8</xdr:row>
      <xdr:rowOff>0</xdr:rowOff>
    </xdr:from>
    <xdr:to>
      <xdr:col>1</xdr:col>
      <xdr:colOff>0</xdr:colOff>
      <xdr:row>9</xdr:row>
      <xdr:rowOff>7620</xdr:rowOff>
    </xdr:to>
    <xdr:sp macro="" textlink="">
      <xdr:nvSpPr>
        <xdr:cNvPr id="32897" name="Line 129"/>
        <xdr:cNvSpPr>
          <a:spLocks noChangeShapeType="1"/>
        </xdr:cNvSpPr>
      </xdr:nvSpPr>
      <xdr:spPr bwMode="auto">
        <a:xfrm>
          <a:off x="723900" y="1706880"/>
          <a:ext cx="0" cy="190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38100</xdr:colOff>
      <xdr:row>8</xdr:row>
      <xdr:rowOff>182880</xdr:rowOff>
    </xdr:from>
    <xdr:to>
      <xdr:col>1</xdr:col>
      <xdr:colOff>30480</xdr:colOff>
      <xdr:row>9</xdr:row>
      <xdr:rowOff>0</xdr:rowOff>
    </xdr:to>
    <xdr:sp macro="" textlink="">
      <xdr:nvSpPr>
        <xdr:cNvPr id="32901" name="Line 133"/>
        <xdr:cNvSpPr>
          <a:spLocks noChangeShapeType="1"/>
        </xdr:cNvSpPr>
      </xdr:nvSpPr>
      <xdr:spPr bwMode="auto">
        <a:xfrm flipV="1">
          <a:off x="38100" y="1889760"/>
          <a:ext cx="7162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38100</xdr:colOff>
      <xdr:row>11</xdr:row>
      <xdr:rowOff>22860</xdr:rowOff>
    </xdr:from>
    <xdr:to>
      <xdr:col>0</xdr:col>
      <xdr:colOff>716280</xdr:colOff>
      <xdr:row>11</xdr:row>
      <xdr:rowOff>22860</xdr:rowOff>
    </xdr:to>
    <xdr:sp macro="" textlink="">
      <xdr:nvSpPr>
        <xdr:cNvPr id="32902" name="Line 134"/>
        <xdr:cNvSpPr>
          <a:spLocks noChangeShapeType="1"/>
        </xdr:cNvSpPr>
      </xdr:nvSpPr>
      <xdr:spPr bwMode="auto">
        <a:xfrm>
          <a:off x="38100" y="2324100"/>
          <a:ext cx="6781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7620</xdr:colOff>
      <xdr:row>20</xdr:row>
      <xdr:rowOff>0</xdr:rowOff>
    </xdr:from>
    <xdr:to>
      <xdr:col>1</xdr:col>
      <xdr:colOff>15240</xdr:colOff>
      <xdr:row>20</xdr:row>
      <xdr:rowOff>0</xdr:rowOff>
    </xdr:to>
    <xdr:sp macro="" textlink="">
      <xdr:nvSpPr>
        <xdr:cNvPr id="32903" name="Line 135"/>
        <xdr:cNvSpPr>
          <a:spLocks noChangeShapeType="1"/>
        </xdr:cNvSpPr>
      </xdr:nvSpPr>
      <xdr:spPr bwMode="auto">
        <a:xfrm>
          <a:off x="7620" y="4602480"/>
          <a:ext cx="7315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15240</xdr:colOff>
      <xdr:row>23</xdr:row>
      <xdr:rowOff>7620</xdr:rowOff>
    </xdr:from>
    <xdr:to>
      <xdr:col>0</xdr:col>
      <xdr:colOff>693420</xdr:colOff>
      <xdr:row>23</xdr:row>
      <xdr:rowOff>7620</xdr:rowOff>
    </xdr:to>
    <xdr:sp macro="" textlink="">
      <xdr:nvSpPr>
        <xdr:cNvPr id="32904" name="Line 136"/>
        <xdr:cNvSpPr>
          <a:spLocks noChangeShapeType="1"/>
        </xdr:cNvSpPr>
      </xdr:nvSpPr>
      <xdr:spPr bwMode="auto">
        <a:xfrm>
          <a:off x="15240" y="5006340"/>
          <a:ext cx="6781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7620</xdr:colOff>
      <xdr:row>7</xdr:row>
      <xdr:rowOff>0</xdr:rowOff>
    </xdr:from>
    <xdr:to>
      <xdr:col>1</xdr:col>
      <xdr:colOff>7620</xdr:colOff>
      <xdr:row>7</xdr:row>
      <xdr:rowOff>0</xdr:rowOff>
    </xdr:to>
    <xdr:sp macro="" textlink="">
      <xdr:nvSpPr>
        <xdr:cNvPr id="32905" name="Line 137"/>
        <xdr:cNvSpPr>
          <a:spLocks noChangeShapeType="1"/>
        </xdr:cNvSpPr>
      </xdr:nvSpPr>
      <xdr:spPr bwMode="auto">
        <a:xfrm>
          <a:off x="7620" y="1524000"/>
          <a:ext cx="7239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11</xdr:row>
      <xdr:rowOff>160020</xdr:rowOff>
    </xdr:from>
    <xdr:to>
      <xdr:col>3</xdr:col>
      <xdr:colOff>0</xdr:colOff>
      <xdr:row>15</xdr:row>
      <xdr:rowOff>30480</xdr:rowOff>
    </xdr:to>
    <xdr:sp macro="" textlink="">
      <xdr:nvSpPr>
        <xdr:cNvPr id="32913" name="Line 145"/>
        <xdr:cNvSpPr>
          <a:spLocks noChangeShapeType="1"/>
        </xdr:cNvSpPr>
      </xdr:nvSpPr>
      <xdr:spPr bwMode="auto">
        <a:xfrm>
          <a:off x="2065020" y="2461260"/>
          <a:ext cx="0" cy="6172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19</xdr:row>
      <xdr:rowOff>15240</xdr:rowOff>
    </xdr:from>
    <xdr:to>
      <xdr:col>1</xdr:col>
      <xdr:colOff>7620</xdr:colOff>
      <xdr:row>19</xdr:row>
      <xdr:rowOff>15240</xdr:rowOff>
    </xdr:to>
    <xdr:sp macro="" textlink="">
      <xdr:nvSpPr>
        <xdr:cNvPr id="32927" name="Line 159"/>
        <xdr:cNvSpPr>
          <a:spLocks noChangeShapeType="1"/>
        </xdr:cNvSpPr>
      </xdr:nvSpPr>
      <xdr:spPr bwMode="auto">
        <a:xfrm>
          <a:off x="731520" y="44043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15240</xdr:colOff>
      <xdr:row>19</xdr:row>
      <xdr:rowOff>15240</xdr:rowOff>
    </xdr:from>
    <xdr:to>
      <xdr:col>1</xdr:col>
      <xdr:colOff>15240</xdr:colOff>
      <xdr:row>19</xdr:row>
      <xdr:rowOff>205740</xdr:rowOff>
    </xdr:to>
    <xdr:sp macro="" textlink="">
      <xdr:nvSpPr>
        <xdr:cNvPr id="32928" name="Line 160"/>
        <xdr:cNvSpPr>
          <a:spLocks noChangeShapeType="1"/>
        </xdr:cNvSpPr>
      </xdr:nvSpPr>
      <xdr:spPr bwMode="auto">
        <a:xfrm>
          <a:off x="739140" y="4404360"/>
          <a:ext cx="0" cy="190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22</xdr:row>
      <xdr:rowOff>15240</xdr:rowOff>
    </xdr:from>
    <xdr:to>
      <xdr:col>1</xdr:col>
      <xdr:colOff>7620</xdr:colOff>
      <xdr:row>23</xdr:row>
      <xdr:rowOff>7620</xdr:rowOff>
    </xdr:to>
    <xdr:sp macro="" textlink="">
      <xdr:nvSpPr>
        <xdr:cNvPr id="32929" name="Line 161"/>
        <xdr:cNvSpPr>
          <a:spLocks noChangeShapeType="1"/>
        </xdr:cNvSpPr>
      </xdr:nvSpPr>
      <xdr:spPr bwMode="auto">
        <a:xfrm>
          <a:off x="731520" y="4884420"/>
          <a:ext cx="0" cy="1219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7620</xdr:colOff>
      <xdr:row>25</xdr:row>
      <xdr:rowOff>175260</xdr:rowOff>
    </xdr:from>
    <xdr:to>
      <xdr:col>2</xdr:col>
      <xdr:colOff>731520</xdr:colOff>
      <xdr:row>25</xdr:row>
      <xdr:rowOff>175260</xdr:rowOff>
    </xdr:to>
    <xdr:sp macro="" textlink="">
      <xdr:nvSpPr>
        <xdr:cNvPr id="32937" name="Line 169"/>
        <xdr:cNvSpPr>
          <a:spLocks noChangeShapeType="1"/>
        </xdr:cNvSpPr>
      </xdr:nvSpPr>
      <xdr:spPr bwMode="auto">
        <a:xfrm>
          <a:off x="7620" y="5417820"/>
          <a:ext cx="20574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25</xdr:row>
      <xdr:rowOff>22860</xdr:rowOff>
    </xdr:from>
    <xdr:to>
      <xdr:col>1</xdr:col>
      <xdr:colOff>0</xdr:colOff>
      <xdr:row>26</xdr:row>
      <xdr:rowOff>0</xdr:rowOff>
    </xdr:to>
    <xdr:sp macro="" textlink="">
      <xdr:nvSpPr>
        <xdr:cNvPr id="32939" name="Line 171"/>
        <xdr:cNvSpPr>
          <a:spLocks noChangeShapeType="1"/>
        </xdr:cNvSpPr>
      </xdr:nvSpPr>
      <xdr:spPr bwMode="auto">
        <a:xfrm>
          <a:off x="723900" y="5265420"/>
          <a:ext cx="0" cy="1524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213360</xdr:colOff>
      <xdr:row>25</xdr:row>
      <xdr:rowOff>22860</xdr:rowOff>
    </xdr:from>
    <xdr:ext cx="457200" cy="152400"/>
    <xdr:sp macro="" textlink="">
      <xdr:nvSpPr>
        <xdr:cNvPr id="32945" name="Text Box 177"/>
        <xdr:cNvSpPr txBox="1">
          <a:spLocks noChangeArrowheads="1"/>
        </xdr:cNvSpPr>
      </xdr:nvSpPr>
      <xdr:spPr bwMode="auto">
        <a:xfrm>
          <a:off x="2278380" y="526542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0</xdr:col>
      <xdr:colOff>15240</xdr:colOff>
      <xdr:row>5</xdr:row>
      <xdr:rowOff>7620</xdr:rowOff>
    </xdr:from>
    <xdr:to>
      <xdr:col>1</xdr:col>
      <xdr:colOff>15240</xdr:colOff>
      <xdr:row>5</xdr:row>
      <xdr:rowOff>7620</xdr:rowOff>
    </xdr:to>
    <xdr:sp macro="" textlink="">
      <xdr:nvSpPr>
        <xdr:cNvPr id="32946" name="Line 178"/>
        <xdr:cNvSpPr>
          <a:spLocks noChangeShapeType="1"/>
        </xdr:cNvSpPr>
      </xdr:nvSpPr>
      <xdr:spPr bwMode="auto">
        <a:xfrm>
          <a:off x="15240" y="1089660"/>
          <a:ext cx="7239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9</xdr:row>
      <xdr:rowOff>213360</xdr:rowOff>
    </xdr:from>
    <xdr:to>
      <xdr:col>1</xdr:col>
      <xdr:colOff>0</xdr:colOff>
      <xdr:row>11</xdr:row>
      <xdr:rowOff>38100</xdr:rowOff>
    </xdr:to>
    <xdr:sp macro="" textlink="">
      <xdr:nvSpPr>
        <xdr:cNvPr id="32947" name="Line 179"/>
        <xdr:cNvSpPr>
          <a:spLocks noChangeShapeType="1"/>
        </xdr:cNvSpPr>
      </xdr:nvSpPr>
      <xdr:spPr bwMode="auto">
        <a:xfrm>
          <a:off x="723900" y="2103120"/>
          <a:ext cx="0" cy="2362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4</xdr:row>
      <xdr:rowOff>0</xdr:rowOff>
    </xdr:from>
    <xdr:to>
      <xdr:col>2</xdr:col>
      <xdr:colOff>739140</xdr:colOff>
      <xdr:row>4</xdr:row>
      <xdr:rowOff>0</xdr:rowOff>
    </xdr:to>
    <xdr:sp macro="" textlink="">
      <xdr:nvSpPr>
        <xdr:cNvPr id="32949" name="Line 181"/>
        <xdr:cNvSpPr>
          <a:spLocks noChangeShapeType="1"/>
        </xdr:cNvSpPr>
      </xdr:nvSpPr>
      <xdr:spPr bwMode="auto">
        <a:xfrm>
          <a:off x="731520" y="876300"/>
          <a:ext cx="13335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5</xdr:row>
      <xdr:rowOff>7620</xdr:rowOff>
    </xdr:from>
    <xdr:to>
      <xdr:col>5</xdr:col>
      <xdr:colOff>7620</xdr:colOff>
      <xdr:row>5</xdr:row>
      <xdr:rowOff>7620</xdr:rowOff>
    </xdr:to>
    <xdr:sp macro="" textlink="">
      <xdr:nvSpPr>
        <xdr:cNvPr id="32950" name="Line 182"/>
        <xdr:cNvSpPr>
          <a:spLocks noChangeShapeType="1"/>
        </xdr:cNvSpPr>
      </xdr:nvSpPr>
      <xdr:spPr bwMode="auto">
        <a:xfrm flipV="1">
          <a:off x="731520" y="1089660"/>
          <a:ext cx="22098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579120</xdr:colOff>
      <xdr:row>4</xdr:row>
      <xdr:rowOff>15240</xdr:rowOff>
    </xdr:from>
    <xdr:ext cx="335280" cy="152400"/>
    <xdr:sp macro="" textlink="">
      <xdr:nvSpPr>
        <xdr:cNvPr id="32952" name="Text Box 184"/>
        <xdr:cNvSpPr txBox="1">
          <a:spLocks noChangeArrowheads="1"/>
        </xdr:cNvSpPr>
      </xdr:nvSpPr>
      <xdr:spPr bwMode="auto">
        <a:xfrm>
          <a:off x="1303020" y="89154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3</xdr:col>
      <xdr:colOff>304800</xdr:colOff>
      <xdr:row>4</xdr:row>
      <xdr:rowOff>144780</xdr:rowOff>
    </xdr:from>
    <xdr:ext cx="457200" cy="152400"/>
    <xdr:sp macro="" textlink="">
      <xdr:nvSpPr>
        <xdr:cNvPr id="32953" name="Text Box 185"/>
        <xdr:cNvSpPr txBox="1">
          <a:spLocks noChangeArrowheads="1"/>
        </xdr:cNvSpPr>
      </xdr:nvSpPr>
      <xdr:spPr bwMode="auto">
        <a:xfrm>
          <a:off x="2369820" y="102108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0</xdr:col>
      <xdr:colOff>7620</xdr:colOff>
      <xdr:row>29</xdr:row>
      <xdr:rowOff>0</xdr:rowOff>
    </xdr:from>
    <xdr:to>
      <xdr:col>5</xdr:col>
      <xdr:colOff>7620</xdr:colOff>
      <xdr:row>29</xdr:row>
      <xdr:rowOff>0</xdr:rowOff>
    </xdr:to>
    <xdr:sp macro="" textlink="">
      <xdr:nvSpPr>
        <xdr:cNvPr id="32954" name="Line 186"/>
        <xdr:cNvSpPr>
          <a:spLocks noChangeShapeType="1"/>
        </xdr:cNvSpPr>
      </xdr:nvSpPr>
      <xdr:spPr bwMode="auto">
        <a:xfrm>
          <a:off x="7620" y="5806440"/>
          <a:ext cx="29337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28</xdr:row>
      <xdr:rowOff>15240</xdr:rowOff>
    </xdr:from>
    <xdr:to>
      <xdr:col>2</xdr:col>
      <xdr:colOff>739140</xdr:colOff>
      <xdr:row>28</xdr:row>
      <xdr:rowOff>15240</xdr:rowOff>
    </xdr:to>
    <xdr:sp macro="" textlink="">
      <xdr:nvSpPr>
        <xdr:cNvPr id="32958" name="Line 190"/>
        <xdr:cNvSpPr>
          <a:spLocks noChangeShapeType="1"/>
        </xdr:cNvSpPr>
      </xdr:nvSpPr>
      <xdr:spPr bwMode="auto">
        <a:xfrm>
          <a:off x="723900" y="5692140"/>
          <a:ext cx="13411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739140</xdr:colOff>
      <xdr:row>25</xdr:row>
      <xdr:rowOff>152400</xdr:rowOff>
    </xdr:from>
    <xdr:to>
      <xdr:col>2</xdr:col>
      <xdr:colOff>739140</xdr:colOff>
      <xdr:row>28</xdr:row>
      <xdr:rowOff>167640</xdr:rowOff>
    </xdr:to>
    <xdr:sp macro="" textlink="">
      <xdr:nvSpPr>
        <xdr:cNvPr id="32959" name="Line 191"/>
        <xdr:cNvSpPr>
          <a:spLocks noChangeShapeType="1"/>
        </xdr:cNvSpPr>
      </xdr:nvSpPr>
      <xdr:spPr bwMode="auto">
        <a:xfrm>
          <a:off x="2065020" y="5394960"/>
          <a:ext cx="0" cy="4114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28</xdr:row>
      <xdr:rowOff>7620</xdr:rowOff>
    </xdr:from>
    <xdr:to>
      <xdr:col>1</xdr:col>
      <xdr:colOff>7620</xdr:colOff>
      <xdr:row>29</xdr:row>
      <xdr:rowOff>0</xdr:rowOff>
    </xdr:to>
    <xdr:sp macro="" textlink="">
      <xdr:nvSpPr>
        <xdr:cNvPr id="32960" name="Line 192"/>
        <xdr:cNvSpPr>
          <a:spLocks noChangeShapeType="1"/>
        </xdr:cNvSpPr>
      </xdr:nvSpPr>
      <xdr:spPr bwMode="auto">
        <a:xfrm flipH="1" flipV="1">
          <a:off x="731520" y="5684520"/>
          <a:ext cx="0" cy="1219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25</xdr:row>
      <xdr:rowOff>160020</xdr:rowOff>
    </xdr:from>
    <xdr:to>
      <xdr:col>5</xdr:col>
      <xdr:colOff>0</xdr:colOff>
      <xdr:row>28</xdr:row>
      <xdr:rowOff>152400</xdr:rowOff>
    </xdr:to>
    <xdr:sp macro="" textlink="">
      <xdr:nvSpPr>
        <xdr:cNvPr id="32961" name="Line 193"/>
        <xdr:cNvSpPr>
          <a:spLocks noChangeShapeType="1"/>
        </xdr:cNvSpPr>
      </xdr:nvSpPr>
      <xdr:spPr bwMode="auto">
        <a:xfrm flipV="1">
          <a:off x="2933700" y="5402580"/>
          <a:ext cx="0" cy="40386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716280</xdr:colOff>
      <xdr:row>31</xdr:row>
      <xdr:rowOff>0</xdr:rowOff>
    </xdr:from>
    <xdr:to>
      <xdr:col>3</xdr:col>
      <xdr:colOff>0</xdr:colOff>
      <xdr:row>31</xdr:row>
      <xdr:rowOff>0</xdr:rowOff>
    </xdr:to>
    <xdr:sp macro="" textlink="">
      <xdr:nvSpPr>
        <xdr:cNvPr id="32964" name="Line 196"/>
        <xdr:cNvSpPr>
          <a:spLocks noChangeShapeType="1"/>
        </xdr:cNvSpPr>
      </xdr:nvSpPr>
      <xdr:spPr bwMode="auto">
        <a:xfrm>
          <a:off x="716280" y="6149340"/>
          <a:ext cx="134874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30</xdr:row>
      <xdr:rowOff>213360</xdr:rowOff>
    </xdr:from>
    <xdr:to>
      <xdr:col>1</xdr:col>
      <xdr:colOff>0</xdr:colOff>
      <xdr:row>31</xdr:row>
      <xdr:rowOff>152400</xdr:rowOff>
    </xdr:to>
    <xdr:sp macro="" textlink="">
      <xdr:nvSpPr>
        <xdr:cNvPr id="32965" name="Line 197"/>
        <xdr:cNvSpPr>
          <a:spLocks noChangeShapeType="1"/>
        </xdr:cNvSpPr>
      </xdr:nvSpPr>
      <xdr:spPr bwMode="auto">
        <a:xfrm>
          <a:off x="723900" y="6149340"/>
          <a:ext cx="0" cy="12954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739140</xdr:colOff>
      <xdr:row>28</xdr:row>
      <xdr:rowOff>152400</xdr:rowOff>
    </xdr:from>
    <xdr:to>
      <xdr:col>2</xdr:col>
      <xdr:colOff>739140</xdr:colOff>
      <xdr:row>32</xdr:row>
      <xdr:rowOff>0</xdr:rowOff>
    </xdr:to>
    <xdr:sp macro="" textlink="">
      <xdr:nvSpPr>
        <xdr:cNvPr id="32967" name="Line 199"/>
        <xdr:cNvSpPr>
          <a:spLocks noChangeShapeType="1"/>
        </xdr:cNvSpPr>
      </xdr:nvSpPr>
      <xdr:spPr bwMode="auto">
        <a:xfrm>
          <a:off x="2065020" y="5806440"/>
          <a:ext cx="0" cy="47244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28</xdr:row>
      <xdr:rowOff>129540</xdr:rowOff>
    </xdr:from>
    <xdr:to>
      <xdr:col>5</xdr:col>
      <xdr:colOff>0</xdr:colOff>
      <xdr:row>32</xdr:row>
      <xdr:rowOff>0</xdr:rowOff>
    </xdr:to>
    <xdr:sp macro="" textlink="">
      <xdr:nvSpPr>
        <xdr:cNvPr id="32968" name="Line 200"/>
        <xdr:cNvSpPr>
          <a:spLocks noChangeShapeType="1"/>
        </xdr:cNvSpPr>
      </xdr:nvSpPr>
      <xdr:spPr bwMode="auto">
        <a:xfrm>
          <a:off x="2933700" y="5806440"/>
          <a:ext cx="0" cy="47244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15240</xdr:colOff>
      <xdr:row>35</xdr:row>
      <xdr:rowOff>0</xdr:rowOff>
    </xdr:from>
    <xdr:to>
      <xdr:col>5</xdr:col>
      <xdr:colOff>7620</xdr:colOff>
      <xdr:row>35</xdr:row>
      <xdr:rowOff>0</xdr:rowOff>
    </xdr:to>
    <xdr:sp macro="" textlink="">
      <xdr:nvSpPr>
        <xdr:cNvPr id="32969" name="Line 201"/>
        <xdr:cNvSpPr>
          <a:spLocks noChangeShapeType="1"/>
        </xdr:cNvSpPr>
      </xdr:nvSpPr>
      <xdr:spPr bwMode="auto">
        <a:xfrm>
          <a:off x="15240" y="6621780"/>
          <a:ext cx="29260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716280</xdr:colOff>
      <xdr:row>34</xdr:row>
      <xdr:rowOff>15240</xdr:rowOff>
    </xdr:from>
    <xdr:to>
      <xdr:col>3</xdr:col>
      <xdr:colOff>0</xdr:colOff>
      <xdr:row>34</xdr:row>
      <xdr:rowOff>15240</xdr:rowOff>
    </xdr:to>
    <xdr:sp macro="" textlink="">
      <xdr:nvSpPr>
        <xdr:cNvPr id="32970" name="Line 202"/>
        <xdr:cNvSpPr>
          <a:spLocks noChangeShapeType="1"/>
        </xdr:cNvSpPr>
      </xdr:nvSpPr>
      <xdr:spPr bwMode="auto">
        <a:xfrm>
          <a:off x="716280" y="6507480"/>
          <a:ext cx="134874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716280</xdr:colOff>
      <xdr:row>34</xdr:row>
      <xdr:rowOff>7620</xdr:rowOff>
    </xdr:from>
    <xdr:to>
      <xdr:col>0</xdr:col>
      <xdr:colOff>716280</xdr:colOff>
      <xdr:row>34</xdr:row>
      <xdr:rowOff>160020</xdr:rowOff>
    </xdr:to>
    <xdr:sp macro="" textlink="">
      <xdr:nvSpPr>
        <xdr:cNvPr id="32971" name="Line 203"/>
        <xdr:cNvSpPr>
          <a:spLocks noChangeShapeType="1"/>
        </xdr:cNvSpPr>
      </xdr:nvSpPr>
      <xdr:spPr bwMode="auto">
        <a:xfrm>
          <a:off x="716280" y="6499860"/>
          <a:ext cx="0" cy="1219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739140</xdr:colOff>
      <xdr:row>31</xdr:row>
      <xdr:rowOff>167640</xdr:rowOff>
    </xdr:from>
    <xdr:to>
      <xdr:col>2</xdr:col>
      <xdr:colOff>739140</xdr:colOff>
      <xdr:row>34</xdr:row>
      <xdr:rowOff>167640</xdr:rowOff>
    </xdr:to>
    <xdr:sp macro="" textlink="">
      <xdr:nvSpPr>
        <xdr:cNvPr id="32972" name="Line 204"/>
        <xdr:cNvSpPr>
          <a:spLocks noChangeShapeType="1"/>
        </xdr:cNvSpPr>
      </xdr:nvSpPr>
      <xdr:spPr bwMode="auto">
        <a:xfrm>
          <a:off x="2065020" y="6278880"/>
          <a:ext cx="0" cy="3429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31</xdr:row>
      <xdr:rowOff>144780</xdr:rowOff>
    </xdr:from>
    <xdr:to>
      <xdr:col>5</xdr:col>
      <xdr:colOff>0</xdr:colOff>
      <xdr:row>34</xdr:row>
      <xdr:rowOff>167640</xdr:rowOff>
    </xdr:to>
    <xdr:sp macro="" textlink="">
      <xdr:nvSpPr>
        <xdr:cNvPr id="32973" name="Line 205"/>
        <xdr:cNvSpPr>
          <a:spLocks noChangeShapeType="1"/>
        </xdr:cNvSpPr>
      </xdr:nvSpPr>
      <xdr:spPr bwMode="auto">
        <a:xfrm>
          <a:off x="2933700" y="6278880"/>
          <a:ext cx="0" cy="3429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7620</xdr:colOff>
      <xdr:row>31</xdr:row>
      <xdr:rowOff>83820</xdr:rowOff>
    </xdr:from>
    <xdr:to>
      <xdr:col>6</xdr:col>
      <xdr:colOff>0</xdr:colOff>
      <xdr:row>31</xdr:row>
      <xdr:rowOff>83820</xdr:rowOff>
    </xdr:to>
    <xdr:sp macro="" textlink="">
      <xdr:nvSpPr>
        <xdr:cNvPr id="32974" name="Line 206"/>
        <xdr:cNvSpPr>
          <a:spLocks noChangeShapeType="1"/>
        </xdr:cNvSpPr>
      </xdr:nvSpPr>
      <xdr:spPr bwMode="auto">
        <a:xfrm>
          <a:off x="2941320" y="6233160"/>
          <a:ext cx="4267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373380</xdr:colOff>
      <xdr:row>34</xdr:row>
      <xdr:rowOff>76200</xdr:rowOff>
    </xdr:from>
    <xdr:to>
      <xdr:col>5</xdr:col>
      <xdr:colOff>731520</xdr:colOff>
      <xdr:row>34</xdr:row>
      <xdr:rowOff>76200</xdr:rowOff>
    </xdr:to>
    <xdr:sp macro="" textlink="">
      <xdr:nvSpPr>
        <xdr:cNvPr id="32975" name="Line 207"/>
        <xdr:cNvSpPr>
          <a:spLocks noChangeShapeType="1"/>
        </xdr:cNvSpPr>
      </xdr:nvSpPr>
      <xdr:spPr bwMode="auto">
        <a:xfrm>
          <a:off x="2933700" y="6568440"/>
          <a:ext cx="43434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15240</xdr:colOff>
      <xdr:row>32</xdr:row>
      <xdr:rowOff>0</xdr:rowOff>
    </xdr:from>
    <xdr:to>
      <xdr:col>4</xdr:col>
      <xdr:colOff>358140</xdr:colOff>
      <xdr:row>32</xdr:row>
      <xdr:rowOff>0</xdr:rowOff>
    </xdr:to>
    <xdr:sp macro="" textlink="">
      <xdr:nvSpPr>
        <xdr:cNvPr id="32979" name="Line 211"/>
        <xdr:cNvSpPr>
          <a:spLocks noChangeShapeType="1"/>
        </xdr:cNvSpPr>
      </xdr:nvSpPr>
      <xdr:spPr bwMode="auto">
        <a:xfrm>
          <a:off x="15240" y="6278880"/>
          <a:ext cx="29032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2</xdr:col>
      <xdr:colOff>15240</xdr:colOff>
      <xdr:row>19</xdr:row>
      <xdr:rowOff>0</xdr:rowOff>
    </xdr:from>
    <xdr:ext cx="457200" cy="152400"/>
    <xdr:sp macro="" textlink="">
      <xdr:nvSpPr>
        <xdr:cNvPr id="32984" name="Text Box 216"/>
        <xdr:cNvSpPr txBox="1">
          <a:spLocks noChangeArrowheads="1"/>
        </xdr:cNvSpPr>
      </xdr:nvSpPr>
      <xdr:spPr bwMode="auto">
        <a:xfrm>
          <a:off x="1417320" y="438912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2</xdr:col>
      <xdr:colOff>0</xdr:colOff>
      <xdr:row>21</xdr:row>
      <xdr:rowOff>22860</xdr:rowOff>
    </xdr:from>
    <xdr:ext cx="335280" cy="152400"/>
    <xdr:sp macro="" textlink="">
      <xdr:nvSpPr>
        <xdr:cNvPr id="32985" name="Text Box 217"/>
        <xdr:cNvSpPr txBox="1">
          <a:spLocks noChangeArrowheads="1"/>
        </xdr:cNvSpPr>
      </xdr:nvSpPr>
      <xdr:spPr bwMode="auto">
        <a:xfrm>
          <a:off x="1402080" y="476250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2</xdr:col>
      <xdr:colOff>15240</xdr:colOff>
      <xdr:row>23</xdr:row>
      <xdr:rowOff>76200</xdr:rowOff>
    </xdr:from>
    <xdr:ext cx="335280" cy="152400"/>
    <xdr:sp macro="" textlink="">
      <xdr:nvSpPr>
        <xdr:cNvPr id="32986" name="Text Box 218"/>
        <xdr:cNvSpPr txBox="1">
          <a:spLocks noChangeArrowheads="1"/>
        </xdr:cNvSpPr>
      </xdr:nvSpPr>
      <xdr:spPr bwMode="auto">
        <a:xfrm>
          <a:off x="1417320" y="507492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2</xdr:col>
      <xdr:colOff>15240</xdr:colOff>
      <xdr:row>27</xdr:row>
      <xdr:rowOff>15240</xdr:rowOff>
    </xdr:from>
    <xdr:ext cx="335280" cy="152400"/>
    <xdr:sp macro="" textlink="">
      <xdr:nvSpPr>
        <xdr:cNvPr id="32987" name="Text Box 219"/>
        <xdr:cNvSpPr txBox="1">
          <a:spLocks noChangeArrowheads="1"/>
        </xdr:cNvSpPr>
      </xdr:nvSpPr>
      <xdr:spPr bwMode="auto">
        <a:xfrm>
          <a:off x="1417320" y="553212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3</xdr:col>
      <xdr:colOff>190500</xdr:colOff>
      <xdr:row>28</xdr:row>
      <xdr:rowOff>15240</xdr:rowOff>
    </xdr:from>
    <xdr:ext cx="457200" cy="152400"/>
    <xdr:sp macro="" textlink="">
      <xdr:nvSpPr>
        <xdr:cNvPr id="32988" name="Text Box 220"/>
        <xdr:cNvSpPr txBox="1">
          <a:spLocks noChangeArrowheads="1"/>
        </xdr:cNvSpPr>
      </xdr:nvSpPr>
      <xdr:spPr bwMode="auto">
        <a:xfrm>
          <a:off x="2255520" y="569214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2</xdr:col>
      <xdr:colOff>15240</xdr:colOff>
      <xdr:row>30</xdr:row>
      <xdr:rowOff>30480</xdr:rowOff>
    </xdr:from>
    <xdr:ext cx="335280" cy="152400"/>
    <xdr:sp macro="" textlink="">
      <xdr:nvSpPr>
        <xdr:cNvPr id="32989" name="Text Box 221"/>
        <xdr:cNvSpPr txBox="1">
          <a:spLocks noChangeArrowheads="1"/>
        </xdr:cNvSpPr>
      </xdr:nvSpPr>
      <xdr:spPr bwMode="auto">
        <a:xfrm>
          <a:off x="1417320" y="596646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3</xdr:col>
      <xdr:colOff>213360</xdr:colOff>
      <xdr:row>31</xdr:row>
      <xdr:rowOff>0</xdr:rowOff>
    </xdr:from>
    <xdr:ext cx="457200" cy="152400"/>
    <xdr:sp macro="" textlink="">
      <xdr:nvSpPr>
        <xdr:cNvPr id="32990" name="Text Box 222"/>
        <xdr:cNvSpPr txBox="1">
          <a:spLocks noChangeArrowheads="1"/>
        </xdr:cNvSpPr>
      </xdr:nvSpPr>
      <xdr:spPr bwMode="auto">
        <a:xfrm>
          <a:off x="2278380" y="614934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1</xdr:col>
      <xdr:colOff>609600</xdr:colOff>
      <xdr:row>33</xdr:row>
      <xdr:rowOff>45720</xdr:rowOff>
    </xdr:from>
    <xdr:ext cx="457200" cy="152400"/>
    <xdr:sp macro="" textlink="">
      <xdr:nvSpPr>
        <xdr:cNvPr id="32991" name="Text Box 223"/>
        <xdr:cNvSpPr txBox="1">
          <a:spLocks noChangeArrowheads="1"/>
        </xdr:cNvSpPr>
      </xdr:nvSpPr>
      <xdr:spPr bwMode="auto">
        <a:xfrm>
          <a:off x="1333500" y="640842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3</xdr:col>
      <xdr:colOff>205740</xdr:colOff>
      <xdr:row>34</xdr:row>
      <xdr:rowOff>0</xdr:rowOff>
    </xdr:from>
    <xdr:ext cx="335280" cy="152400"/>
    <xdr:sp macro="" textlink="">
      <xdr:nvSpPr>
        <xdr:cNvPr id="32992" name="Text Box 224"/>
        <xdr:cNvSpPr txBox="1">
          <a:spLocks noChangeArrowheads="1"/>
        </xdr:cNvSpPr>
      </xdr:nvSpPr>
      <xdr:spPr bwMode="auto">
        <a:xfrm>
          <a:off x="2270760" y="649224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 editAs="oneCell">
    <xdr:from>
      <xdr:col>3</xdr:col>
      <xdr:colOff>205740</xdr:colOff>
      <xdr:row>17</xdr:row>
      <xdr:rowOff>0</xdr:rowOff>
    </xdr:from>
    <xdr:to>
      <xdr:col>4</xdr:col>
      <xdr:colOff>160020</xdr:colOff>
      <xdr:row>17</xdr:row>
      <xdr:rowOff>167640</xdr:rowOff>
    </xdr:to>
    <xdr:sp macro="" textlink="">
      <xdr:nvSpPr>
        <xdr:cNvPr id="32997" name="Text Box 229"/>
        <xdr:cNvSpPr txBox="1">
          <a:spLocks noChangeArrowheads="1"/>
        </xdr:cNvSpPr>
      </xdr:nvSpPr>
      <xdr:spPr bwMode="auto">
        <a:xfrm>
          <a:off x="2270760" y="4069080"/>
          <a:ext cx="449580" cy="1676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CLOSEDCLOSED</a:t>
          </a:r>
        </a:p>
      </xdr:txBody>
    </xdr:sp>
    <xdr:clientData/>
  </xdr:twoCellAnchor>
  <xdr:twoCellAnchor>
    <xdr:from>
      <xdr:col>3</xdr:col>
      <xdr:colOff>7620</xdr:colOff>
      <xdr:row>17</xdr:row>
      <xdr:rowOff>182880</xdr:rowOff>
    </xdr:from>
    <xdr:to>
      <xdr:col>5</xdr:col>
      <xdr:colOff>0</xdr:colOff>
      <xdr:row>18</xdr:row>
      <xdr:rowOff>0</xdr:rowOff>
    </xdr:to>
    <xdr:sp macro="" textlink="">
      <xdr:nvSpPr>
        <xdr:cNvPr id="32998" name="Line 230"/>
        <xdr:cNvSpPr>
          <a:spLocks noChangeShapeType="1"/>
        </xdr:cNvSpPr>
      </xdr:nvSpPr>
      <xdr:spPr bwMode="auto">
        <a:xfrm flipV="1">
          <a:off x="2072640" y="4251960"/>
          <a:ext cx="861060" cy="76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609600</xdr:colOff>
      <xdr:row>6</xdr:row>
      <xdr:rowOff>15240</xdr:rowOff>
    </xdr:from>
    <xdr:ext cx="335280" cy="152400"/>
    <xdr:sp macro="" textlink="">
      <xdr:nvSpPr>
        <xdr:cNvPr id="33009" name="Text Box 241"/>
        <xdr:cNvSpPr txBox="1">
          <a:spLocks noChangeArrowheads="1"/>
        </xdr:cNvSpPr>
      </xdr:nvSpPr>
      <xdr:spPr bwMode="auto">
        <a:xfrm>
          <a:off x="1333500" y="130302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38100</xdr:colOff>
      <xdr:row>10</xdr:row>
      <xdr:rowOff>7620</xdr:rowOff>
    </xdr:from>
    <xdr:to>
      <xdr:col>3</xdr:col>
      <xdr:colOff>30480</xdr:colOff>
      <xdr:row>10</xdr:row>
      <xdr:rowOff>7620</xdr:rowOff>
    </xdr:to>
    <xdr:sp macro="" textlink="">
      <xdr:nvSpPr>
        <xdr:cNvPr id="33010" name="Line 242"/>
        <xdr:cNvSpPr>
          <a:spLocks noChangeShapeType="1"/>
        </xdr:cNvSpPr>
      </xdr:nvSpPr>
      <xdr:spPr bwMode="auto">
        <a:xfrm>
          <a:off x="762000" y="2125980"/>
          <a:ext cx="13335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14</xdr:row>
      <xdr:rowOff>182880</xdr:rowOff>
    </xdr:from>
    <xdr:to>
      <xdr:col>4</xdr:col>
      <xdr:colOff>365760</xdr:colOff>
      <xdr:row>14</xdr:row>
      <xdr:rowOff>182880</xdr:rowOff>
    </xdr:to>
    <xdr:sp macro="" textlink="">
      <xdr:nvSpPr>
        <xdr:cNvPr id="33012" name="Line 244"/>
        <xdr:cNvSpPr>
          <a:spLocks noChangeShapeType="1"/>
        </xdr:cNvSpPr>
      </xdr:nvSpPr>
      <xdr:spPr bwMode="auto">
        <a:xfrm>
          <a:off x="2065020" y="3032760"/>
          <a:ext cx="86106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259080</xdr:colOff>
      <xdr:row>14</xdr:row>
      <xdr:rowOff>0</xdr:rowOff>
    </xdr:from>
    <xdr:ext cx="335280" cy="152400"/>
    <xdr:sp macro="" textlink="">
      <xdr:nvSpPr>
        <xdr:cNvPr id="33013" name="Text Box 245"/>
        <xdr:cNvSpPr txBox="1">
          <a:spLocks noChangeArrowheads="1"/>
        </xdr:cNvSpPr>
      </xdr:nvSpPr>
      <xdr:spPr bwMode="auto">
        <a:xfrm>
          <a:off x="2324100" y="284988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3</xdr:col>
      <xdr:colOff>0</xdr:colOff>
      <xdr:row>34</xdr:row>
      <xdr:rowOff>91440</xdr:rowOff>
    </xdr:from>
    <xdr:to>
      <xdr:col>3</xdr:col>
      <xdr:colOff>0</xdr:colOff>
      <xdr:row>37</xdr:row>
      <xdr:rowOff>15240</xdr:rowOff>
    </xdr:to>
    <xdr:sp macro="" textlink="">
      <xdr:nvSpPr>
        <xdr:cNvPr id="33015" name="Line 247"/>
        <xdr:cNvSpPr>
          <a:spLocks noChangeShapeType="1"/>
        </xdr:cNvSpPr>
      </xdr:nvSpPr>
      <xdr:spPr bwMode="auto">
        <a:xfrm flipV="1">
          <a:off x="2065020" y="6583680"/>
          <a:ext cx="0" cy="3124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34</xdr:row>
      <xdr:rowOff>144780</xdr:rowOff>
    </xdr:from>
    <xdr:to>
      <xdr:col>5</xdr:col>
      <xdr:colOff>0</xdr:colOff>
      <xdr:row>37</xdr:row>
      <xdr:rowOff>0</xdr:rowOff>
    </xdr:to>
    <xdr:sp macro="" textlink="">
      <xdr:nvSpPr>
        <xdr:cNvPr id="33016" name="Line 248"/>
        <xdr:cNvSpPr>
          <a:spLocks noChangeShapeType="1"/>
        </xdr:cNvSpPr>
      </xdr:nvSpPr>
      <xdr:spPr bwMode="auto">
        <a:xfrm flipH="1" flipV="1">
          <a:off x="2933700" y="6621780"/>
          <a:ext cx="0" cy="2590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655320</xdr:colOff>
      <xdr:row>36</xdr:row>
      <xdr:rowOff>0</xdr:rowOff>
    </xdr:from>
    <xdr:to>
      <xdr:col>4</xdr:col>
      <xdr:colOff>358140</xdr:colOff>
      <xdr:row>36</xdr:row>
      <xdr:rowOff>0</xdr:rowOff>
    </xdr:to>
    <xdr:sp macro="" textlink="">
      <xdr:nvSpPr>
        <xdr:cNvPr id="33017" name="Line 249"/>
        <xdr:cNvSpPr>
          <a:spLocks noChangeShapeType="1"/>
        </xdr:cNvSpPr>
      </xdr:nvSpPr>
      <xdr:spPr bwMode="auto">
        <a:xfrm>
          <a:off x="2057400" y="6751320"/>
          <a:ext cx="86106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205740</xdr:colOff>
      <xdr:row>35</xdr:row>
      <xdr:rowOff>106680</xdr:rowOff>
    </xdr:from>
    <xdr:ext cx="457200" cy="152400"/>
    <xdr:sp macro="" textlink="">
      <xdr:nvSpPr>
        <xdr:cNvPr id="33018" name="Text Box 250"/>
        <xdr:cNvSpPr txBox="1">
          <a:spLocks noChangeArrowheads="1"/>
        </xdr:cNvSpPr>
      </xdr:nvSpPr>
      <xdr:spPr bwMode="auto">
        <a:xfrm>
          <a:off x="2270760" y="672846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1</xdr:col>
      <xdr:colOff>7620</xdr:colOff>
      <xdr:row>6</xdr:row>
      <xdr:rowOff>0</xdr:rowOff>
    </xdr:from>
    <xdr:to>
      <xdr:col>1</xdr:col>
      <xdr:colOff>7620</xdr:colOff>
      <xdr:row>7</xdr:row>
      <xdr:rowOff>0</xdr:rowOff>
    </xdr:to>
    <xdr:sp macro="" textlink="">
      <xdr:nvSpPr>
        <xdr:cNvPr id="33025" name="Line 257"/>
        <xdr:cNvSpPr>
          <a:spLocks noChangeShapeType="1"/>
        </xdr:cNvSpPr>
      </xdr:nvSpPr>
      <xdr:spPr bwMode="auto">
        <a:xfrm flipV="1">
          <a:off x="731520" y="1287780"/>
          <a:ext cx="0" cy="2362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15240</xdr:colOff>
      <xdr:row>3</xdr:row>
      <xdr:rowOff>7620</xdr:rowOff>
    </xdr:from>
    <xdr:to>
      <xdr:col>2</xdr:col>
      <xdr:colOff>297180</xdr:colOff>
      <xdr:row>3</xdr:row>
      <xdr:rowOff>7620</xdr:rowOff>
    </xdr:to>
    <xdr:sp macro="" textlink="">
      <xdr:nvSpPr>
        <xdr:cNvPr id="33026" name="Line 258"/>
        <xdr:cNvSpPr>
          <a:spLocks noChangeShapeType="1"/>
        </xdr:cNvSpPr>
      </xdr:nvSpPr>
      <xdr:spPr bwMode="auto">
        <a:xfrm>
          <a:off x="15240" y="678180"/>
          <a:ext cx="16840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281940</xdr:colOff>
      <xdr:row>0</xdr:row>
      <xdr:rowOff>167640</xdr:rowOff>
    </xdr:from>
    <xdr:to>
      <xdr:col>2</xdr:col>
      <xdr:colOff>655320</xdr:colOff>
      <xdr:row>3</xdr:row>
      <xdr:rowOff>7620</xdr:rowOff>
    </xdr:to>
    <xdr:sp macro="" textlink="">
      <xdr:nvSpPr>
        <xdr:cNvPr id="33028" name="Line 260"/>
        <xdr:cNvSpPr>
          <a:spLocks noChangeShapeType="1"/>
        </xdr:cNvSpPr>
      </xdr:nvSpPr>
      <xdr:spPr bwMode="auto">
        <a:xfrm flipV="1">
          <a:off x="1684020" y="167640"/>
          <a:ext cx="373380" cy="51054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220980</xdr:colOff>
      <xdr:row>15</xdr:row>
      <xdr:rowOff>0</xdr:rowOff>
    </xdr:from>
    <xdr:to>
      <xdr:col>6</xdr:col>
      <xdr:colOff>220980</xdr:colOff>
      <xdr:row>18</xdr:row>
      <xdr:rowOff>15240</xdr:rowOff>
    </xdr:to>
    <xdr:sp macro="" textlink="">
      <xdr:nvSpPr>
        <xdr:cNvPr id="33097" name="Line 329"/>
        <xdr:cNvSpPr>
          <a:spLocks noChangeShapeType="1"/>
        </xdr:cNvSpPr>
      </xdr:nvSpPr>
      <xdr:spPr bwMode="auto">
        <a:xfrm flipH="1" flipV="1">
          <a:off x="3589020" y="3048000"/>
          <a:ext cx="0" cy="12268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15240</xdr:colOff>
      <xdr:row>15</xdr:row>
      <xdr:rowOff>0</xdr:rowOff>
    </xdr:from>
    <xdr:to>
      <xdr:col>2</xdr:col>
      <xdr:colOff>15240</xdr:colOff>
      <xdr:row>18</xdr:row>
      <xdr:rowOff>15240</xdr:rowOff>
    </xdr:to>
    <xdr:sp macro="" textlink="">
      <xdr:nvSpPr>
        <xdr:cNvPr id="33099" name="Line 331"/>
        <xdr:cNvSpPr>
          <a:spLocks noChangeShapeType="1"/>
        </xdr:cNvSpPr>
      </xdr:nvSpPr>
      <xdr:spPr bwMode="auto">
        <a:xfrm flipV="1">
          <a:off x="1417320" y="3048000"/>
          <a:ext cx="0" cy="12268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15240</xdr:colOff>
      <xdr:row>14</xdr:row>
      <xdr:rowOff>182880</xdr:rowOff>
    </xdr:from>
    <xdr:to>
      <xdr:col>2</xdr:col>
      <xdr:colOff>647700</xdr:colOff>
      <xdr:row>14</xdr:row>
      <xdr:rowOff>182880</xdr:rowOff>
    </xdr:to>
    <xdr:sp macro="" textlink="">
      <xdr:nvSpPr>
        <xdr:cNvPr id="33100" name="Line 332"/>
        <xdr:cNvSpPr>
          <a:spLocks noChangeShapeType="1"/>
        </xdr:cNvSpPr>
      </xdr:nvSpPr>
      <xdr:spPr bwMode="auto">
        <a:xfrm>
          <a:off x="1417320" y="3032760"/>
          <a:ext cx="63246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7620</xdr:colOff>
      <xdr:row>14</xdr:row>
      <xdr:rowOff>182880</xdr:rowOff>
    </xdr:from>
    <xdr:to>
      <xdr:col>6</xdr:col>
      <xdr:colOff>236220</xdr:colOff>
      <xdr:row>14</xdr:row>
      <xdr:rowOff>182880</xdr:rowOff>
    </xdr:to>
    <xdr:sp macro="" textlink="">
      <xdr:nvSpPr>
        <xdr:cNvPr id="33102" name="Line 334"/>
        <xdr:cNvSpPr>
          <a:spLocks noChangeShapeType="1"/>
        </xdr:cNvSpPr>
      </xdr:nvSpPr>
      <xdr:spPr bwMode="auto">
        <a:xfrm>
          <a:off x="2941320" y="3032760"/>
          <a:ext cx="66294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15240</xdr:colOff>
      <xdr:row>18</xdr:row>
      <xdr:rowOff>0</xdr:rowOff>
    </xdr:from>
    <xdr:to>
      <xdr:col>6</xdr:col>
      <xdr:colOff>236220</xdr:colOff>
      <xdr:row>18</xdr:row>
      <xdr:rowOff>0</xdr:rowOff>
    </xdr:to>
    <xdr:sp macro="" textlink="">
      <xdr:nvSpPr>
        <xdr:cNvPr id="33103" name="Line 335"/>
        <xdr:cNvSpPr>
          <a:spLocks noChangeShapeType="1"/>
        </xdr:cNvSpPr>
      </xdr:nvSpPr>
      <xdr:spPr bwMode="auto">
        <a:xfrm flipV="1">
          <a:off x="2948940" y="4259580"/>
          <a:ext cx="6553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15240</xdr:colOff>
      <xdr:row>18</xdr:row>
      <xdr:rowOff>0</xdr:rowOff>
    </xdr:from>
    <xdr:to>
      <xdr:col>3</xdr:col>
      <xdr:colOff>7620</xdr:colOff>
      <xdr:row>18</xdr:row>
      <xdr:rowOff>0</xdr:rowOff>
    </xdr:to>
    <xdr:sp macro="" textlink="">
      <xdr:nvSpPr>
        <xdr:cNvPr id="33104" name="Line 336"/>
        <xdr:cNvSpPr>
          <a:spLocks noChangeShapeType="1"/>
        </xdr:cNvSpPr>
      </xdr:nvSpPr>
      <xdr:spPr bwMode="auto">
        <a:xfrm>
          <a:off x="1417320" y="4259580"/>
          <a:ext cx="6553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6</xdr:col>
      <xdr:colOff>236220</xdr:colOff>
      <xdr:row>16</xdr:row>
      <xdr:rowOff>0</xdr:rowOff>
    </xdr:from>
    <xdr:ext cx="457200" cy="152400"/>
    <xdr:sp macro="" textlink="">
      <xdr:nvSpPr>
        <xdr:cNvPr id="33107" name="Text Box 339"/>
        <xdr:cNvSpPr txBox="1">
          <a:spLocks noChangeArrowheads="1"/>
        </xdr:cNvSpPr>
      </xdr:nvSpPr>
      <xdr:spPr bwMode="auto">
        <a:xfrm>
          <a:off x="3604260" y="358902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1</xdr:col>
      <xdr:colOff>129540</xdr:colOff>
      <xdr:row>16</xdr:row>
      <xdr:rowOff>7620</xdr:rowOff>
    </xdr:from>
    <xdr:to>
      <xdr:col>2</xdr:col>
      <xdr:colOff>0</xdr:colOff>
      <xdr:row>16</xdr:row>
      <xdr:rowOff>167640</xdr:rowOff>
    </xdr:to>
    <xdr:sp macro="" textlink="">
      <xdr:nvSpPr>
        <xdr:cNvPr id="33108" name="Text Box 340"/>
        <xdr:cNvSpPr txBox="1">
          <a:spLocks noChangeArrowheads="1"/>
        </xdr:cNvSpPr>
      </xdr:nvSpPr>
      <xdr:spPr bwMode="auto">
        <a:xfrm>
          <a:off x="853440" y="3596640"/>
          <a:ext cx="548640" cy="1600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twoCellAnchor>
  <xdr:twoCellAnchor>
    <xdr:from>
      <xdr:col>4</xdr:col>
      <xdr:colOff>365760</xdr:colOff>
      <xdr:row>17</xdr:row>
      <xdr:rowOff>152400</xdr:rowOff>
    </xdr:from>
    <xdr:to>
      <xdr:col>5</xdr:col>
      <xdr:colOff>7620</xdr:colOff>
      <xdr:row>19</xdr:row>
      <xdr:rowOff>182880</xdr:rowOff>
    </xdr:to>
    <xdr:sp macro="" textlink="">
      <xdr:nvSpPr>
        <xdr:cNvPr id="33110" name="Line 342"/>
        <xdr:cNvSpPr>
          <a:spLocks noChangeShapeType="1"/>
        </xdr:cNvSpPr>
      </xdr:nvSpPr>
      <xdr:spPr bwMode="auto">
        <a:xfrm rot="334948828" flipH="1" flipV="1">
          <a:off x="2926080" y="4221480"/>
          <a:ext cx="15240" cy="3505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502920</xdr:colOff>
      <xdr:row>17</xdr:row>
      <xdr:rowOff>160020</xdr:rowOff>
    </xdr:from>
    <xdr:to>
      <xdr:col>3</xdr:col>
      <xdr:colOff>167640</xdr:colOff>
      <xdr:row>17</xdr:row>
      <xdr:rowOff>167640</xdr:rowOff>
    </xdr:to>
    <xdr:sp macro="" textlink="">
      <xdr:nvSpPr>
        <xdr:cNvPr id="33111" name="Line 343"/>
        <xdr:cNvSpPr>
          <a:spLocks noChangeShapeType="1"/>
        </xdr:cNvSpPr>
      </xdr:nvSpPr>
      <xdr:spPr bwMode="auto">
        <a:xfrm rot="16019238" flipV="1">
          <a:off x="2065020" y="4069080"/>
          <a:ext cx="7620" cy="32766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624840</xdr:colOff>
      <xdr:row>17</xdr:row>
      <xdr:rowOff>160020</xdr:rowOff>
    </xdr:from>
    <xdr:to>
      <xdr:col>3</xdr:col>
      <xdr:colOff>38100</xdr:colOff>
      <xdr:row>18</xdr:row>
      <xdr:rowOff>45720</xdr:rowOff>
    </xdr:to>
    <xdr:sp macro="[0]!LINE2ARROWROTATATEHOTSPOT" textlink="">
      <xdr:nvSpPr>
        <xdr:cNvPr id="33112" name="Oval 344"/>
        <xdr:cNvSpPr>
          <a:spLocks noChangeArrowheads="1"/>
        </xdr:cNvSpPr>
      </xdr:nvSpPr>
      <xdr:spPr bwMode="auto">
        <a:xfrm>
          <a:off x="2026920" y="4229100"/>
          <a:ext cx="76200" cy="762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4</xdr:col>
      <xdr:colOff>342900</xdr:colOff>
      <xdr:row>17</xdr:row>
      <xdr:rowOff>144780</xdr:rowOff>
    </xdr:from>
    <xdr:to>
      <xdr:col>5</xdr:col>
      <xdr:colOff>45720</xdr:colOff>
      <xdr:row>18</xdr:row>
      <xdr:rowOff>22860</xdr:rowOff>
    </xdr:to>
    <xdr:sp macro="[0]!LINE1VALVEROTATEHOTSPOT" textlink="">
      <xdr:nvSpPr>
        <xdr:cNvPr id="33113" name="Oval 345"/>
        <xdr:cNvSpPr>
          <a:spLocks noChangeArrowheads="1"/>
        </xdr:cNvSpPr>
      </xdr:nvSpPr>
      <xdr:spPr bwMode="auto">
        <a:xfrm>
          <a:off x="2903220" y="4213860"/>
          <a:ext cx="76200" cy="6858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4</xdr:col>
      <xdr:colOff>335280</xdr:colOff>
      <xdr:row>20</xdr:row>
      <xdr:rowOff>106680</xdr:rowOff>
    </xdr:from>
    <xdr:to>
      <xdr:col>5</xdr:col>
      <xdr:colOff>38100</xdr:colOff>
      <xdr:row>21</xdr:row>
      <xdr:rowOff>38100</xdr:rowOff>
    </xdr:to>
    <xdr:sp macro="[0]!LINE1SOUTHVALVEROTATEHOTSPOT" textlink="">
      <xdr:nvSpPr>
        <xdr:cNvPr id="33114" name="Oval 346"/>
        <xdr:cNvSpPr>
          <a:spLocks noChangeArrowheads="1"/>
        </xdr:cNvSpPr>
      </xdr:nvSpPr>
      <xdr:spPr bwMode="auto">
        <a:xfrm>
          <a:off x="2895600" y="4709160"/>
          <a:ext cx="76200" cy="6858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2</xdr:col>
      <xdr:colOff>624840</xdr:colOff>
      <xdr:row>20</xdr:row>
      <xdr:rowOff>114300</xdr:rowOff>
    </xdr:from>
    <xdr:to>
      <xdr:col>3</xdr:col>
      <xdr:colOff>38100</xdr:colOff>
      <xdr:row>21</xdr:row>
      <xdr:rowOff>45720</xdr:rowOff>
    </xdr:to>
    <xdr:sp macro="[0]!LINE2SOUTHVALVEROTATEHOTSPOT" textlink="">
      <xdr:nvSpPr>
        <xdr:cNvPr id="33115" name="Oval 347"/>
        <xdr:cNvSpPr>
          <a:spLocks noChangeArrowheads="1"/>
        </xdr:cNvSpPr>
      </xdr:nvSpPr>
      <xdr:spPr bwMode="auto">
        <a:xfrm>
          <a:off x="2026920" y="4716780"/>
          <a:ext cx="76200" cy="6858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25</xdr:row>
      <xdr:rowOff>0</xdr:rowOff>
    </xdr:from>
    <xdr:to>
      <xdr:col>3</xdr:col>
      <xdr:colOff>0</xdr:colOff>
      <xdr:row>25</xdr:row>
      <xdr:rowOff>0</xdr:rowOff>
    </xdr:to>
    <xdr:sp macro="" textlink="">
      <xdr:nvSpPr>
        <xdr:cNvPr id="33118" name="Line 350"/>
        <xdr:cNvSpPr>
          <a:spLocks noChangeShapeType="1"/>
        </xdr:cNvSpPr>
      </xdr:nvSpPr>
      <xdr:spPr bwMode="auto">
        <a:xfrm>
          <a:off x="723900" y="5242560"/>
          <a:ext cx="13411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6</xdr:row>
      <xdr:rowOff>0</xdr:rowOff>
    </xdr:from>
    <xdr:to>
      <xdr:col>3</xdr:col>
      <xdr:colOff>0</xdr:colOff>
      <xdr:row>6</xdr:row>
      <xdr:rowOff>0</xdr:rowOff>
    </xdr:to>
    <xdr:sp macro="" textlink="">
      <xdr:nvSpPr>
        <xdr:cNvPr id="33119" name="Line 351"/>
        <xdr:cNvSpPr>
          <a:spLocks noChangeShapeType="1"/>
        </xdr:cNvSpPr>
      </xdr:nvSpPr>
      <xdr:spPr bwMode="auto">
        <a:xfrm>
          <a:off x="731520" y="1287780"/>
          <a:ext cx="13335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7</xdr:row>
      <xdr:rowOff>121920</xdr:rowOff>
    </xdr:from>
    <xdr:to>
      <xdr:col>3</xdr:col>
      <xdr:colOff>0</xdr:colOff>
      <xdr:row>8</xdr:row>
      <xdr:rowOff>129540</xdr:rowOff>
    </xdr:to>
    <xdr:sp macro="" textlink="">
      <xdr:nvSpPr>
        <xdr:cNvPr id="33148" name="Line 380"/>
        <xdr:cNvSpPr>
          <a:spLocks noChangeShapeType="1"/>
        </xdr:cNvSpPr>
      </xdr:nvSpPr>
      <xdr:spPr bwMode="auto">
        <a:xfrm flipV="1">
          <a:off x="2065020" y="1645920"/>
          <a:ext cx="0" cy="190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327660</xdr:colOff>
      <xdr:row>2</xdr:row>
      <xdr:rowOff>0</xdr:rowOff>
    </xdr:from>
    <xdr:to>
      <xdr:col>10</xdr:col>
      <xdr:colOff>160020</xdr:colOff>
      <xdr:row>3</xdr:row>
      <xdr:rowOff>30480</xdr:rowOff>
    </xdr:to>
    <xdr:sp macro="" textlink="">
      <xdr:nvSpPr>
        <xdr:cNvPr id="33162" name="Line 394"/>
        <xdr:cNvSpPr>
          <a:spLocks noChangeShapeType="1"/>
        </xdr:cNvSpPr>
      </xdr:nvSpPr>
      <xdr:spPr bwMode="auto">
        <a:xfrm>
          <a:off x="5943600" y="464820"/>
          <a:ext cx="579120" cy="2362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388620</xdr:colOff>
      <xdr:row>4</xdr:row>
      <xdr:rowOff>0</xdr:rowOff>
    </xdr:from>
    <xdr:to>
      <xdr:col>10</xdr:col>
      <xdr:colOff>388620</xdr:colOff>
      <xdr:row>5</xdr:row>
      <xdr:rowOff>0</xdr:rowOff>
    </xdr:to>
    <xdr:sp macro="" textlink="">
      <xdr:nvSpPr>
        <xdr:cNvPr id="33163" name="Line 395"/>
        <xdr:cNvSpPr>
          <a:spLocks noChangeShapeType="1"/>
        </xdr:cNvSpPr>
      </xdr:nvSpPr>
      <xdr:spPr bwMode="auto">
        <a:xfrm>
          <a:off x="6751320" y="876300"/>
          <a:ext cx="0" cy="20574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5</xdr:row>
      <xdr:rowOff>7620</xdr:rowOff>
    </xdr:from>
    <xdr:to>
      <xdr:col>9</xdr:col>
      <xdr:colOff>0</xdr:colOff>
      <xdr:row>14</xdr:row>
      <xdr:rowOff>182880</xdr:rowOff>
    </xdr:to>
    <xdr:sp macro="" textlink="">
      <xdr:nvSpPr>
        <xdr:cNvPr id="33164" name="Line 396"/>
        <xdr:cNvSpPr>
          <a:spLocks noChangeShapeType="1"/>
        </xdr:cNvSpPr>
      </xdr:nvSpPr>
      <xdr:spPr bwMode="auto">
        <a:xfrm>
          <a:off x="5615940" y="1089660"/>
          <a:ext cx="0" cy="194310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480060</xdr:colOff>
      <xdr:row>5</xdr:row>
      <xdr:rowOff>0</xdr:rowOff>
    </xdr:from>
    <xdr:to>
      <xdr:col>12</xdr:col>
      <xdr:colOff>480060</xdr:colOff>
      <xdr:row>15</xdr:row>
      <xdr:rowOff>0</xdr:rowOff>
    </xdr:to>
    <xdr:sp macro="" textlink="">
      <xdr:nvSpPr>
        <xdr:cNvPr id="33165" name="Line 397"/>
        <xdr:cNvSpPr>
          <a:spLocks noChangeShapeType="1"/>
        </xdr:cNvSpPr>
      </xdr:nvSpPr>
      <xdr:spPr bwMode="auto">
        <a:xfrm>
          <a:off x="8831580" y="1082040"/>
          <a:ext cx="0" cy="196596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7620</xdr:colOff>
      <xdr:row>8</xdr:row>
      <xdr:rowOff>106680</xdr:rowOff>
    </xdr:from>
    <xdr:to>
      <xdr:col>9</xdr:col>
      <xdr:colOff>0</xdr:colOff>
      <xdr:row>8</xdr:row>
      <xdr:rowOff>106680</xdr:rowOff>
    </xdr:to>
    <xdr:sp macro="" textlink="">
      <xdr:nvSpPr>
        <xdr:cNvPr id="33166" name="Line 398"/>
        <xdr:cNvSpPr>
          <a:spLocks noChangeShapeType="1"/>
        </xdr:cNvSpPr>
      </xdr:nvSpPr>
      <xdr:spPr bwMode="auto">
        <a:xfrm>
          <a:off x="4876800" y="1813560"/>
          <a:ext cx="739140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449580</xdr:colOff>
      <xdr:row>17</xdr:row>
      <xdr:rowOff>0</xdr:rowOff>
    </xdr:from>
    <xdr:to>
      <xdr:col>10</xdr:col>
      <xdr:colOff>449580</xdr:colOff>
      <xdr:row>18</xdr:row>
      <xdr:rowOff>0</xdr:rowOff>
    </xdr:to>
    <xdr:sp macro="" textlink="">
      <xdr:nvSpPr>
        <xdr:cNvPr id="33167" name="Line 399"/>
        <xdr:cNvSpPr>
          <a:spLocks noChangeShapeType="1"/>
        </xdr:cNvSpPr>
      </xdr:nvSpPr>
      <xdr:spPr bwMode="auto">
        <a:xfrm flipV="1">
          <a:off x="6812280" y="4069080"/>
          <a:ext cx="0" cy="19050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441960</xdr:colOff>
      <xdr:row>15</xdr:row>
      <xdr:rowOff>0</xdr:rowOff>
    </xdr:from>
    <xdr:to>
      <xdr:col>10</xdr:col>
      <xdr:colOff>441960</xdr:colOff>
      <xdr:row>16</xdr:row>
      <xdr:rowOff>228600</xdr:rowOff>
    </xdr:to>
    <xdr:sp macro="" textlink="">
      <xdr:nvSpPr>
        <xdr:cNvPr id="33168" name="Line 400"/>
        <xdr:cNvSpPr>
          <a:spLocks noChangeShapeType="1"/>
        </xdr:cNvSpPr>
      </xdr:nvSpPr>
      <xdr:spPr bwMode="auto">
        <a:xfrm flipV="1">
          <a:off x="6804660" y="3048000"/>
          <a:ext cx="0" cy="76962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731520</xdr:colOff>
      <xdr:row>9</xdr:row>
      <xdr:rowOff>83820</xdr:rowOff>
    </xdr:from>
    <xdr:to>
      <xdr:col>8</xdr:col>
      <xdr:colOff>716280</xdr:colOff>
      <xdr:row>10</xdr:row>
      <xdr:rowOff>106680</xdr:rowOff>
    </xdr:to>
    <xdr:sp macro="" textlink="">
      <xdr:nvSpPr>
        <xdr:cNvPr id="33169" name="Line 401"/>
        <xdr:cNvSpPr>
          <a:spLocks noChangeShapeType="1"/>
        </xdr:cNvSpPr>
      </xdr:nvSpPr>
      <xdr:spPr bwMode="auto">
        <a:xfrm flipV="1">
          <a:off x="4853940" y="1973580"/>
          <a:ext cx="731520" cy="25146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739140</xdr:colOff>
      <xdr:row>5</xdr:row>
      <xdr:rowOff>0</xdr:rowOff>
    </xdr:from>
    <xdr:to>
      <xdr:col>12</xdr:col>
      <xdr:colOff>472440</xdr:colOff>
      <xdr:row>5</xdr:row>
      <xdr:rowOff>0</xdr:rowOff>
    </xdr:to>
    <xdr:sp macro="" textlink="">
      <xdr:nvSpPr>
        <xdr:cNvPr id="33170" name="Line 402"/>
        <xdr:cNvSpPr>
          <a:spLocks noChangeShapeType="1"/>
        </xdr:cNvSpPr>
      </xdr:nvSpPr>
      <xdr:spPr bwMode="auto">
        <a:xfrm>
          <a:off x="5608320" y="1082040"/>
          <a:ext cx="3223260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7620</xdr:colOff>
      <xdr:row>15</xdr:row>
      <xdr:rowOff>0</xdr:rowOff>
    </xdr:from>
    <xdr:to>
      <xdr:col>12</xdr:col>
      <xdr:colOff>480060</xdr:colOff>
      <xdr:row>15</xdr:row>
      <xdr:rowOff>0</xdr:rowOff>
    </xdr:to>
    <xdr:sp macro="" textlink="">
      <xdr:nvSpPr>
        <xdr:cNvPr id="33171" name="Line 403"/>
        <xdr:cNvSpPr>
          <a:spLocks noChangeShapeType="1"/>
        </xdr:cNvSpPr>
      </xdr:nvSpPr>
      <xdr:spPr bwMode="auto">
        <a:xfrm>
          <a:off x="5623560" y="3048000"/>
          <a:ext cx="3208020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7620</xdr:colOff>
      <xdr:row>15</xdr:row>
      <xdr:rowOff>220980</xdr:rowOff>
    </xdr:from>
    <xdr:to>
      <xdr:col>4</xdr:col>
      <xdr:colOff>365760</xdr:colOff>
      <xdr:row>16</xdr:row>
      <xdr:rowOff>251460</xdr:rowOff>
    </xdr:to>
    <xdr:sp macro="" textlink="">
      <xdr:nvSpPr>
        <xdr:cNvPr id="33181" name="Text Box 413"/>
        <xdr:cNvSpPr txBox="1">
          <a:spLocks noChangeArrowheads="1"/>
        </xdr:cNvSpPr>
      </xdr:nvSpPr>
      <xdr:spPr bwMode="auto">
        <a:xfrm>
          <a:off x="2072640" y="3268980"/>
          <a:ext cx="853440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MANHATTAN</a:t>
          </a:r>
        </a:p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STATION</a:t>
          </a:r>
        </a:p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CONTROL</a:t>
          </a:r>
        </a:p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LINE 1&amp;2</a:t>
          </a:r>
        </a:p>
        <a:p>
          <a:pPr algn="l" rtl="0">
            <a:defRPr sz="1000"/>
          </a:pPr>
          <a:endParaRPr lang="en-US" sz="7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7620</xdr:colOff>
      <xdr:row>13</xdr:row>
      <xdr:rowOff>0</xdr:rowOff>
    </xdr:from>
    <xdr:to>
      <xdr:col>5</xdr:col>
      <xdr:colOff>7620</xdr:colOff>
      <xdr:row>13</xdr:row>
      <xdr:rowOff>0</xdr:rowOff>
    </xdr:to>
    <xdr:sp macro="" textlink="">
      <xdr:nvSpPr>
        <xdr:cNvPr id="33185" name="Line 417"/>
        <xdr:cNvSpPr>
          <a:spLocks noChangeShapeType="1"/>
        </xdr:cNvSpPr>
      </xdr:nvSpPr>
      <xdr:spPr bwMode="auto">
        <a:xfrm>
          <a:off x="7620" y="2667000"/>
          <a:ext cx="2933700" cy="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12</xdr:row>
      <xdr:rowOff>7620</xdr:rowOff>
    </xdr:from>
    <xdr:to>
      <xdr:col>3</xdr:col>
      <xdr:colOff>0</xdr:colOff>
      <xdr:row>12</xdr:row>
      <xdr:rowOff>7620</xdr:rowOff>
    </xdr:to>
    <xdr:sp macro="" textlink="">
      <xdr:nvSpPr>
        <xdr:cNvPr id="33186" name="Line 418"/>
        <xdr:cNvSpPr>
          <a:spLocks noChangeShapeType="1"/>
        </xdr:cNvSpPr>
      </xdr:nvSpPr>
      <xdr:spPr bwMode="auto">
        <a:xfrm>
          <a:off x="731520" y="2491740"/>
          <a:ext cx="1333500" cy="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12</xdr:row>
      <xdr:rowOff>30480</xdr:rowOff>
    </xdr:from>
    <xdr:to>
      <xdr:col>1</xdr:col>
      <xdr:colOff>7620</xdr:colOff>
      <xdr:row>13</xdr:row>
      <xdr:rowOff>0</xdr:rowOff>
    </xdr:to>
    <xdr:sp macro="" textlink="">
      <xdr:nvSpPr>
        <xdr:cNvPr id="33187" name="Line 419"/>
        <xdr:cNvSpPr>
          <a:spLocks noChangeShapeType="1"/>
        </xdr:cNvSpPr>
      </xdr:nvSpPr>
      <xdr:spPr bwMode="auto">
        <a:xfrm>
          <a:off x="731520" y="2514600"/>
          <a:ext cx="0" cy="15240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457200</xdr:colOff>
      <xdr:row>11</xdr:row>
      <xdr:rowOff>68580</xdr:rowOff>
    </xdr:from>
    <xdr:to>
      <xdr:col>2</xdr:col>
      <xdr:colOff>281940</xdr:colOff>
      <xdr:row>12</xdr:row>
      <xdr:rowOff>7620</xdr:rowOff>
    </xdr:to>
    <xdr:sp macro="" textlink="">
      <xdr:nvSpPr>
        <xdr:cNvPr id="33188" name="Text Box 420"/>
        <xdr:cNvSpPr txBox="1">
          <a:spLocks noChangeArrowheads="1"/>
        </xdr:cNvSpPr>
      </xdr:nvSpPr>
      <xdr:spPr bwMode="auto">
        <a:xfrm>
          <a:off x="1181100" y="2369820"/>
          <a:ext cx="502920" cy="1219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twoCellAnchor>
  <xdr:twoCellAnchor>
    <xdr:from>
      <xdr:col>3</xdr:col>
      <xdr:colOff>297180</xdr:colOff>
      <xdr:row>12</xdr:row>
      <xdr:rowOff>45720</xdr:rowOff>
    </xdr:from>
    <xdr:to>
      <xdr:col>4</xdr:col>
      <xdr:colOff>205740</xdr:colOff>
      <xdr:row>13</xdr:row>
      <xdr:rowOff>0</xdr:rowOff>
    </xdr:to>
    <xdr:sp macro="" textlink="">
      <xdr:nvSpPr>
        <xdr:cNvPr id="33189" name="Text Box 421"/>
        <xdr:cNvSpPr txBox="1">
          <a:spLocks noChangeArrowheads="1"/>
        </xdr:cNvSpPr>
      </xdr:nvSpPr>
      <xdr:spPr bwMode="auto">
        <a:xfrm>
          <a:off x="2362200" y="2529840"/>
          <a:ext cx="403860" cy="1371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.xml"/><Relationship Id="rId13" Type="http://schemas.openxmlformats.org/officeDocument/2006/relationships/ctrlProp" Target="../ctrlProps/ctrlProp9.xml"/><Relationship Id="rId18" Type="http://schemas.openxmlformats.org/officeDocument/2006/relationships/ctrlProp" Target="../ctrlProps/ctrlProp14.xml"/><Relationship Id="rId3" Type="http://schemas.openxmlformats.org/officeDocument/2006/relationships/drawing" Target="../drawings/drawing1.xml"/><Relationship Id="rId7" Type="http://schemas.openxmlformats.org/officeDocument/2006/relationships/ctrlProp" Target="../ctrlProps/ctrlProp3.xml"/><Relationship Id="rId12" Type="http://schemas.openxmlformats.org/officeDocument/2006/relationships/ctrlProp" Target="../ctrlProps/ctrlProp8.xml"/><Relationship Id="rId17" Type="http://schemas.openxmlformats.org/officeDocument/2006/relationships/ctrlProp" Target="../ctrlProps/ctrlProp13.xml"/><Relationship Id="rId2" Type="http://schemas.openxmlformats.org/officeDocument/2006/relationships/printerSettings" Target="../printerSettings/printerSettings2.bin"/><Relationship Id="rId16" Type="http://schemas.openxmlformats.org/officeDocument/2006/relationships/ctrlProp" Target="../ctrlProps/ctrlProp12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2.xml"/><Relationship Id="rId11" Type="http://schemas.openxmlformats.org/officeDocument/2006/relationships/ctrlProp" Target="../ctrlProps/ctrlProp7.xml"/><Relationship Id="rId5" Type="http://schemas.openxmlformats.org/officeDocument/2006/relationships/ctrlProp" Target="../ctrlProps/ctrlProp1.xml"/><Relationship Id="rId15" Type="http://schemas.openxmlformats.org/officeDocument/2006/relationships/ctrlProp" Target="../ctrlProps/ctrlProp11.xml"/><Relationship Id="rId10" Type="http://schemas.openxmlformats.org/officeDocument/2006/relationships/ctrlProp" Target="../ctrlProps/ctrlProp6.xml"/><Relationship Id="rId4" Type="http://schemas.openxmlformats.org/officeDocument/2006/relationships/vmlDrawing" Target="../drawings/vmlDrawing1.vml"/><Relationship Id="rId9" Type="http://schemas.openxmlformats.org/officeDocument/2006/relationships/ctrlProp" Target="../ctrlProps/ctrlProp5.xml"/><Relationship Id="rId14" Type="http://schemas.openxmlformats.org/officeDocument/2006/relationships/ctrlProp" Target="../ctrlProps/ctrlProp10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0.bin"/><Relationship Id="rId1" Type="http://schemas.openxmlformats.org/officeDocument/2006/relationships/printerSettings" Target="../printerSettings/printerSettings1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2.bin"/><Relationship Id="rId1" Type="http://schemas.openxmlformats.org/officeDocument/2006/relationships/printerSettings" Target="../printerSettings/printerSettings2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4.bin"/><Relationship Id="rId1" Type="http://schemas.openxmlformats.org/officeDocument/2006/relationships/printerSettings" Target="../printerSettings/printerSettings23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6.bin"/><Relationship Id="rId1" Type="http://schemas.openxmlformats.org/officeDocument/2006/relationships/printerSettings" Target="../printerSettings/printerSettings25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8.bin"/><Relationship Id="rId1" Type="http://schemas.openxmlformats.org/officeDocument/2006/relationships/printerSettings" Target="../printerSettings/printerSettings27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2.bin"/><Relationship Id="rId1" Type="http://schemas.openxmlformats.org/officeDocument/2006/relationships/printerSettings" Target="../printerSettings/printerSettings31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4.bin"/><Relationship Id="rId1" Type="http://schemas.openxmlformats.org/officeDocument/2006/relationships/printerSettings" Target="../printerSettings/printerSettings33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6.bin"/><Relationship Id="rId1" Type="http://schemas.openxmlformats.org/officeDocument/2006/relationships/printerSettings" Target="../printerSettings/printerSettings35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38.bin"/><Relationship Id="rId1" Type="http://schemas.openxmlformats.org/officeDocument/2006/relationships/printerSettings" Target="../printerSettings/printerSettings37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8.xml"/><Relationship Id="rId3" Type="http://schemas.openxmlformats.org/officeDocument/2006/relationships/drawing" Target="../drawings/drawing2.xml"/><Relationship Id="rId7" Type="http://schemas.openxmlformats.org/officeDocument/2006/relationships/ctrlProp" Target="../ctrlProps/ctrlProp17.xml"/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16.xml"/><Relationship Id="rId5" Type="http://schemas.openxmlformats.org/officeDocument/2006/relationships/ctrlProp" Target="../ctrlProps/ctrlProp15.xml"/><Relationship Id="rId10" Type="http://schemas.openxmlformats.org/officeDocument/2006/relationships/ctrlProp" Target="../ctrlProps/ctrlProp20.xml"/><Relationship Id="rId4" Type="http://schemas.openxmlformats.org/officeDocument/2006/relationships/vmlDrawing" Target="../drawings/vmlDrawing2.vml"/><Relationship Id="rId9" Type="http://schemas.openxmlformats.org/officeDocument/2006/relationships/ctrlProp" Target="../ctrlProps/ctrlProp19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0.bin"/><Relationship Id="rId1" Type="http://schemas.openxmlformats.org/officeDocument/2006/relationships/printerSettings" Target="../printerSettings/printerSettings39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2.bin"/><Relationship Id="rId1" Type="http://schemas.openxmlformats.org/officeDocument/2006/relationships/printerSettings" Target="../printerSettings/printerSettings41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4.bin"/><Relationship Id="rId1" Type="http://schemas.openxmlformats.org/officeDocument/2006/relationships/printerSettings" Target="../printerSettings/printerSettings4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6.bin"/><Relationship Id="rId1" Type="http://schemas.openxmlformats.org/officeDocument/2006/relationships/printerSettings" Target="../printerSettings/printerSettings45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8.bin"/><Relationship Id="rId1" Type="http://schemas.openxmlformats.org/officeDocument/2006/relationships/printerSettings" Target="../printerSettings/printerSettings47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0.bin"/><Relationship Id="rId1" Type="http://schemas.openxmlformats.org/officeDocument/2006/relationships/printerSettings" Target="../printerSettings/printerSettings4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printerSettings" Target="../printerSettings/printerSettings1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printerSettings" Target="../printerSettings/printerSettings1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printerSettings" Target="../printerSettings/printerSettings1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autoPageBreaks="0"/>
  </sheetPr>
  <dimension ref="A1:CJ958"/>
  <sheetViews>
    <sheetView tabSelected="1" zoomScale="75" workbookViewId="0"/>
  </sheetViews>
  <sheetFormatPr defaultRowHeight="15"/>
  <cols>
    <col min="2" max="2" width="9" customWidth="1"/>
    <col min="5" max="5" width="9" customWidth="1"/>
    <col min="88" max="88" width="17.453125" bestFit="1" customWidth="1"/>
  </cols>
  <sheetData>
    <row r="1" spans="1:88">
      <c r="A1" s="1111" t="s">
        <v>11</v>
      </c>
      <c r="B1" s="812"/>
    </row>
    <row r="2" spans="1:88">
      <c r="A2" s="1111" t="s">
        <v>11</v>
      </c>
      <c r="B2" t="s">
        <v>11</v>
      </c>
    </row>
    <row r="3" spans="1:88" ht="15.6" thickBot="1">
      <c r="A3" s="1110" t="s">
        <v>700</v>
      </c>
      <c r="B3" t="s">
        <v>11</v>
      </c>
      <c r="C3" s="6" t="s">
        <v>12</v>
      </c>
      <c r="D3" s="6"/>
      <c r="E3" s="6"/>
      <c r="F3" s="6"/>
      <c r="G3" s="6"/>
      <c r="H3" s="6"/>
      <c r="I3" t="s">
        <v>11</v>
      </c>
      <c r="K3" t="s">
        <v>11</v>
      </c>
    </row>
    <row r="4" spans="1:88" ht="15.6" thickBot="1">
      <c r="A4" s="455"/>
      <c r="B4" s="812" t="s">
        <v>172</v>
      </c>
      <c r="H4" t="s">
        <v>11</v>
      </c>
      <c r="I4" t="s">
        <v>11</v>
      </c>
      <c r="J4" t="s">
        <v>11</v>
      </c>
      <c r="CJ4" s="463" t="s">
        <v>11</v>
      </c>
    </row>
    <row r="5" spans="1:88">
      <c r="A5" t="s">
        <v>718</v>
      </c>
      <c r="B5" s="778" t="s">
        <v>11</v>
      </c>
      <c r="C5" t="s">
        <v>11</v>
      </c>
      <c r="I5" t="s">
        <v>11</v>
      </c>
      <c r="J5" t="s">
        <v>11</v>
      </c>
      <c r="K5" t="s">
        <v>11</v>
      </c>
    </row>
    <row r="6" spans="1:88">
      <c r="A6" t="s">
        <v>11</v>
      </c>
      <c r="C6" t="s">
        <v>172</v>
      </c>
      <c r="H6" t="s">
        <v>11</v>
      </c>
      <c r="J6" t="s">
        <v>172</v>
      </c>
      <c r="K6" t="s">
        <v>411</v>
      </c>
    </row>
    <row r="7" spans="1:88">
      <c r="A7" t="s">
        <v>11</v>
      </c>
      <c r="B7" t="s">
        <v>11</v>
      </c>
      <c r="H7" t="s">
        <v>172</v>
      </c>
      <c r="I7" t="s">
        <v>11</v>
      </c>
      <c r="J7" t="s">
        <v>11</v>
      </c>
      <c r="K7" t="s">
        <v>11</v>
      </c>
    </row>
    <row r="8" spans="1:88">
      <c r="A8" t="s">
        <v>11</v>
      </c>
      <c r="B8" t="s">
        <v>11</v>
      </c>
      <c r="C8" t="s">
        <v>11</v>
      </c>
      <c r="H8" t="s">
        <v>11</v>
      </c>
      <c r="I8" t="s">
        <v>11</v>
      </c>
      <c r="J8" t="s">
        <v>11</v>
      </c>
      <c r="K8" s="1109" t="s">
        <v>700</v>
      </c>
      <c r="L8" t="s">
        <v>11</v>
      </c>
      <c r="M8" t="s">
        <v>11</v>
      </c>
    </row>
    <row r="9" spans="1:88">
      <c r="A9" t="s">
        <v>11</v>
      </c>
      <c r="B9" t="s">
        <v>11</v>
      </c>
      <c r="H9" t="s">
        <v>11</v>
      </c>
      <c r="I9" t="s">
        <v>11</v>
      </c>
      <c r="J9" t="s">
        <v>172</v>
      </c>
      <c r="K9" t="s">
        <v>11</v>
      </c>
      <c r="L9" t="s">
        <v>11</v>
      </c>
      <c r="M9" t="s">
        <v>11</v>
      </c>
    </row>
    <row r="10" spans="1:88">
      <c r="A10" t="s">
        <v>11</v>
      </c>
      <c r="B10" t="s">
        <v>11</v>
      </c>
      <c r="C10" t="s">
        <v>11</v>
      </c>
      <c r="D10" t="s">
        <v>172</v>
      </c>
      <c r="I10" t="s">
        <v>11</v>
      </c>
      <c r="J10" t="s">
        <v>172</v>
      </c>
      <c r="K10" t="s">
        <v>11</v>
      </c>
      <c r="L10" t="s">
        <v>631</v>
      </c>
    </row>
    <row r="11" spans="1:88">
      <c r="A11" t="s">
        <v>11</v>
      </c>
      <c r="B11" s="812" t="s">
        <v>11</v>
      </c>
      <c r="C11" s="417"/>
      <c r="H11" t="s">
        <v>11</v>
      </c>
      <c r="I11" t="s">
        <v>11</v>
      </c>
      <c r="J11" t="s">
        <v>11</v>
      </c>
      <c r="K11" t="s">
        <v>11</v>
      </c>
      <c r="L11" t="s">
        <v>11</v>
      </c>
    </row>
    <row r="12" spans="1:88">
      <c r="A12" t="s">
        <v>11</v>
      </c>
      <c r="B12" t="s">
        <v>11</v>
      </c>
      <c r="I12" t="s">
        <v>11</v>
      </c>
      <c r="J12" t="s">
        <v>11</v>
      </c>
      <c r="K12" t="s">
        <v>11</v>
      </c>
      <c r="L12" t="s">
        <v>11</v>
      </c>
    </row>
    <row r="13" spans="1:88">
      <c r="A13" t="s">
        <v>11</v>
      </c>
      <c r="B13" s="164" t="s">
        <v>11</v>
      </c>
      <c r="H13" t="s">
        <v>11</v>
      </c>
      <c r="I13" t="s">
        <v>11</v>
      </c>
      <c r="J13" t="s">
        <v>11</v>
      </c>
      <c r="K13" t="s">
        <v>11</v>
      </c>
      <c r="L13" t="s">
        <v>631</v>
      </c>
    </row>
    <row r="14" spans="1:88">
      <c r="A14" t="s">
        <v>11</v>
      </c>
      <c r="B14" t="s">
        <v>11</v>
      </c>
      <c r="H14" t="s">
        <v>11</v>
      </c>
      <c r="I14" t="s">
        <v>11</v>
      </c>
      <c r="J14" t="s">
        <v>11</v>
      </c>
      <c r="K14" t="s">
        <v>172</v>
      </c>
      <c r="L14" t="s">
        <v>11</v>
      </c>
    </row>
    <row r="15" spans="1:88">
      <c r="A15" s="459" t="s">
        <v>11</v>
      </c>
      <c r="B15" t="s">
        <v>172</v>
      </c>
      <c r="I15" t="s">
        <v>11</v>
      </c>
      <c r="J15" t="s">
        <v>11</v>
      </c>
      <c r="K15" t="s">
        <v>11</v>
      </c>
      <c r="L15" t="s">
        <v>11</v>
      </c>
    </row>
    <row r="16" spans="1:88">
      <c r="A16" t="s">
        <v>11</v>
      </c>
      <c r="B16" t="s">
        <v>11</v>
      </c>
      <c r="C16" t="s">
        <v>11</v>
      </c>
      <c r="G16" t="s">
        <v>11</v>
      </c>
      <c r="H16" t="s">
        <v>172</v>
      </c>
      <c r="J16" t="s">
        <v>11</v>
      </c>
      <c r="K16" t="s">
        <v>11</v>
      </c>
      <c r="L16" t="s">
        <v>11</v>
      </c>
    </row>
    <row r="17" spans="1:13">
      <c r="A17" t="s">
        <v>11</v>
      </c>
      <c r="B17" t="s">
        <v>11</v>
      </c>
      <c r="E17" t="s">
        <v>11</v>
      </c>
      <c r="H17" t="s">
        <v>11</v>
      </c>
      <c r="I17" t="s">
        <v>11</v>
      </c>
      <c r="J17" t="s">
        <v>11</v>
      </c>
      <c r="K17" t="s">
        <v>784</v>
      </c>
      <c r="L17" t="s">
        <v>11</v>
      </c>
    </row>
    <row r="18" spans="1:13">
      <c r="A18" t="s">
        <v>172</v>
      </c>
      <c r="B18" t="s">
        <v>11</v>
      </c>
      <c r="C18" t="s">
        <v>11</v>
      </c>
      <c r="E18" s="125" t="s">
        <v>11</v>
      </c>
      <c r="F18" t="s">
        <v>11</v>
      </c>
      <c r="H18" t="s">
        <v>11</v>
      </c>
      <c r="I18" t="s">
        <v>11</v>
      </c>
      <c r="J18" t="s">
        <v>11</v>
      </c>
      <c r="K18" t="s">
        <v>11</v>
      </c>
    </row>
    <row r="19" spans="1:13">
      <c r="B19" t="s">
        <v>11</v>
      </c>
      <c r="C19" t="s">
        <v>11</v>
      </c>
      <c r="G19" t="s">
        <v>11</v>
      </c>
      <c r="H19" t="s">
        <v>11</v>
      </c>
      <c r="I19" t="s">
        <v>11</v>
      </c>
      <c r="J19" t="s">
        <v>11</v>
      </c>
      <c r="K19" t="s">
        <v>11</v>
      </c>
      <c r="L19" t="s">
        <v>628</v>
      </c>
    </row>
    <row r="20" spans="1:13">
      <c r="A20" t="s">
        <v>11</v>
      </c>
      <c r="B20" t="s">
        <v>11</v>
      </c>
      <c r="C20" t="s">
        <v>11</v>
      </c>
      <c r="H20" t="s">
        <v>11</v>
      </c>
      <c r="I20" t="s">
        <v>11</v>
      </c>
      <c r="J20" t="s">
        <v>11</v>
      </c>
      <c r="K20" t="s">
        <v>11</v>
      </c>
      <c r="L20" t="s">
        <v>11</v>
      </c>
    </row>
    <row r="21" spans="1:13">
      <c r="B21" t="s">
        <v>11</v>
      </c>
      <c r="D21" t="s">
        <v>11</v>
      </c>
      <c r="F21" t="s">
        <v>11</v>
      </c>
      <c r="H21" t="s">
        <v>11</v>
      </c>
      <c r="I21" t="s">
        <v>11</v>
      </c>
      <c r="J21" t="s">
        <v>628</v>
      </c>
      <c r="K21" t="s">
        <v>11</v>
      </c>
      <c r="L21" t="s">
        <v>11</v>
      </c>
    </row>
    <row r="22" spans="1:13">
      <c r="C22" t="s">
        <v>11</v>
      </c>
      <c r="H22" t="s">
        <v>11</v>
      </c>
      <c r="I22" t="s">
        <v>11</v>
      </c>
      <c r="J22" t="s">
        <v>11</v>
      </c>
      <c r="K22" t="s">
        <v>11</v>
      </c>
    </row>
    <row r="23" spans="1:13">
      <c r="A23" t="s">
        <v>11</v>
      </c>
      <c r="B23" t="s">
        <v>11</v>
      </c>
      <c r="C23" t="s">
        <v>11</v>
      </c>
      <c r="D23" s="198" t="s">
        <v>11</v>
      </c>
      <c r="G23" t="s">
        <v>11</v>
      </c>
      <c r="H23" t="s">
        <v>11</v>
      </c>
      <c r="I23" t="s">
        <v>11</v>
      </c>
      <c r="J23" t="s">
        <v>11</v>
      </c>
      <c r="K23" t="s">
        <v>11</v>
      </c>
      <c r="L23" t="s">
        <v>11</v>
      </c>
    </row>
    <row r="24" spans="1:13">
      <c r="A24" t="s">
        <v>11</v>
      </c>
      <c r="B24" t="s">
        <v>11</v>
      </c>
      <c r="C24" t="s">
        <v>11</v>
      </c>
      <c r="E24" t="s">
        <v>11</v>
      </c>
      <c r="G24" t="s">
        <v>11</v>
      </c>
      <c r="H24" t="s">
        <v>11</v>
      </c>
      <c r="I24" t="s">
        <v>11</v>
      </c>
      <c r="J24" t="s">
        <v>11</v>
      </c>
      <c r="K24" t="s">
        <v>11</v>
      </c>
    </row>
    <row r="25" spans="1:13">
      <c r="B25" s="778" t="s">
        <v>172</v>
      </c>
      <c r="C25" t="s">
        <v>11</v>
      </c>
      <c r="E25" t="s">
        <v>11</v>
      </c>
      <c r="G25" s="454"/>
      <c r="H25" t="s">
        <v>11</v>
      </c>
      <c r="I25" t="s">
        <v>11</v>
      </c>
      <c r="J25" t="s">
        <v>11</v>
      </c>
      <c r="K25" t="s">
        <v>631</v>
      </c>
    </row>
    <row r="26" spans="1:13">
      <c r="A26" t="s">
        <v>11</v>
      </c>
      <c r="B26" t="s">
        <v>11</v>
      </c>
      <c r="C26" t="s">
        <v>172</v>
      </c>
      <c r="G26" s="454"/>
      <c r="H26" t="s">
        <v>11</v>
      </c>
      <c r="I26" t="s">
        <v>11</v>
      </c>
      <c r="J26" t="s">
        <v>11</v>
      </c>
      <c r="K26" t="s">
        <v>11</v>
      </c>
    </row>
    <row r="27" spans="1:13">
      <c r="A27" t="s">
        <v>11</v>
      </c>
      <c r="B27" t="s">
        <v>11</v>
      </c>
      <c r="C27" t="s">
        <v>631</v>
      </c>
      <c r="D27" t="s">
        <v>11</v>
      </c>
      <c r="G27" s="454"/>
      <c r="H27" t="s">
        <v>11</v>
      </c>
      <c r="I27" t="s">
        <v>11</v>
      </c>
      <c r="J27" s="125" t="s">
        <v>11</v>
      </c>
      <c r="K27" t="s">
        <v>11</v>
      </c>
      <c r="L27" t="s">
        <v>172</v>
      </c>
    </row>
    <row r="28" spans="1:13">
      <c r="G28" s="454"/>
      <c r="H28" t="s">
        <v>11</v>
      </c>
      <c r="I28" t="s">
        <v>11</v>
      </c>
      <c r="J28" t="s">
        <v>11</v>
      </c>
      <c r="K28" t="s">
        <v>11</v>
      </c>
      <c r="L28" t="s">
        <v>11</v>
      </c>
      <c r="M28" t="s">
        <v>11</v>
      </c>
    </row>
    <row r="29" spans="1:13">
      <c r="G29" s="454"/>
      <c r="H29" t="s">
        <v>11</v>
      </c>
      <c r="I29" t="s">
        <v>11</v>
      </c>
      <c r="J29" t="s">
        <v>11</v>
      </c>
      <c r="K29" t="s">
        <v>11</v>
      </c>
    </row>
    <row r="30" spans="1:13">
      <c r="H30" t="s">
        <v>11</v>
      </c>
      <c r="I30" t="s">
        <v>11</v>
      </c>
      <c r="J30" t="s">
        <v>11</v>
      </c>
      <c r="K30" t="s">
        <v>11</v>
      </c>
    </row>
    <row r="31" spans="1:13">
      <c r="H31" t="s">
        <v>11</v>
      </c>
      <c r="I31" t="s">
        <v>11</v>
      </c>
      <c r="J31" t="s">
        <v>11</v>
      </c>
      <c r="K31" t="s">
        <v>11</v>
      </c>
    </row>
    <row r="32" spans="1:13">
      <c r="A32" t="s">
        <v>11</v>
      </c>
      <c r="H32" t="s">
        <v>11</v>
      </c>
      <c r="I32" t="s">
        <v>11</v>
      </c>
      <c r="J32" t="s">
        <v>11</v>
      </c>
      <c r="K32" t="s">
        <v>11</v>
      </c>
    </row>
    <row r="33" spans="3:11">
      <c r="C33" t="s">
        <v>11</v>
      </c>
      <c r="H33" t="s">
        <v>11</v>
      </c>
      <c r="I33" t="s">
        <v>11</v>
      </c>
      <c r="J33" t="s">
        <v>11</v>
      </c>
      <c r="K33" t="s">
        <v>11</v>
      </c>
    </row>
    <row r="34" spans="3:11">
      <c r="H34" t="s">
        <v>11</v>
      </c>
      <c r="I34" t="s">
        <v>11</v>
      </c>
      <c r="J34" t="s">
        <v>11</v>
      </c>
      <c r="K34" t="s">
        <v>11</v>
      </c>
    </row>
    <row r="35" spans="3:11">
      <c r="H35" t="s">
        <v>11</v>
      </c>
      <c r="I35" t="s">
        <v>11</v>
      </c>
      <c r="J35" t="s">
        <v>11</v>
      </c>
      <c r="K35" t="s">
        <v>11</v>
      </c>
    </row>
    <row r="83" spans="1:9">
      <c r="A83" t="s">
        <v>11</v>
      </c>
    </row>
    <row r="86" spans="1:9">
      <c r="I86" t="s">
        <v>11</v>
      </c>
    </row>
    <row r="90" spans="1:9">
      <c r="A90" t="s">
        <v>172</v>
      </c>
    </row>
    <row r="142" spans="2:2">
      <c r="B142" t="s">
        <v>11</v>
      </c>
    </row>
    <row r="293" spans="1:1">
      <c r="A293" t="s">
        <v>11</v>
      </c>
    </row>
    <row r="958" spans="1:1">
      <c r="A958" t="s">
        <v>172</v>
      </c>
    </row>
  </sheetData>
  <customSheetViews>
    <customSheetView guid="{66C35B70-1DF5-11D4-B46C-0004ACEC7D4A}" scale="75" showRuler="0">
      <selection activeCell="H2" sqref="H2"/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&amp;L&amp;"Arial Black,Bold"&amp;24REVISED
&amp;CPage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&amp;L&amp;"Arial Black,Bold"&amp;24REVISED
&amp;CPage &amp;P</oddFooter>
  </headerFooter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5" name="Button 10">
              <controlPr defaultSize="0" print="0" autoFill="0" autoLine="0" autoPict="0" macro="[0]!Print_Six_Day">
                <anchor moveWithCells="1">
                  <from>
                    <xdr:col>3</xdr:col>
                    <xdr:colOff>0</xdr:colOff>
                    <xdr:row>4</xdr:row>
                    <xdr:rowOff>0</xdr:rowOff>
                  </from>
                  <to>
                    <xdr:col>4</xdr:col>
                    <xdr:colOff>533400</xdr:colOff>
                    <xdr:row>6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6" name="Button 11">
              <controlPr defaultSize="0" print="0" autoFill="0" autoLine="0" autoPict="0" macro="[0]!Create_Tomorrow">
                <anchor moveWithCells="1" sizeWithCells="1">
                  <from>
                    <xdr:col>5</xdr:col>
                    <xdr:colOff>0</xdr:colOff>
                    <xdr:row>4</xdr:row>
                    <xdr:rowOff>0</xdr:rowOff>
                  </from>
                  <to>
                    <xdr:col>6</xdr:col>
                    <xdr:colOff>510540</xdr:colOff>
                    <xdr:row>6</xdr:row>
                    <xdr:rowOff>83820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7" name="Button 12">
              <controlPr defaultSize="0" print="0" autoFill="0" autoLine="0" autoPict="0" macro="[0]!Load_Sheet">
                <anchor moveWithCells="1" sizeWithCells="1">
                  <from>
                    <xdr:col>5</xdr:col>
                    <xdr:colOff>0</xdr:colOff>
                    <xdr:row>7</xdr:row>
                    <xdr:rowOff>0</xdr:rowOff>
                  </from>
                  <to>
                    <xdr:col>6</xdr:col>
                    <xdr:colOff>510540</xdr:colOff>
                    <xdr:row>9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8" name="Button 13">
              <controlPr defaultSize="0" print="0" autoFill="0" autoLine="0" autoPict="0" macro="[0]!Print_PGL_NSG">
                <anchor moveWithCells="1">
                  <from>
                    <xdr:col>3</xdr:col>
                    <xdr:colOff>0</xdr:colOff>
                    <xdr:row>7</xdr:row>
                    <xdr:rowOff>0</xdr:rowOff>
                  </from>
                  <to>
                    <xdr:col>4</xdr:col>
                    <xdr:colOff>533400</xdr:colOff>
                    <xdr:row>9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9" name="Button 14">
              <controlPr defaultSize="0" print="0" autoFill="0" autoLine="0" autoPict="0" macro="[0]!Print_Six_Day_Summary">
                <anchor moveWithCells="1">
                  <from>
                    <xdr:col>3</xdr:col>
                    <xdr:colOff>0</xdr:colOff>
                    <xdr:row>10</xdr:row>
                    <xdr:rowOff>0</xdr:rowOff>
                  </from>
                  <to>
                    <xdr:col>4</xdr:col>
                    <xdr:colOff>533400</xdr:colOff>
                    <xdr:row>12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0" name="Button 15">
              <controlPr defaultSize="0" print="0" autoFill="0" autoLine="0" autoPict="0" macro="[0]!Print_NGPL_Forecast">
                <anchor moveWithCells="1">
                  <from>
                    <xdr:col>5</xdr:col>
                    <xdr:colOff>0</xdr:colOff>
                    <xdr:row>10</xdr:row>
                    <xdr:rowOff>0</xdr:rowOff>
                  </from>
                  <to>
                    <xdr:col>6</xdr:col>
                    <xdr:colOff>518160</xdr:colOff>
                    <xdr:row>12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1" name="Button 17">
              <controlPr defaultSize="0" print="0" autoFill="0" autoLine="0" autoPict="0" macro="[0]!Print_Gas_Summary">
                <anchor moveWithCells="1">
                  <from>
                    <xdr:col>3</xdr:col>
                    <xdr:colOff>7620</xdr:colOff>
                    <xdr:row>13</xdr:row>
                    <xdr:rowOff>0</xdr:rowOff>
                  </from>
                  <to>
                    <xdr:col>4</xdr:col>
                    <xdr:colOff>548640</xdr:colOff>
                    <xdr:row>15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2" name="Button 18">
              <controlPr defaultSize="0" print="0" autoFill="0" autoLine="0" autoPict="0" macro="[0]!Export_Weather.Export_Weather">
                <anchor moveWithCells="1">
                  <from>
                    <xdr:col>3</xdr:col>
                    <xdr:colOff>0</xdr:colOff>
                    <xdr:row>16</xdr:row>
                    <xdr:rowOff>0</xdr:rowOff>
                  </from>
                  <to>
                    <xdr:col>4</xdr:col>
                    <xdr:colOff>533400</xdr:colOff>
                    <xdr:row>18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3" name="Button 19">
              <controlPr defaultSize="0" print="0" autoFill="0" autoLine="0" autoPict="0" macro="[0]!Print_Midcon">
                <anchor moveWithCells="1">
                  <from>
                    <xdr:col>5</xdr:col>
                    <xdr:colOff>30480</xdr:colOff>
                    <xdr:row>13</xdr:row>
                    <xdr:rowOff>0</xdr:rowOff>
                  </from>
                  <to>
                    <xdr:col>6</xdr:col>
                    <xdr:colOff>548640</xdr:colOff>
                    <xdr:row>15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14" name="Button 22">
              <controlPr defaultSize="0" print="0" autoFill="0" autoLine="0" autoPict="0" macro="[0]!Print_PGL_Nine_to_Nine">
                <anchor moveWithCells="1">
                  <from>
                    <xdr:col>5</xdr:col>
                    <xdr:colOff>0</xdr:colOff>
                    <xdr:row>19</xdr:row>
                    <xdr:rowOff>0</xdr:rowOff>
                  </from>
                  <to>
                    <xdr:col>6</xdr:col>
                    <xdr:colOff>518160</xdr:colOff>
                    <xdr:row>21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15" name="Button 23">
              <controlPr defaultSize="0" print="0" autoFill="0" autoLine="0" autoPict="0" macro="[0]!Print_NSG_Nine_to_Nine">
                <anchor moveWithCells="1">
                  <from>
                    <xdr:col>5</xdr:col>
                    <xdr:colOff>0</xdr:colOff>
                    <xdr:row>19</xdr:row>
                    <xdr:rowOff>30480</xdr:rowOff>
                  </from>
                  <to>
                    <xdr:col>6</xdr:col>
                    <xdr:colOff>518160</xdr:colOff>
                    <xdr:row>21</xdr:row>
                    <xdr:rowOff>106680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16" name="Button 24">
              <controlPr defaultSize="0" print="0" autoFill="0" autoLine="0" autoPict="0" macro="[0]!Print_PGL_Nine_to_Nine">
                <anchor moveWithCells="1">
                  <from>
                    <xdr:col>5</xdr:col>
                    <xdr:colOff>0</xdr:colOff>
                    <xdr:row>16</xdr:row>
                    <xdr:rowOff>0</xdr:rowOff>
                  </from>
                  <to>
                    <xdr:col>6</xdr:col>
                    <xdr:colOff>518160</xdr:colOff>
                    <xdr:row>18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17" name="Button 27">
              <controlPr defaultSize="0" print="0" autoFill="0" autoLine="0" autoPict="0" macro="[0]!Billy_Sheet">
                <anchor moveWithCells="1">
                  <from>
                    <xdr:col>3</xdr:col>
                    <xdr:colOff>0</xdr:colOff>
                    <xdr:row>19</xdr:row>
                    <xdr:rowOff>30480</xdr:rowOff>
                  </from>
                  <to>
                    <xdr:col>4</xdr:col>
                    <xdr:colOff>533400</xdr:colOff>
                    <xdr:row>21</xdr:row>
                    <xdr:rowOff>106680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18" name="Button 28">
              <controlPr defaultSize="0" print="0" autoFill="0" autoLine="0" autoPict="0" macro="[0]!MAHOMET_PIPELINE_GRAPHICS">
                <anchor moveWithCells="1">
                  <from>
                    <xdr:col>3</xdr:col>
                    <xdr:colOff>7620</xdr:colOff>
                    <xdr:row>22</xdr:row>
                    <xdr:rowOff>106680</xdr:rowOff>
                  </from>
                  <to>
                    <xdr:col>4</xdr:col>
                    <xdr:colOff>541020</xdr:colOff>
                    <xdr:row>24</xdr:row>
                    <xdr:rowOff>182880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M49"/>
  <sheetViews>
    <sheetView zoomScale="75" workbookViewId="0">
      <selection sqref="A1:I42"/>
    </sheetView>
  </sheetViews>
  <sheetFormatPr defaultColWidth="8.90625" defaultRowHeight="15"/>
  <cols>
    <col min="1" max="1" width="23.1796875" style="114" customWidth="1"/>
    <col min="2" max="2" width="8.90625" style="114"/>
    <col min="3" max="3" width="17" style="114" customWidth="1"/>
    <col min="4" max="4" width="8.6328125" style="114" customWidth="1"/>
    <col min="5" max="5" width="8.54296875" style="114" customWidth="1"/>
    <col min="6" max="6" width="8.6328125" style="114" customWidth="1"/>
    <col min="7" max="7" width="8.54296875" style="114" customWidth="1"/>
    <col min="8" max="9" width="8.6328125" style="114" customWidth="1"/>
    <col min="10" max="16384" width="8.90625" style="114"/>
  </cols>
  <sheetData>
    <row r="1" spans="1:10" ht="20.100000000000001" customHeight="1" thickTop="1">
      <c r="A1" s="878" t="s">
        <v>650</v>
      </c>
      <c r="B1" s="836"/>
      <c r="C1" s="836"/>
      <c r="D1" s="836"/>
      <c r="E1" s="836"/>
      <c r="F1" s="836"/>
      <c r="G1" s="836" t="s">
        <v>135</v>
      </c>
      <c r="H1" s="879" t="str">
        <f>D3</f>
        <v>SUN</v>
      </c>
      <c r="I1" s="880">
        <f>D4</f>
        <v>37017</v>
      </c>
      <c r="J1" s="112"/>
    </row>
    <row r="2" spans="1:10" ht="20.100000000000001" customHeight="1">
      <c r="A2" s="839" t="s">
        <v>163</v>
      </c>
      <c r="B2" s="840"/>
      <c r="C2" s="840"/>
      <c r="D2" s="840"/>
      <c r="E2" s="840"/>
      <c r="F2" s="840"/>
      <c r="G2" s="840"/>
      <c r="H2" s="840"/>
      <c r="I2" s="841"/>
      <c r="J2" s="112"/>
    </row>
    <row r="3" spans="1:10" ht="20.100000000000001" customHeight="1" thickBot="1">
      <c r="A3" s="842"/>
      <c r="B3" s="840"/>
      <c r="C3" s="840"/>
      <c r="D3" s="843" t="str">
        <f t="shared" ref="D3:I3" si="0">CHOOSE(WEEKDAY(D4),"SUN","MON","TUE","WED","THU","FRI","SAT")</f>
        <v>SUN</v>
      </c>
      <c r="E3" s="843" t="str">
        <f t="shared" si="0"/>
        <v>MON</v>
      </c>
      <c r="F3" s="843" t="str">
        <f t="shared" si="0"/>
        <v>TUE</v>
      </c>
      <c r="G3" s="843" t="str">
        <f t="shared" si="0"/>
        <v>WED</v>
      </c>
      <c r="H3" s="843" t="str">
        <f t="shared" si="0"/>
        <v>THU</v>
      </c>
      <c r="I3" s="844" t="str">
        <f t="shared" si="0"/>
        <v>FRI</v>
      </c>
      <c r="J3" s="112"/>
    </row>
    <row r="4" spans="1:10" ht="20.100000000000001" customHeight="1" thickBot="1">
      <c r="A4" s="845" t="s">
        <v>164</v>
      </c>
      <c r="B4" s="846"/>
      <c r="C4" s="846"/>
      <c r="D4" s="847">
        <f>Weather_Input!A5</f>
        <v>37017</v>
      </c>
      <c r="E4" s="847">
        <f>Weather_Input!A6</f>
        <v>37018</v>
      </c>
      <c r="F4" s="847">
        <f>Weather_Input!A7</f>
        <v>37019</v>
      </c>
      <c r="G4" s="847">
        <f>Weather_Input!A8</f>
        <v>37020</v>
      </c>
      <c r="H4" s="847">
        <f>Weather_Input!A9</f>
        <v>37021</v>
      </c>
      <c r="I4" s="848">
        <f>Weather_Input!A10</f>
        <v>37022</v>
      </c>
      <c r="J4" s="112"/>
    </row>
    <row r="5" spans="1:10" s="113" customFormat="1" ht="20.100000000000001" customHeight="1" thickTop="1">
      <c r="A5" s="849" t="s">
        <v>137</v>
      </c>
      <c r="B5" s="840"/>
      <c r="C5" s="840" t="s">
        <v>138</v>
      </c>
      <c r="D5" s="881" t="str">
        <f>TEXT(Weather_Input!B5,"0")&amp;"/"&amp;TEXT(Weather_Input!C5,"0") &amp; "/" &amp; TEXT((Weather_Input!B5+Weather_Input!C5)/2,"0")</f>
        <v>75/62/69</v>
      </c>
      <c r="E5" s="881" t="str">
        <f>TEXT(Weather_Input!B6,"0")&amp;"/"&amp;TEXT(Weather_Input!C6,"0") &amp; "/" &amp; TEXT((Weather_Input!B6+Weather_Input!C6)/2,"0")</f>
        <v>72/51/62</v>
      </c>
      <c r="F5" s="881" t="str">
        <f>TEXT(Weather_Input!B7,"0")&amp;"/"&amp;TEXT(Weather_Input!C7,"0") &amp; "/" &amp; TEXT((Weather_Input!B7+Weather_Input!C7)/2,"0")</f>
        <v>65/45/55</v>
      </c>
      <c r="G5" s="881" t="str">
        <f>TEXT(Weather_Input!B8,"0")&amp;"/"&amp;TEXT(Weather_Input!C8,"0") &amp; "/" &amp; TEXT((Weather_Input!B8+Weather_Input!C8)/2,"0")</f>
        <v>62/49/56</v>
      </c>
      <c r="H5" s="881" t="str">
        <f>TEXT(Weather_Input!B9,"0")&amp;"/"&amp;TEXT(Weather_Input!C9,"0") &amp; "/" &amp; TEXT((Weather_Input!B9+Weather_Input!C9)/2,"0")</f>
        <v>69/54/62</v>
      </c>
      <c r="I5" s="882" t="str">
        <f>TEXT(Weather_Input!B10,"0")&amp;"/"&amp;TEXT(Weather_Input!C10,"0") &amp; "/" &amp; TEXT((Weather_Input!B10+Weather_Input!C10)/2,"0")</f>
        <v>69/54/62</v>
      </c>
      <c r="J5" s="112"/>
    </row>
    <row r="6" spans="1:10" ht="20.100000000000001" customHeight="1">
      <c r="A6" s="852" t="s">
        <v>139</v>
      </c>
      <c r="B6" s="840"/>
      <c r="C6" s="840"/>
      <c r="D6" s="850">
        <f ca="1">VLOOKUP(D4,NSG_Sendouts,CELL("Col",NSG_Deliveries!C5),FALSE)/1000</f>
        <v>44</v>
      </c>
      <c r="E6" s="850">
        <f ca="1">VLOOKUP(E4,NSG_Sendouts,CELL("Col",NSG_Deliveries!C6),FALSE)/1000</f>
        <v>48</v>
      </c>
      <c r="F6" s="850">
        <f ca="1">VLOOKUP(F4,NSG_Sendouts,CELL("Col",NSG_Deliveries!C7),FALSE)/1000</f>
        <v>55</v>
      </c>
      <c r="G6" s="850">
        <f ca="1">VLOOKUP(G4,NSG_Sendouts,CELL("Col",NSG_Deliveries!C8),FALSE)/1000</f>
        <v>54</v>
      </c>
      <c r="H6" s="850">
        <f ca="1">VLOOKUP(H4,NSG_Sendouts,CELL("Col",NSG_Deliveries!C9),FALSE)/1000</f>
        <v>48</v>
      </c>
      <c r="I6" s="855">
        <f ca="1">VLOOKUP(I4,NSG_Sendouts,CELL("Col",NSG_Deliveries!C10),FALSE)/1000</f>
        <v>45</v>
      </c>
      <c r="J6" s="113"/>
    </row>
    <row r="7" spans="1:10" ht="20.100000000000001" customHeight="1">
      <c r="A7" s="849" t="s">
        <v>140</v>
      </c>
      <c r="B7" s="840" t="s">
        <v>141</v>
      </c>
      <c r="C7" s="840"/>
      <c r="D7" s="850">
        <f>NSG_Requirements!C7/1000</f>
        <v>0</v>
      </c>
      <c r="E7" s="850">
        <f>NSG_Requirements!C8/1000</f>
        <v>0</v>
      </c>
      <c r="F7" s="850">
        <f>NSG_Requirements!C9/1000</f>
        <v>0</v>
      </c>
      <c r="G7" s="850">
        <f>NSG_Requirements!C10/1000</f>
        <v>0</v>
      </c>
      <c r="H7" s="850">
        <f>NSG_Requirements!C11/1000</f>
        <v>0</v>
      </c>
      <c r="I7" s="851">
        <f>NSG_Requirements!C12/1000</f>
        <v>0</v>
      </c>
      <c r="J7" s="112"/>
    </row>
    <row r="8" spans="1:10" ht="20.100000000000001" customHeight="1">
      <c r="A8" s="849"/>
      <c r="B8" s="840" t="s">
        <v>143</v>
      </c>
      <c r="C8" s="840"/>
      <c r="D8" s="850">
        <f>NSG_Requirements!D7/1000</f>
        <v>0</v>
      </c>
      <c r="E8" s="850">
        <f>NSG_Requirements!D8/1000</f>
        <v>0</v>
      </c>
      <c r="F8" s="850">
        <f>NSG_Requirements!D9/1000</f>
        <v>0</v>
      </c>
      <c r="G8" s="850">
        <f>NSG_Requirements!D10/1000</f>
        <v>0</v>
      </c>
      <c r="H8" s="850">
        <f>NSG_Requirements!D11/1000</f>
        <v>0</v>
      </c>
      <c r="I8" s="855">
        <f>NSG_Requirements!D11/1000</f>
        <v>0</v>
      </c>
      <c r="J8" s="113"/>
    </row>
    <row r="9" spans="1:10" ht="20.100000000000001" customHeight="1">
      <c r="A9" s="849"/>
      <c r="B9" s="840" t="s">
        <v>147</v>
      </c>
      <c r="C9" s="840"/>
      <c r="D9" s="850">
        <f>NSG_Requirements!E7/1000</f>
        <v>0</v>
      </c>
      <c r="E9" s="850">
        <f>NSG_Requirements!E8/1000</f>
        <v>0</v>
      </c>
      <c r="F9" s="850">
        <f>NSG_Requirements!E9/1000</f>
        <v>0</v>
      </c>
      <c r="G9" s="850">
        <f>NSG_Requirements!E10/1000</f>
        <v>0</v>
      </c>
      <c r="H9" s="850">
        <f>NSG_Requirements!E11/1000</f>
        <v>0</v>
      </c>
      <c r="I9" s="855">
        <f>NSG_Requirements!E12/1000</f>
        <v>0</v>
      </c>
      <c r="J9" s="113"/>
    </row>
    <row r="10" spans="1:10" ht="20.100000000000001" customHeight="1">
      <c r="A10" s="849"/>
      <c r="B10" s="840" t="s">
        <v>416</v>
      </c>
      <c r="C10" s="840"/>
      <c r="D10" s="850">
        <f>NSG_Requirements!F7/1000</f>
        <v>0</v>
      </c>
      <c r="E10" s="850">
        <f>NSG_Requirements!F8/1000</f>
        <v>0</v>
      </c>
      <c r="F10" s="850">
        <f>NSG_Requirements!F9/1000</f>
        <v>0</v>
      </c>
      <c r="G10" s="850">
        <f>NSG_Requirements!F10/1000</f>
        <v>0</v>
      </c>
      <c r="H10" s="850">
        <f>NSG_Requirements!F11/1000</f>
        <v>0</v>
      </c>
      <c r="I10" s="855">
        <f>NSG_Requirements!F12/1000</f>
        <v>0</v>
      </c>
      <c r="J10" s="113"/>
    </row>
    <row r="11" spans="1:10" ht="20.100000000000001" customHeight="1">
      <c r="A11" s="849" t="s">
        <v>144</v>
      </c>
      <c r="B11" s="840" t="s">
        <v>145</v>
      </c>
      <c r="C11" s="840" t="s">
        <v>60</v>
      </c>
      <c r="D11" s="850">
        <f>(NSG_Requirements!$K$7+NSG_Requirements!$L$7+NSG_Requirements!$M$7+NSG_Requirements!$N$7)/1000</f>
        <v>0</v>
      </c>
      <c r="E11" s="850">
        <f>(NSG_Requirements!$K$8+NSG_Requirements!$L$8+NSG_Requirements!$M$8+NSG_Requirements!$N$8)/1000</f>
        <v>0</v>
      </c>
      <c r="F11" s="850">
        <f>(NSG_Requirements!$K$9+NSG_Requirements!$L$9+NSG_Requirements!$M$9+NSG_Requirements!$N$9)/1000</f>
        <v>0</v>
      </c>
      <c r="G11" s="850">
        <f>(NSG_Requirements!$K$10+NSG_Requirements!$L$10+NSG_Requirements!$M$10+NSG_Requirements!$N$10)/1000</f>
        <v>0</v>
      </c>
      <c r="H11" s="850">
        <f>(NSG_Requirements!$K$11+NSG_Requirements!$L$11+NSG_Requirements!$M$11+NSG_Requirements!$N$11)/1000</f>
        <v>0</v>
      </c>
      <c r="I11" s="855">
        <f>(NSG_Requirements!$K$12+NSG_Requirements!$L$12+NSG_Requirements!$M$12+NSG_Requirements!$N$12)/1000</f>
        <v>0</v>
      </c>
      <c r="J11" s="113"/>
    </row>
    <row r="12" spans="1:10" ht="20.100000000000001" customHeight="1">
      <c r="A12" s="849"/>
      <c r="B12" s="840" t="s">
        <v>143</v>
      </c>
      <c r="C12" s="854" t="s">
        <v>90</v>
      </c>
      <c r="D12" s="850">
        <f>NSG_Requirements!J7/1000</f>
        <v>20</v>
      </c>
      <c r="E12" s="850">
        <f>NSG_Requirements!J8/1000</f>
        <v>20</v>
      </c>
      <c r="F12" s="850">
        <f>NSG_Requirements!J9/1000</f>
        <v>20</v>
      </c>
      <c r="G12" s="850">
        <f>NSG_Requirements!J10/1000</f>
        <v>20</v>
      </c>
      <c r="H12" s="850">
        <f>NSG_Requirements!J11/1000</f>
        <v>20</v>
      </c>
      <c r="I12" s="851">
        <f>NSG_Requirements!J12/1000</f>
        <v>20</v>
      </c>
      <c r="J12" s="112"/>
    </row>
    <row r="13" spans="1:10" ht="20.100000000000001" customHeight="1">
      <c r="A13" s="849"/>
      <c r="B13" s="840" t="s">
        <v>141</v>
      </c>
      <c r="C13" s="854" t="s">
        <v>90</v>
      </c>
      <c r="D13" s="850">
        <f>NSG_Requirements!H7/1000</f>
        <v>0</v>
      </c>
      <c r="E13" s="850">
        <f>NSG_Requirements!H8/1000</f>
        <v>0</v>
      </c>
      <c r="F13" s="850">
        <f>NSG_Requirements!H9/1000</f>
        <v>0</v>
      </c>
      <c r="G13" s="850">
        <f>NSG_Requirements!H10/1000</f>
        <v>0</v>
      </c>
      <c r="H13" s="850">
        <f>NSG_Requirements!H11/1000</f>
        <v>0</v>
      </c>
      <c r="I13" s="851">
        <f>NSG_Requirements!H12/1000</f>
        <v>0</v>
      </c>
      <c r="J13" s="112"/>
    </row>
    <row r="14" spans="1:10" ht="20.100000000000001" customHeight="1">
      <c r="A14" s="849"/>
      <c r="B14" s="840" t="s">
        <v>143</v>
      </c>
      <c r="C14" s="840"/>
      <c r="D14" s="850">
        <f>(NSG_Requirements!$S$7+NSG_Requirements!$T$7+NSG_Requirements!$U$7)/1000</f>
        <v>0</v>
      </c>
      <c r="E14" s="850">
        <f>(NSG_Requirements!$S$8+NSG_Requirements!$T$8+NSG_Requirements!$U$8)/1000</f>
        <v>0</v>
      </c>
      <c r="F14" s="850">
        <f>(NSG_Requirements!$S$9+NSG_Requirements!$T$9+NSG_Requirements!$U$9)/1000</f>
        <v>0</v>
      </c>
      <c r="G14" s="850">
        <f>(NSG_Requirements!$S$10+NSG_Requirements!$T$10+NSG_Requirements!$U$10)/1000</f>
        <v>0</v>
      </c>
      <c r="H14" s="850">
        <f>(NSG_Requirements!$S$11+NSG_Requirements!$T$11+NSG_Requirements!$U$11)/1000</f>
        <v>0</v>
      </c>
      <c r="I14" s="855">
        <f>(NSG_Requirements!$S$12+NSG_Requirements!$T$12+NSG_Requirements!$U$12)/1000</f>
        <v>0</v>
      </c>
      <c r="J14" s="112"/>
    </row>
    <row r="15" spans="1:10" ht="20.100000000000001" customHeight="1">
      <c r="A15" s="849"/>
      <c r="B15" s="840" t="s">
        <v>141</v>
      </c>
      <c r="C15" s="840"/>
      <c r="D15" s="850">
        <f>(NSG_Requirements!$Y$7+NSG_Requirements!$Z$7+NSG_Requirements!$AA$7)/1000</f>
        <v>0</v>
      </c>
      <c r="E15" s="850">
        <f>(NSG_Requirements!$Y$8+NSG_Requirements!$Z$8+NSG_Requirements!$AA$8)/1000</f>
        <v>0</v>
      </c>
      <c r="F15" s="850">
        <f>(NSG_Requirements!$Y$9+NSG_Requirements!$Z$9+NSG_Requirements!$AA$9)/1000</f>
        <v>0</v>
      </c>
      <c r="G15" s="850">
        <f>(NSG_Requirements!$Y$10+NSG_Requirements!$Z$10+NSG_Requirements!$AA$10)/1000</f>
        <v>0</v>
      </c>
      <c r="H15" s="850">
        <f>(NSG_Requirements!$Y$11+NSG_Requirements!$Z$11+NSG_Requirements!$AA$11)/1000</f>
        <v>0</v>
      </c>
      <c r="I15" s="855">
        <f>(NSG_Requirements!$Y$12+NSG_Requirements!$Z$12+NSG_Requirements!$AA$12)/1000</f>
        <v>0</v>
      </c>
      <c r="J15" s="113"/>
    </row>
    <row r="16" spans="1:10" ht="20.100000000000001" customHeight="1">
      <c r="A16" s="849"/>
      <c r="B16" s="840" t="s">
        <v>147</v>
      </c>
      <c r="C16" s="854"/>
      <c r="D16" s="850">
        <f>(NSG_Requirements!$V$7+NSG_Requirements!$W$7+NSG_Requirements!$X$7)/1000</f>
        <v>0</v>
      </c>
      <c r="E16" s="850">
        <f>(NSG_Requirements!$V$8+NSG_Requirements!$W$8+NSG_Requirements!$X$8)/1000</f>
        <v>0</v>
      </c>
      <c r="F16" s="850">
        <f>(NSG_Requirements!$V$9+NSG_Requirements!$W$9+NSG_Requirements!$X$9)/1000</f>
        <v>0</v>
      </c>
      <c r="G16" s="850">
        <f>(NSG_Requirements!$V$10+NSG_Requirements!$W$10+NSG_Requirements!$X$10)/1000</f>
        <v>0</v>
      </c>
      <c r="H16" s="850">
        <f>(NSG_Requirements!$V$11+NSG_Requirements!$W$11+NSG_Requirements!$X$11)/1000</f>
        <v>0</v>
      </c>
      <c r="I16" s="855">
        <f>(NSG_Requirements!$V$12+NSG_Requirements!$W$12+NSG_Requirements!$X$12)/1000</f>
        <v>0</v>
      </c>
      <c r="J16" s="113"/>
    </row>
    <row r="17" spans="1:10" ht="20.100000000000001" customHeight="1">
      <c r="A17" s="849"/>
      <c r="B17" s="840" t="s">
        <v>416</v>
      </c>
      <c r="C17" s="840"/>
      <c r="D17" s="850">
        <f>(NSG_Requirements!$AB$7+NSG_Requirements!$AC$7+NSG_Requirements!$AD$7+NSG_Requirements!$AE$7)/1000</f>
        <v>0</v>
      </c>
      <c r="E17" s="850">
        <f>(NSG_Requirements!$AB$8+NSG_Requirements!$AC$8+NSG_Requirements!$AD$8+NSG_Requirements!$AE$8)/1000</f>
        <v>0</v>
      </c>
      <c r="F17" s="850">
        <f>(NSG_Requirements!$AB$9+NSG_Requirements!$AC9+NSG_Requirements!$AD$9+NSG_Requirements!$AE$9)/1000</f>
        <v>0</v>
      </c>
      <c r="G17" s="850">
        <f>(NSG_Requirements!$AB$10+NSG_Requirements!$AC$10+NSG_Requirements!$AD$10+NSG_Requirements!$AE$10)/1000</f>
        <v>0</v>
      </c>
      <c r="H17" s="850">
        <f>(NSG_Requirements!$Y$11+NSG_Requirements!$Z$11+NSG_Requirements!$AA$11+NSG_Requirements!$AE$11)/1000</f>
        <v>0</v>
      </c>
      <c r="I17" s="855">
        <f>(NSG_Requirements!$Y$12+NSG_Requirements!$Z$12+NSG_Requirements!$AA$12+NSG_Requirements!$AE$12)/1000</f>
        <v>0</v>
      </c>
      <c r="J17" s="113"/>
    </row>
    <row r="18" spans="1:10" ht="20.100000000000001" customHeight="1">
      <c r="A18" s="867" t="s">
        <v>165</v>
      </c>
      <c r="B18" s="868" t="s">
        <v>401</v>
      </c>
      <c r="C18" s="868"/>
      <c r="D18" s="883">
        <f>NSG_Requirements!B7/1000</f>
        <v>0</v>
      </c>
      <c r="E18" s="883">
        <f>NSG_Requirements!B8/1000</f>
        <v>0</v>
      </c>
      <c r="F18" s="883">
        <f>NSG_Requirements!B9/1000</f>
        <v>0</v>
      </c>
      <c r="G18" s="883">
        <f>NSG_Requirements!B10/1000</f>
        <v>0</v>
      </c>
      <c r="H18" s="883">
        <f>NSG_Requirements!B11/1000</f>
        <v>0</v>
      </c>
      <c r="I18" s="884">
        <f>NSG_Requirements!B12/1000</f>
        <v>0</v>
      </c>
      <c r="J18" s="112"/>
    </row>
    <row r="19" spans="1:10" ht="20.100000000000001" customHeight="1" thickBot="1">
      <c r="A19" s="885" t="s">
        <v>151</v>
      </c>
      <c r="B19" s="875"/>
      <c r="C19" s="875"/>
      <c r="D19" s="859">
        <f t="shared" ref="D19:I19" ca="1" si="1">SUM(D6:D18)</f>
        <v>64</v>
      </c>
      <c r="E19" s="859">
        <f t="shared" ca="1" si="1"/>
        <v>68</v>
      </c>
      <c r="F19" s="859">
        <f t="shared" ca="1" si="1"/>
        <v>75</v>
      </c>
      <c r="G19" s="859">
        <f t="shared" ca="1" si="1"/>
        <v>74</v>
      </c>
      <c r="H19" s="859">
        <f t="shared" ca="1" si="1"/>
        <v>68</v>
      </c>
      <c r="I19" s="860">
        <f t="shared" ca="1" si="1"/>
        <v>65</v>
      </c>
      <c r="J19" s="112"/>
    </row>
    <row r="20" spans="1:10" ht="20.100000000000001" customHeight="1" thickTop="1" thickBot="1">
      <c r="A20" s="886"/>
      <c r="B20" s="887"/>
      <c r="C20" s="887"/>
      <c r="D20" s="888"/>
      <c r="E20" s="888"/>
      <c r="F20" s="888"/>
      <c r="G20" s="888"/>
      <c r="H20" s="888"/>
      <c r="I20" s="888"/>
      <c r="J20" s="113"/>
    </row>
    <row r="21" spans="1:10" ht="20.100000000000001" customHeight="1" thickTop="1" thickBot="1">
      <c r="A21" s="889" t="s">
        <v>152</v>
      </c>
      <c r="B21" s="863"/>
      <c r="C21" s="863"/>
      <c r="D21" s="864"/>
      <c r="E21" s="864"/>
      <c r="F21" s="864"/>
      <c r="G21" s="864"/>
      <c r="H21" s="864"/>
      <c r="I21" s="865"/>
      <c r="J21" s="112"/>
    </row>
    <row r="22" spans="1:10" ht="20.100000000000001" customHeight="1" thickTop="1">
      <c r="A22" s="849" t="s">
        <v>774</v>
      </c>
      <c r="B22" s="840" t="s">
        <v>145</v>
      </c>
      <c r="C22" s="840" t="s">
        <v>166</v>
      </c>
      <c r="D22" s="850">
        <f>NSG_Supplies!H7/1000</f>
        <v>0</v>
      </c>
      <c r="E22" s="850">
        <f>NSG_Supplies!H8/1000</f>
        <v>0</v>
      </c>
      <c r="F22" s="850">
        <f>NSG_Supplies!H9/1000</f>
        <v>0</v>
      </c>
      <c r="G22" s="850">
        <f>NSG_Supplies!H10/1000</f>
        <v>0</v>
      </c>
      <c r="H22" s="850">
        <f>NSG_Supplies!H11/1000</f>
        <v>0</v>
      </c>
      <c r="I22" s="851">
        <f>NSG_Supplies!H12/1000</f>
        <v>0</v>
      </c>
      <c r="J22" s="112"/>
    </row>
    <row r="23" spans="1:10" ht="20.100000000000001" customHeight="1">
      <c r="A23" s="849"/>
      <c r="B23" s="840" t="s">
        <v>143</v>
      </c>
      <c r="C23" s="840" t="s">
        <v>154</v>
      </c>
      <c r="D23" s="850">
        <f>NSG_Supplies!L7/1000</f>
        <v>0</v>
      </c>
      <c r="E23" s="850">
        <f>NSG_Supplies!L8/1000</f>
        <v>0</v>
      </c>
      <c r="F23" s="850">
        <f>NSG_Supplies!L9/1000</f>
        <v>0</v>
      </c>
      <c r="G23" s="850">
        <f>NSG_Supplies!L10/1000</f>
        <v>0</v>
      </c>
      <c r="H23" s="850">
        <f>NSG_Supplies!L11/1000</f>
        <v>0</v>
      </c>
      <c r="I23" s="851">
        <f>NSG_Supplies!L12/1000</f>
        <v>0</v>
      </c>
      <c r="J23" s="112"/>
    </row>
    <row r="24" spans="1:10" ht="20.100000000000001" customHeight="1">
      <c r="A24" s="849"/>
      <c r="B24" s="840"/>
      <c r="C24" s="840" t="s">
        <v>10</v>
      </c>
      <c r="D24" s="850">
        <f>NSG_Supplies!E7/1000</f>
        <v>0</v>
      </c>
      <c r="E24" s="850">
        <f>NSG_Supplies!E8/1000</f>
        <v>0</v>
      </c>
      <c r="F24" s="850">
        <f>NSG_Supplies!E9/1000</f>
        <v>0</v>
      </c>
      <c r="G24" s="850">
        <f>NSG_Supplies!E10/1000</f>
        <v>0</v>
      </c>
      <c r="H24" s="850">
        <f>NSG_Supplies!E11/1000</f>
        <v>0</v>
      </c>
      <c r="I24" s="855">
        <f>NSG_Supplies!E12/1000</f>
        <v>0</v>
      </c>
      <c r="J24" s="113"/>
    </row>
    <row r="25" spans="1:10" ht="20.100000000000001" customHeight="1">
      <c r="A25" s="849"/>
      <c r="B25" s="840" t="s">
        <v>141</v>
      </c>
      <c r="C25" s="854" t="s">
        <v>90</v>
      </c>
      <c r="D25" s="850">
        <f>NSG_Supplies!F7/1000</f>
        <v>12.46</v>
      </c>
      <c r="E25" s="850">
        <f>NSG_Supplies!F8/1000</f>
        <v>0</v>
      </c>
      <c r="F25" s="850">
        <f>NSG_Supplies!F9/1000</f>
        <v>0</v>
      </c>
      <c r="G25" s="850">
        <f>NSG_Supplies!F10/1000</f>
        <v>0</v>
      </c>
      <c r="H25" s="850">
        <f>NSG_Supplies!F11/1000</f>
        <v>0</v>
      </c>
      <c r="I25" s="855">
        <f>NSG_Supplies!F12/1000</f>
        <v>0</v>
      </c>
      <c r="J25" s="113"/>
    </row>
    <row r="26" spans="1:10" ht="20.100000000000001" customHeight="1">
      <c r="A26" s="849"/>
      <c r="B26" s="840" t="s">
        <v>83</v>
      </c>
      <c r="C26" s="840" t="s">
        <v>775</v>
      </c>
      <c r="D26" s="850">
        <f>NSG_Supplies!U7/1000</f>
        <v>0</v>
      </c>
      <c r="E26" s="850">
        <f>NSG_Supplies!U8/1000</f>
        <v>0</v>
      </c>
      <c r="F26" s="850">
        <f>NSG_Supplies!U9/1000</f>
        <v>0</v>
      </c>
      <c r="G26" s="850">
        <f>NSG_Supplies!U10/1000</f>
        <v>0</v>
      </c>
      <c r="H26" s="850">
        <f>NSG_Supplies!U11/1000</f>
        <v>0</v>
      </c>
      <c r="I26" s="855">
        <f>NSG_Supplies!U12/1000</f>
        <v>0</v>
      </c>
      <c r="J26" s="113"/>
    </row>
    <row r="27" spans="1:10" ht="20.100000000000001" customHeight="1">
      <c r="A27" s="852" t="s">
        <v>167</v>
      </c>
      <c r="B27" s="856" t="s">
        <v>143</v>
      </c>
      <c r="C27" s="856"/>
      <c r="D27" s="850">
        <f>(PGL_Requirements!$V$7+PGL_Requirements!$W$7+PGL_Requirements!$X$7)/1000</f>
        <v>0</v>
      </c>
      <c r="E27" s="850">
        <f>(PGL_Requirements!$V$8+PGL_Requirements!$W$8+PGL_Requirements!$X$8)/1000</f>
        <v>0</v>
      </c>
      <c r="F27" s="850">
        <f>(PGL_Requirements!$V$9+PGL_Requirements!$W$9+PGL_Requirements!$X$9)/1000</f>
        <v>0</v>
      </c>
      <c r="G27" s="850">
        <f>(PGL_Requirements!$V$10+PGL_Requirements!$W$10+PGL_Requirements!$X$10)/1000</f>
        <v>0</v>
      </c>
      <c r="H27" s="850">
        <f>(PGL_Requirements!$V$11+PGL_Requirements!$W$11+PGL_Requirements!$X$11)/1000</f>
        <v>0</v>
      </c>
      <c r="I27" s="851">
        <f>(PGL_Requirements!$V$12+PGL_Requirements!$W$12+PGL_Requirements!$X$12)/1000</f>
        <v>0</v>
      </c>
      <c r="J27" s="112"/>
    </row>
    <row r="28" spans="1:10" ht="20.100000000000001" customHeight="1">
      <c r="A28" s="849"/>
      <c r="B28" s="856" t="s">
        <v>141</v>
      </c>
      <c r="C28" s="856"/>
      <c r="D28" s="850">
        <f>(PGL_Requirements!$Y$7+PGL_Requirements!$AA$7+PGL_Requirements!$Z$7+PGL_Requirements!$AB$7)/1000</f>
        <v>0</v>
      </c>
      <c r="E28" s="850">
        <f>(PGL_Requirements!$Y$8+PGL_Requirements!$AA$8+PGL_Requirements!$Z$8+PGL_Requirements!$AB$8)/1000</f>
        <v>0</v>
      </c>
      <c r="F28" s="850">
        <f>(PGL_Requirements!$Y$9+PGL_Requirements!$AA$9+PGL_Requirements!$Z$9+PGL_Requirements!$AB$9)/1000</f>
        <v>0</v>
      </c>
      <c r="G28" s="850">
        <f>(PGL_Requirements!$Y$10+PGL_Requirements!$AA$10+PGL_Requirements!$Z$10+PGL_Requirements!$AB$10)/1000</f>
        <v>0</v>
      </c>
      <c r="H28" s="850">
        <f>(PGL_Requirements!$Y$11+PGL_Requirements!$AA$11+PGL_Requirements!$Z$11+PGL_Requirements!$AB$11)/1000</f>
        <v>0</v>
      </c>
      <c r="I28" s="851">
        <f>(PGL_Requirements!$Y$12+PGL_Requirements!$AA$12+PGL_Requirements!$Z$12+PGL_Requirements!$AB$12)/1000</f>
        <v>0</v>
      </c>
      <c r="J28" s="112"/>
    </row>
    <row r="29" spans="1:10" ht="20.100000000000001" customHeight="1">
      <c r="A29" s="849"/>
      <c r="B29" s="856" t="s">
        <v>147</v>
      </c>
      <c r="C29" s="840"/>
      <c r="D29" s="850">
        <f>(PGL_Requirements!$AC$7+PGL_Requirements!$AD$7+PGL_Requirements!$AE$7)/1000</f>
        <v>0</v>
      </c>
      <c r="E29" s="850">
        <f>(PGL_Requirements!$AC$8+PGL_Requirements!$AD$8+PGL_Requirements!$AE$8)/1000</f>
        <v>0</v>
      </c>
      <c r="F29" s="850">
        <f>(PGL_Requirements!$AC$9+PGL_Requirements!$AD$9+PGL_Requirements!$AE$9)/1000</f>
        <v>0</v>
      </c>
      <c r="G29" s="850">
        <f>(PGL_Requirements!$AC$10+PGL_Requirements!$AD$10+PGL_Requirements!$AE$10)/1000</f>
        <v>0</v>
      </c>
      <c r="H29" s="850">
        <f>(PGL_Requirements!$AC$11+PGL_Requirements!$AD$11+PGL_Requirements!$AE$11)/1000</f>
        <v>0</v>
      </c>
      <c r="I29" s="851">
        <f>(PGL_Requirements!$AC$12+PGL_Requirements!$AD$12+PGL_Requirements!$AE$12)/1000</f>
        <v>0</v>
      </c>
      <c r="J29" s="112"/>
    </row>
    <row r="30" spans="1:10" ht="20.100000000000001" customHeight="1">
      <c r="A30" s="849"/>
      <c r="B30" s="840" t="s">
        <v>416</v>
      </c>
      <c r="C30" s="840"/>
      <c r="D30" s="850">
        <v>0</v>
      </c>
      <c r="E30" s="850">
        <v>0</v>
      </c>
      <c r="F30" s="850">
        <v>0</v>
      </c>
      <c r="G30" s="850">
        <v>0</v>
      </c>
      <c r="H30" s="850">
        <v>0</v>
      </c>
      <c r="I30" s="851">
        <v>0</v>
      </c>
      <c r="J30" s="112"/>
    </row>
    <row r="31" spans="1:10" ht="20.100000000000001" customHeight="1">
      <c r="A31" s="849" t="s">
        <v>168</v>
      </c>
      <c r="B31" s="840" t="s">
        <v>143</v>
      </c>
      <c r="C31" s="840" t="s">
        <v>169</v>
      </c>
      <c r="D31" s="850">
        <f>NSG_Supplies!P7/1000</f>
        <v>0</v>
      </c>
      <c r="E31" s="850">
        <f>NSG_Supplies!P8/1000</f>
        <v>0</v>
      </c>
      <c r="F31" s="850">
        <f>NSG_Supplies!P9/1000</f>
        <v>0</v>
      </c>
      <c r="G31" s="850">
        <f>NSG_Supplies!P10/1000</f>
        <v>0</v>
      </c>
      <c r="H31" s="850">
        <f>NSG_Supplies!P11/1000</f>
        <v>0</v>
      </c>
      <c r="I31" s="851">
        <f>NSG_Supplies!P12/1000</f>
        <v>0</v>
      </c>
      <c r="J31" s="112"/>
    </row>
    <row r="32" spans="1:10" ht="20.100000000000001" customHeight="1">
      <c r="A32" s="849"/>
      <c r="B32" s="840" t="s">
        <v>141</v>
      </c>
      <c r="C32" s="1170" t="s">
        <v>776</v>
      </c>
      <c r="D32" s="850">
        <f>NSG_Supplies!R7/1000</f>
        <v>31.536000000000001</v>
      </c>
      <c r="E32" s="850">
        <f>NSG_Supplies!R8/1000</f>
        <v>31.536000000000001</v>
      </c>
      <c r="F32" s="850">
        <f>NSG_Supplies!R9/1000</f>
        <v>31.536000000000001</v>
      </c>
      <c r="G32" s="850">
        <f>NSG_Supplies!R10/1000</f>
        <v>31.536000000000001</v>
      </c>
      <c r="H32" s="850">
        <f>NSG_Supplies!R11/1000</f>
        <v>31.536000000000001</v>
      </c>
      <c r="I32" s="851">
        <f>NSG_Supplies!R12/1000</f>
        <v>31.536000000000001</v>
      </c>
      <c r="J32" s="112"/>
    </row>
    <row r="33" spans="1:13" ht="20.100000000000001" customHeight="1">
      <c r="A33" s="849"/>
      <c r="B33" s="840" t="s">
        <v>143</v>
      </c>
      <c r="C33" s="840" t="s">
        <v>639</v>
      </c>
      <c r="D33" s="850">
        <f>NSG_Supplies!Q7/1000</f>
        <v>20</v>
      </c>
      <c r="E33" s="850">
        <f>NSG_Supplies!Q8/1000</f>
        <v>20</v>
      </c>
      <c r="F33" s="850">
        <f>NSG_Supplies!Q9/1000</f>
        <v>20</v>
      </c>
      <c r="G33" s="850">
        <f>NSG_Supplies!Q10/1000</f>
        <v>20</v>
      </c>
      <c r="H33" s="850">
        <f>NSG_Supplies!Q11/1000</f>
        <v>20</v>
      </c>
      <c r="I33" s="851">
        <f>NSG_Supplies!Q12/1000</f>
        <v>20</v>
      </c>
      <c r="J33" s="112"/>
    </row>
    <row r="34" spans="1:13" ht="20.100000000000001" customHeight="1">
      <c r="A34" s="849" t="s">
        <v>160</v>
      </c>
      <c r="B34" s="840" t="s">
        <v>147</v>
      </c>
      <c r="C34" s="840" t="s">
        <v>170</v>
      </c>
      <c r="D34" s="850">
        <f>NSG_Supplies!O7/1000</f>
        <v>0</v>
      </c>
      <c r="E34" s="850">
        <f>NSG_Supplies!O8/1000</f>
        <v>0</v>
      </c>
      <c r="F34" s="850">
        <f>NSG_Supplies!O9/1000</f>
        <v>0</v>
      </c>
      <c r="G34" s="850">
        <f>NSG_Supplies!O10/1000</f>
        <v>0</v>
      </c>
      <c r="H34" s="850">
        <f>NSG_Supplies!O11/1000</f>
        <v>0</v>
      </c>
      <c r="I34" s="855">
        <f>NSG_Supplies!O12/1000</f>
        <v>0</v>
      </c>
      <c r="J34" s="112"/>
    </row>
    <row r="35" spans="1:13" ht="20.100000000000001" customHeight="1">
      <c r="A35" s="849"/>
      <c r="B35" s="840" t="s">
        <v>416</v>
      </c>
      <c r="C35" s="854" t="s">
        <v>524</v>
      </c>
      <c r="D35" s="850">
        <f>NSG_Supplies!N7/1000</f>
        <v>0</v>
      </c>
      <c r="E35" s="850">
        <f>NSG_Supplies!N8/1000</f>
        <v>0</v>
      </c>
      <c r="F35" s="850">
        <f>NSG_Supplies!N9/1000</f>
        <v>0</v>
      </c>
      <c r="G35" s="850">
        <f>NSG_Supplies!N10/1000</f>
        <v>0</v>
      </c>
      <c r="H35" s="850">
        <f>NSG_Supplies!N11/1000</f>
        <v>0</v>
      </c>
      <c r="I35" s="855">
        <f>NSG_Supplies!N12/1000</f>
        <v>0</v>
      </c>
      <c r="J35" s="112"/>
    </row>
    <row r="36" spans="1:13" ht="20.100000000000001" customHeight="1">
      <c r="A36" s="867"/>
      <c r="B36" s="868" t="s">
        <v>401</v>
      </c>
      <c r="C36" s="868"/>
      <c r="D36" s="883">
        <f>NSG_Supplies!B7/1000</f>
        <v>0</v>
      </c>
      <c r="E36" s="883">
        <f>NSG_Supplies!B8/1000</f>
        <v>0</v>
      </c>
      <c r="F36" s="883">
        <f>NSG_Supplies!B9/1000</f>
        <v>0</v>
      </c>
      <c r="G36" s="883">
        <f>NSG_Supplies!B10/1000</f>
        <v>0</v>
      </c>
      <c r="H36" s="883">
        <f>NSG_Supplies!B11/1000</f>
        <v>0</v>
      </c>
      <c r="I36" s="869">
        <f>NSG_Supplies!B12/1000</f>
        <v>0</v>
      </c>
      <c r="J36" s="112"/>
      <c r="K36" s="113"/>
      <c r="L36" s="95"/>
      <c r="M36" s="113"/>
    </row>
    <row r="37" spans="1:13" ht="20.100000000000001" customHeight="1" thickBot="1">
      <c r="A37" s="870" t="s">
        <v>160</v>
      </c>
      <c r="B37" s="871"/>
      <c r="C37" s="871"/>
      <c r="D37" s="890">
        <f t="shared" ref="D37:I37" si="2">SUM(D22:D36)</f>
        <v>63.996000000000002</v>
      </c>
      <c r="E37" s="890">
        <f t="shared" si="2"/>
        <v>51.536000000000001</v>
      </c>
      <c r="F37" s="890">
        <f t="shared" si="2"/>
        <v>51.536000000000001</v>
      </c>
      <c r="G37" s="890">
        <f t="shared" si="2"/>
        <v>51.536000000000001</v>
      </c>
      <c r="H37" s="890">
        <f t="shared" si="2"/>
        <v>51.536000000000001</v>
      </c>
      <c r="I37" s="891">
        <f t="shared" si="2"/>
        <v>51.536000000000001</v>
      </c>
      <c r="J37" s="112"/>
      <c r="K37" s="113"/>
      <c r="L37" s="95"/>
      <c r="M37" s="113"/>
    </row>
    <row r="38" spans="1:13" ht="20.100000000000001" customHeight="1">
      <c r="A38" s="892" t="s">
        <v>161</v>
      </c>
      <c r="B38" s="893"/>
      <c r="C38" s="893"/>
      <c r="D38" s="894">
        <f t="shared" ref="D38:I38" ca="1" si="3">IF(D37-D19&lt;0,0,D37-D19)</f>
        <v>0</v>
      </c>
      <c r="E38" s="894">
        <f t="shared" ca="1" si="3"/>
        <v>0</v>
      </c>
      <c r="F38" s="894">
        <f t="shared" ca="1" si="3"/>
        <v>0</v>
      </c>
      <c r="G38" s="894">
        <f t="shared" ca="1" si="3"/>
        <v>0</v>
      </c>
      <c r="H38" s="894">
        <f t="shared" ca="1" si="3"/>
        <v>0</v>
      </c>
      <c r="I38" s="895">
        <f t="shared" ca="1" si="3"/>
        <v>0</v>
      </c>
      <c r="J38" s="112"/>
      <c r="K38" s="113"/>
      <c r="L38" s="95"/>
      <c r="M38" s="113"/>
    </row>
    <row r="39" spans="1:13" ht="20.100000000000001" customHeight="1" thickBot="1">
      <c r="A39" s="896" t="s">
        <v>162</v>
      </c>
      <c r="B39" s="875"/>
      <c r="C39" s="875"/>
      <c r="D39" s="876">
        <f t="shared" ref="D39:I39" ca="1" si="4">IF(D19-D37&lt;0,0,D19-D37)</f>
        <v>3.9999999999977831E-3</v>
      </c>
      <c r="E39" s="876">
        <f t="shared" ca="1" si="4"/>
        <v>16.463999999999999</v>
      </c>
      <c r="F39" s="876">
        <f t="shared" ca="1" si="4"/>
        <v>23.463999999999999</v>
      </c>
      <c r="G39" s="876">
        <f t="shared" ca="1" si="4"/>
        <v>22.463999999999999</v>
      </c>
      <c r="H39" s="876">
        <f t="shared" ca="1" si="4"/>
        <v>16.463999999999999</v>
      </c>
      <c r="I39" s="877">
        <f t="shared" ca="1" si="4"/>
        <v>13.463999999999999</v>
      </c>
      <c r="J39" s="112"/>
      <c r="K39" s="113"/>
      <c r="L39" s="113"/>
      <c r="M39" s="113"/>
    </row>
    <row r="40" spans="1:13" ht="20.100000000000001" customHeight="1" thickTop="1" thickBot="1">
      <c r="A40" s="1171" t="s">
        <v>777</v>
      </c>
      <c r="B40" s="1172"/>
      <c r="C40" s="1172"/>
      <c r="D40" s="1173">
        <f>NSG_Supplies!S7/1000</f>
        <v>20.591000000000001</v>
      </c>
      <c r="E40" s="1173">
        <f>NSG_Supplies!S8/1000</f>
        <v>20.591000000000001</v>
      </c>
      <c r="F40" s="1173">
        <f>NSG_Supplies!S9/1000</f>
        <v>20.591000000000001</v>
      </c>
      <c r="G40" s="1173">
        <f>NSG_Supplies!S10/1000</f>
        <v>20.591000000000001</v>
      </c>
      <c r="H40" s="1173">
        <f>NSG_Supplies!S11/1000</f>
        <v>20.591000000000001</v>
      </c>
      <c r="I40" s="1174">
        <f>NSG_Supplies!S12/1000</f>
        <v>20.591000000000001</v>
      </c>
    </row>
    <row r="41" spans="1:13" ht="20.100000000000001" customHeight="1" thickTop="1" thickBot="1">
      <c r="B41" s="898"/>
      <c r="C41" s="898"/>
      <c r="D41" s="898"/>
      <c r="E41" s="898"/>
      <c r="F41" s="898"/>
      <c r="G41" s="897"/>
      <c r="H41" s="897"/>
      <c r="I41" s="897"/>
    </row>
    <row r="42" spans="1:13" ht="20.100000000000001" customHeight="1" thickTop="1" thickBot="1">
      <c r="A42" s="899" t="s">
        <v>171</v>
      </c>
      <c r="B42" s="900"/>
      <c r="C42" s="900"/>
      <c r="D42" s="901">
        <f>Weather_Input!D5</f>
        <v>14</v>
      </c>
      <c r="E42" s="901">
        <f>Weather_Input!D6</f>
        <v>10</v>
      </c>
      <c r="F42" s="901">
        <f>Weather_Input!D7</f>
        <v>10</v>
      </c>
      <c r="G42" s="902"/>
      <c r="H42" s="897"/>
      <c r="I42" s="897"/>
    </row>
    <row r="43" spans="1:13" ht="15.6" thickTop="1">
      <c r="D43" s="114" t="s">
        <v>172</v>
      </c>
    </row>
    <row r="44" spans="1:13">
      <c r="D44" s="114" t="s">
        <v>11</v>
      </c>
    </row>
    <row r="49" spans="4:4">
      <c r="D49" s="114" t="s">
        <v>11</v>
      </c>
    </row>
  </sheetData>
  <customSheetViews>
    <customSheetView guid="{66C35B70-1DF5-11D4-B46C-0004ACEC7D4A}" scale="75" fitToPage="1" showRuler="0">
      <selection sqref="A1:I55"/>
      <pageMargins left="1" right="0.25" top="0.25" bottom="0.25" header="0.5" footer="0.25"/>
      <pageSetup scale="76" orientation="portrait" horizontalDpi="4294967292" verticalDpi="300" r:id="rId1"/>
      <headerFooter alignWithMargins="0">
        <oddFooter>&amp;R&amp;9Date Printed: &amp;D &amp;T</oddFooter>
      </headerFooter>
    </customSheetView>
  </customSheetViews>
  <pageMargins left="1" right="0.25" top="0.25" bottom="0.25" header="0.5" footer="0.25"/>
  <pageSetup scale="76" orientation="portrait" horizontalDpi="4294967292" verticalDpi="300" r:id="rId2"/>
  <headerFooter alignWithMargins="0">
    <oddFooter>&amp;R&amp;9Date Printed: &amp;D &amp;T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pageSetUpPr fitToPage="1"/>
  </sheetPr>
  <dimension ref="A1:L71"/>
  <sheetViews>
    <sheetView topLeftCell="A12" zoomScale="75" workbookViewId="0">
      <selection activeCell="I62" sqref="I62"/>
    </sheetView>
  </sheetViews>
  <sheetFormatPr defaultColWidth="8.90625" defaultRowHeight="15"/>
  <cols>
    <col min="1" max="1" width="22.81640625" customWidth="1"/>
    <col min="2" max="9" width="10.81640625" customWidth="1"/>
  </cols>
  <sheetData>
    <row r="1" spans="1:9" ht="18" thickTop="1">
      <c r="A1" s="587" t="s">
        <v>172</v>
      </c>
      <c r="B1" s="588"/>
      <c r="C1" s="588"/>
      <c r="D1" s="588"/>
      <c r="E1" s="589" t="s">
        <v>173</v>
      </c>
      <c r="F1" s="590">
        <f>Weather_Input!A5</f>
        <v>37017</v>
      </c>
      <c r="G1" s="770" t="str">
        <f>CHOOSE(WEEKDAY(F1),"SUN","MON","TUE","WED","THU","FRI","SAT")</f>
        <v>SUN</v>
      </c>
      <c r="H1" s="592" t="s">
        <v>258</v>
      </c>
      <c r="I1" s="593"/>
    </row>
    <row r="2" spans="1:9" ht="15.6">
      <c r="A2" s="258" t="s">
        <v>11</v>
      </c>
      <c r="B2" s="609" t="s">
        <v>690</v>
      </c>
      <c r="C2" s="962"/>
      <c r="D2" s="601" t="s">
        <v>556</v>
      </c>
      <c r="E2" s="608"/>
      <c r="F2" s="606" t="s">
        <v>557</v>
      </c>
      <c r="G2" s="607" t="s">
        <v>11</v>
      </c>
      <c r="H2" s="605" t="s">
        <v>174</v>
      </c>
      <c r="I2" s="260"/>
    </row>
    <row r="3" spans="1:9">
      <c r="A3" s="787" t="s">
        <v>535</v>
      </c>
      <c r="B3" s="600" t="s">
        <v>409</v>
      </c>
      <c r="C3" s="259" t="s">
        <v>11</v>
      </c>
      <c r="D3" s="600" t="s">
        <v>23</v>
      </c>
      <c r="E3" s="261" t="s">
        <v>176</v>
      </c>
      <c r="F3" s="603" t="s">
        <v>23</v>
      </c>
      <c r="G3" s="261" t="s">
        <v>176</v>
      </c>
      <c r="H3" s="600" t="s">
        <v>23</v>
      </c>
      <c r="I3" s="494" t="s">
        <v>176</v>
      </c>
    </row>
    <row r="4" spans="1:9" ht="15.6">
      <c r="A4" s="258" t="s">
        <v>11</v>
      </c>
      <c r="B4" s="963">
        <f>Weather_Input!B5</f>
        <v>75</v>
      </c>
      <c r="C4" s="964">
        <f>Weather_Input!C5</f>
        <v>62</v>
      </c>
      <c r="D4" s="602"/>
      <c r="E4" s="602"/>
      <c r="F4" s="604" t="s">
        <v>11</v>
      </c>
      <c r="G4" s="269" t="s">
        <v>11</v>
      </c>
      <c r="H4" s="269"/>
      <c r="I4" s="267"/>
    </row>
    <row r="5" spans="1:9" ht="15.6">
      <c r="A5" s="258" t="s">
        <v>629</v>
      </c>
      <c r="B5" s="965"/>
      <c r="C5" s="966">
        <f>PGL_Requirements!H7/1000</f>
        <v>24.83</v>
      </c>
      <c r="D5" s="620"/>
      <c r="E5" s="302"/>
      <c r="F5" s="620"/>
      <c r="G5" s="607"/>
      <c r="H5" s="302"/>
      <c r="I5" s="296"/>
    </row>
    <row r="6" spans="1:9" ht="15.6">
      <c r="A6" s="262" t="s">
        <v>419</v>
      </c>
      <c r="B6" s="1163" t="s">
        <v>11</v>
      </c>
      <c r="C6" s="967">
        <f>PGL_Deliveries!C5/1000</f>
        <v>230</v>
      </c>
      <c r="D6" s="1163" t="s">
        <v>11</v>
      </c>
      <c r="E6" s="269"/>
      <c r="F6" s="602"/>
      <c r="G6" s="269"/>
      <c r="H6" s="602"/>
      <c r="I6" s="267"/>
    </row>
    <row r="7" spans="1:9" ht="15.6" thickBot="1">
      <c r="A7" s="249" t="s">
        <v>771</v>
      </c>
      <c r="B7" s="1164"/>
      <c r="C7" s="1136">
        <f>PGL_Requirements!I7/1000</f>
        <v>0</v>
      </c>
      <c r="D7" s="122"/>
      <c r="E7" s="122"/>
      <c r="F7" s="1164"/>
      <c r="G7" s="1165"/>
      <c r="H7" s="122"/>
      <c r="I7" s="118"/>
    </row>
    <row r="8" spans="1:9" ht="16.2" thickBot="1">
      <c r="A8" s="496"/>
      <c r="B8" s="497" t="s">
        <v>11</v>
      </c>
      <c r="C8" s="497" t="s">
        <v>11</v>
      </c>
      <c r="D8" s="498"/>
      <c r="E8" s="498"/>
      <c r="F8" s="498"/>
      <c r="G8" s="498"/>
      <c r="H8" s="498"/>
      <c r="I8" s="499"/>
    </row>
    <row r="9" spans="1:9">
      <c r="A9" s="493" t="s">
        <v>560</v>
      </c>
      <c r="B9" s="293" t="s">
        <v>11</v>
      </c>
      <c r="C9" s="614">
        <f>I53</f>
        <v>0</v>
      </c>
      <c r="D9" s="619"/>
      <c r="E9" s="269"/>
      <c r="F9" s="619"/>
      <c r="G9" s="269"/>
      <c r="H9" s="619"/>
      <c r="I9" s="267" t="s">
        <v>11</v>
      </c>
    </row>
    <row r="10" spans="1:9">
      <c r="A10" s="249" t="s">
        <v>745</v>
      </c>
      <c r="B10" s="1115"/>
      <c r="C10" s="1132">
        <f>+B34</f>
        <v>169.41499999999999</v>
      </c>
      <c r="D10" s="1115"/>
      <c r="E10" s="434"/>
      <c r="F10" s="1115"/>
      <c r="G10" s="1119"/>
      <c r="H10" s="434"/>
      <c r="I10" s="285" t="s">
        <v>11</v>
      </c>
    </row>
    <row r="11" spans="1:9">
      <c r="A11" s="493" t="s">
        <v>561</v>
      </c>
      <c r="B11" s="282" t="s">
        <v>11</v>
      </c>
      <c r="C11" s="614">
        <f>B41</f>
        <v>0</v>
      </c>
      <c r="D11" s="602"/>
      <c r="E11" s="614" t="s">
        <v>11</v>
      </c>
      <c r="F11" s="602"/>
      <c r="G11" s="614" t="s">
        <v>11</v>
      </c>
      <c r="H11" s="602"/>
      <c r="I11" s="285" t="s">
        <v>11</v>
      </c>
    </row>
    <row r="12" spans="1:9">
      <c r="A12" s="493" t="s">
        <v>562</v>
      </c>
      <c r="B12" s="282" t="s">
        <v>11</v>
      </c>
      <c r="C12" s="614">
        <f>B55</f>
        <v>-189.63</v>
      </c>
      <c r="D12" s="602"/>
      <c r="E12" s="269"/>
      <c r="F12" s="602"/>
      <c r="G12" s="269" t="s">
        <v>11</v>
      </c>
      <c r="H12" s="602"/>
      <c r="I12" s="267"/>
    </row>
    <row r="13" spans="1:9">
      <c r="A13" s="493" t="s">
        <v>563</v>
      </c>
      <c r="B13" s="282" t="s">
        <v>11</v>
      </c>
      <c r="C13" s="614">
        <f>B47</f>
        <v>0</v>
      </c>
      <c r="D13" s="620"/>
      <c r="E13" s="269"/>
      <c r="F13" s="602"/>
      <c r="G13" s="269" t="s">
        <v>11</v>
      </c>
      <c r="H13" s="602"/>
      <c r="I13" s="267"/>
    </row>
    <row r="14" spans="1:9">
      <c r="A14" s="493" t="s">
        <v>564</v>
      </c>
      <c r="B14" s="286" t="s">
        <v>11</v>
      </c>
      <c r="C14" s="614">
        <f>I60</f>
        <v>184.24</v>
      </c>
      <c r="D14" s="602"/>
      <c r="E14" s="269"/>
      <c r="F14" s="602"/>
      <c r="G14" s="269" t="s">
        <v>11</v>
      </c>
      <c r="H14" s="602"/>
      <c r="I14" s="267"/>
    </row>
    <row r="15" spans="1:9">
      <c r="A15" s="493" t="s">
        <v>422</v>
      </c>
      <c r="B15" s="282" t="s">
        <v>11</v>
      </c>
      <c r="C15" s="968">
        <f>PGL_Supplies!I7/1000</f>
        <v>15</v>
      </c>
      <c r="D15" s="602" t="s">
        <v>11</v>
      </c>
      <c r="E15" s="269"/>
      <c r="F15" s="602"/>
      <c r="G15" s="269" t="s">
        <v>11</v>
      </c>
      <c r="H15" s="602"/>
      <c r="I15" s="267"/>
    </row>
    <row r="16" spans="1:9">
      <c r="A16" s="493" t="s">
        <v>565</v>
      </c>
      <c r="B16" s="282" t="s">
        <v>172</v>
      </c>
      <c r="C16" s="614">
        <f>+B63</f>
        <v>0</v>
      </c>
      <c r="D16" s="602"/>
      <c r="E16" s="269"/>
      <c r="F16" s="602"/>
      <c r="G16" s="269" t="s">
        <v>11</v>
      </c>
      <c r="H16" s="602"/>
      <c r="I16" s="267"/>
    </row>
    <row r="17" spans="1:12" ht="15" customHeight="1">
      <c r="A17" s="493" t="s">
        <v>566</v>
      </c>
      <c r="B17" s="282" t="s">
        <v>172</v>
      </c>
      <c r="C17" s="968">
        <f>PGL_Supplies!B7/1000</f>
        <v>0</v>
      </c>
      <c r="D17" s="620"/>
      <c r="E17" s="269"/>
      <c r="F17" s="602"/>
      <c r="G17" s="269" t="s">
        <v>11</v>
      </c>
      <c r="H17" s="602"/>
      <c r="I17" s="267"/>
    </row>
    <row r="18" spans="1:12" ht="15.6" thickBot="1">
      <c r="A18" s="292" t="s">
        <v>567</v>
      </c>
      <c r="B18" s="615" t="s">
        <v>11</v>
      </c>
      <c r="C18" s="1136">
        <f>PGL_Requirements!G7/1000</f>
        <v>0</v>
      </c>
      <c r="D18" s="601"/>
      <c r="E18" s="269"/>
      <c r="F18" s="602"/>
      <c r="G18" s="269"/>
      <c r="H18" s="602"/>
      <c r="I18" s="267"/>
    </row>
    <row r="19" spans="1:12" ht="16.2" thickBot="1">
      <c r="A19" s="616" t="s">
        <v>699</v>
      </c>
      <c r="B19" s="617" t="s">
        <v>11</v>
      </c>
      <c r="C19" s="511">
        <f>SUM(C9:C17)-C18</f>
        <v>179.02500000000001</v>
      </c>
      <c r="D19" s="621" t="s">
        <v>11</v>
      </c>
      <c r="E19" s="618" t="s">
        <v>11</v>
      </c>
      <c r="F19" s="621" t="s">
        <v>11</v>
      </c>
      <c r="G19" s="511" t="s">
        <v>11</v>
      </c>
      <c r="H19" s="621" t="s">
        <v>11</v>
      </c>
      <c r="I19" s="622"/>
    </row>
    <row r="20" spans="1:12" ht="16.2" thickBot="1">
      <c r="A20" s="504" t="s">
        <v>38</v>
      </c>
      <c r="B20" s="505" t="s">
        <v>11</v>
      </c>
      <c r="C20" s="969"/>
      <c r="D20" s="507"/>
      <c r="E20" s="509"/>
      <c r="F20" s="507"/>
      <c r="G20" s="507" t="s">
        <v>644</v>
      </c>
      <c r="H20" s="507"/>
      <c r="I20" s="970"/>
    </row>
    <row r="21" spans="1:12">
      <c r="A21" s="493" t="s">
        <v>630</v>
      </c>
      <c r="B21" s="282" t="s">
        <v>11</v>
      </c>
      <c r="C21" s="971">
        <f>-PGL_Supplies!J7/1000</f>
        <v>0</v>
      </c>
      <c r="D21" s="266"/>
      <c r="E21" s="269"/>
      <c r="F21" s="266"/>
      <c r="G21" s="269"/>
      <c r="H21" s="266"/>
      <c r="I21" s="260"/>
    </row>
    <row r="22" spans="1:12">
      <c r="A22" s="493" t="s">
        <v>425</v>
      </c>
      <c r="B22" s="282" t="s">
        <v>11</v>
      </c>
      <c r="C22" s="614">
        <f>C6+C7-C19</f>
        <v>50.974999999999994</v>
      </c>
      <c r="D22" s="266"/>
      <c r="E22" s="269"/>
      <c r="F22" s="266"/>
      <c r="G22" s="614" t="s">
        <v>11</v>
      </c>
      <c r="H22" s="266"/>
      <c r="I22" s="296"/>
    </row>
    <row r="23" spans="1:12" ht="18" customHeight="1">
      <c r="A23" s="636" t="s">
        <v>426</v>
      </c>
      <c r="B23" s="282" t="s">
        <v>11</v>
      </c>
      <c r="C23" s="614"/>
      <c r="D23" s="266"/>
      <c r="E23" s="269"/>
      <c r="F23" s="297" t="s">
        <v>11</v>
      </c>
      <c r="G23" s="972"/>
      <c r="H23" s="297" t="s">
        <v>11</v>
      </c>
      <c r="I23" s="260"/>
    </row>
    <row r="24" spans="1:12" ht="16.2" thickBot="1">
      <c r="A24" s="493" t="s">
        <v>427</v>
      </c>
      <c r="B24" s="973" t="s">
        <v>11</v>
      </c>
      <c r="C24" s="974">
        <f>SUM(B54+B56+B57)</f>
        <v>2.85</v>
      </c>
      <c r="D24" s="259"/>
      <c r="E24" s="271"/>
      <c r="F24" s="975"/>
      <c r="G24" s="271"/>
      <c r="H24" s="976" t="s">
        <v>11</v>
      </c>
      <c r="I24" s="977" t="s">
        <v>11</v>
      </c>
      <c r="K24" t="s">
        <v>11</v>
      </c>
    </row>
    <row r="25" spans="1:12" ht="16.8" thickTop="1" thickBot="1">
      <c r="A25" s="637" t="s">
        <v>428</v>
      </c>
      <c r="B25" s="978" t="s">
        <v>11</v>
      </c>
      <c r="C25" s="979">
        <f>SUM(C22:C24)</f>
        <v>53.824999999999996</v>
      </c>
      <c r="D25" s="978" t="str">
        <f>B25</f>
        <v xml:space="preserve"> </v>
      </c>
      <c r="E25" s="979" t="s">
        <v>11</v>
      </c>
      <c r="F25" s="978" t="s">
        <v>11</v>
      </c>
      <c r="G25" s="979" t="s">
        <v>11</v>
      </c>
      <c r="H25" s="980" t="s">
        <v>11</v>
      </c>
      <c r="I25" s="981" t="s">
        <v>11</v>
      </c>
    </row>
    <row r="26" spans="1:12" ht="15.6" thickTop="1">
      <c r="A26" s="332" t="s">
        <v>736</v>
      </c>
      <c r="B26" s="982"/>
      <c r="C26" s="971">
        <f>SUM(-PGL_Supplies!M7/1000)</f>
        <v>0</v>
      </c>
      <c r="D26" s="1104" t="s">
        <v>11</v>
      </c>
      <c r="E26" s="1103" t="s">
        <v>11</v>
      </c>
      <c r="F26" s="1105"/>
      <c r="G26" s="1106"/>
      <c r="H26" s="514"/>
      <c r="I26" s="987"/>
    </row>
    <row r="27" spans="1:12" ht="15" customHeight="1">
      <c r="A27" s="493" t="s">
        <v>436</v>
      </c>
      <c r="B27" s="988"/>
      <c r="C27" s="989">
        <f>PGL_Requirements!O7/1000</f>
        <v>6.24</v>
      </c>
      <c r="D27" s="983" t="s">
        <v>11</v>
      </c>
      <c r="E27" s="966" t="s">
        <v>11</v>
      </c>
      <c r="F27" s="307"/>
      <c r="G27" s="966" t="s">
        <v>11</v>
      </c>
      <c r="H27" s="514"/>
      <c r="I27" s="984" t="s">
        <v>11</v>
      </c>
      <c r="L27" s="122"/>
    </row>
    <row r="28" spans="1:12">
      <c r="A28" s="493" t="s">
        <v>437</v>
      </c>
      <c r="B28" s="990"/>
      <c r="C28" s="985">
        <f>-PGL_Supplies!L7/1000</f>
        <v>0</v>
      </c>
      <c r="D28" s="986" t="s">
        <v>11</v>
      </c>
      <c r="E28" s="985" t="s">
        <v>11</v>
      </c>
      <c r="F28" s="307"/>
      <c r="G28" s="985" t="s">
        <v>11</v>
      </c>
      <c r="H28" s="514"/>
      <c r="I28" s="991" t="s">
        <v>11</v>
      </c>
      <c r="L28" s="1102"/>
    </row>
    <row r="29" spans="1:12">
      <c r="A29" s="425" t="s">
        <v>197</v>
      </c>
      <c r="B29" s="992"/>
      <c r="C29" s="985">
        <f>-PGL_Supplies!AC7/1000</f>
        <v>-60.064</v>
      </c>
      <c r="D29" s="986" t="s">
        <v>11</v>
      </c>
      <c r="E29" s="985">
        <f>-PGL_Supplies!AC7/1000</f>
        <v>-60.064</v>
      </c>
      <c r="F29" s="307"/>
      <c r="G29" s="985">
        <f>-PGL_Supplies!AC7/1000</f>
        <v>-60.064</v>
      </c>
      <c r="H29" s="514"/>
      <c r="I29" s="987">
        <f>-PGL_Supplies!AC7/1000</f>
        <v>-60.064</v>
      </c>
      <c r="L29" s="1102"/>
    </row>
    <row r="30" spans="1:12" ht="16.2" thickBot="1">
      <c r="A30" s="326" t="s">
        <v>11</v>
      </c>
      <c r="B30" s="487" t="s">
        <v>11</v>
      </c>
      <c r="C30" s="1186" t="s">
        <v>745</v>
      </c>
      <c r="D30" s="486"/>
      <c r="E30" s="328"/>
      <c r="F30" s="329" t="s">
        <v>202</v>
      </c>
      <c r="G30" s="328"/>
      <c r="H30" s="993"/>
      <c r="I30" s="331"/>
      <c r="L30" s="594"/>
    </row>
    <row r="31" spans="1:12">
      <c r="A31" s="425" t="s">
        <v>749</v>
      </c>
      <c r="B31" s="324">
        <f>PGL_Requirements!J7/1000</f>
        <v>3.1</v>
      </c>
      <c r="C31" s="8"/>
      <c r="D31" s="613"/>
      <c r="E31" s="8"/>
      <c r="F31" s="332" t="s">
        <v>460</v>
      </c>
      <c r="G31" s="544"/>
      <c r="H31" s="523"/>
      <c r="I31" s="336"/>
      <c r="L31" s="1102"/>
    </row>
    <row r="32" spans="1:12">
      <c r="A32" s="425" t="s">
        <v>750</v>
      </c>
      <c r="B32" s="324">
        <f>PGL_Supplies!X7/1000</f>
        <v>0</v>
      </c>
      <c r="C32" s="315" t="s">
        <v>11</v>
      </c>
      <c r="D32" s="313"/>
      <c r="E32" s="333"/>
      <c r="F32" s="425" t="s">
        <v>461</v>
      </c>
      <c r="G32" s="544"/>
      <c r="H32" s="317"/>
      <c r="I32" s="336"/>
      <c r="L32" s="594"/>
    </row>
    <row r="33" spans="1:12" ht="15.6" thickBot="1">
      <c r="A33" s="1133" t="s">
        <v>4</v>
      </c>
      <c r="B33" s="324">
        <f>PGL_Supplies!Y7/1000</f>
        <v>172.51499999999999</v>
      </c>
      <c r="C33" s="1120" t="s">
        <v>11</v>
      </c>
      <c r="D33" s="349"/>
      <c r="E33" s="554"/>
      <c r="F33" s="425" t="s">
        <v>462</v>
      </c>
      <c r="G33" s="544"/>
      <c r="H33" s="317"/>
      <c r="I33" s="336"/>
      <c r="L33" s="1102"/>
    </row>
    <row r="34" spans="1:12" ht="16.2" thickBot="1">
      <c r="A34" s="559" t="s">
        <v>443</v>
      </c>
      <c r="B34" s="1124">
        <f>+B33+B32-B31</f>
        <v>169.41499999999999</v>
      </c>
      <c r="C34" s="1125" t="s">
        <v>11</v>
      </c>
      <c r="D34" s="531"/>
      <c r="E34" s="521"/>
      <c r="F34" s="425" t="s">
        <v>463</v>
      </c>
      <c r="G34" s="544"/>
      <c r="H34" s="317"/>
      <c r="I34" s="336"/>
      <c r="L34" s="1102"/>
    </row>
    <row r="35" spans="1:12" ht="16.2" thickBot="1">
      <c r="A35" s="326" t="s">
        <v>11</v>
      </c>
      <c r="B35" s="1121" t="s">
        <v>11</v>
      </c>
      <c r="C35" s="997" t="s">
        <v>68</v>
      </c>
      <c r="D35" s="1122"/>
      <c r="E35" s="1123"/>
      <c r="F35" s="425" t="s">
        <v>464</v>
      </c>
      <c r="G35" s="544"/>
      <c r="H35" s="317"/>
      <c r="I35" s="994" t="s">
        <v>691</v>
      </c>
      <c r="L35" s="1102"/>
    </row>
    <row r="36" spans="1:12">
      <c r="A36" s="425" t="s">
        <v>632</v>
      </c>
      <c r="B36" s="324">
        <f>PGL_Requirements!U7/1000</f>
        <v>40.200000000000003</v>
      </c>
      <c r="C36" s="594"/>
      <c r="D36" s="313"/>
      <c r="E36" s="333"/>
      <c r="F36" s="370" t="s">
        <v>465</v>
      </c>
      <c r="G36" s="544"/>
      <c r="H36" s="317"/>
      <c r="I36" s="995"/>
      <c r="L36" s="1102"/>
    </row>
    <row r="37" spans="1:12">
      <c r="A37" s="425" t="s">
        <v>715</v>
      </c>
      <c r="B37" s="324">
        <f>PGL_Supplies!R7/1000</f>
        <v>0</v>
      </c>
      <c r="C37" s="313"/>
      <c r="D37" s="313"/>
      <c r="E37" s="333"/>
      <c r="F37" s="425" t="s">
        <v>466</v>
      </c>
      <c r="G37" s="544"/>
      <c r="H37" s="317"/>
      <c r="I37" s="336"/>
      <c r="L37" s="1102"/>
    </row>
    <row r="38" spans="1:12">
      <c r="A38" s="425" t="s">
        <v>441</v>
      </c>
      <c r="B38" s="324">
        <f>PGL_Requirements!C7/1000</f>
        <v>0</v>
      </c>
      <c r="C38" s="1115"/>
      <c r="D38" s="1116"/>
      <c r="E38" s="1011"/>
      <c r="F38" s="425" t="s">
        <v>467</v>
      </c>
      <c r="G38" s="544"/>
      <c r="H38" s="317"/>
      <c r="I38" s="336"/>
      <c r="L38" s="1102"/>
    </row>
    <row r="39" spans="1:12">
      <c r="A39" s="425" t="s">
        <v>442</v>
      </c>
      <c r="B39" s="324">
        <f>PGL_Supplies!C7/1000</f>
        <v>0</v>
      </c>
      <c r="C39" s="1115"/>
      <c r="D39" s="1116"/>
      <c r="E39" s="813"/>
      <c r="F39" s="996" t="s">
        <v>468</v>
      </c>
      <c r="G39" s="122"/>
      <c r="H39" s="549"/>
      <c r="I39" s="336"/>
      <c r="L39" s="1102"/>
    </row>
    <row r="40" spans="1:12" ht="15.6" thickBot="1">
      <c r="A40" s="638" t="s">
        <v>697</v>
      </c>
      <c r="B40" s="324">
        <f>PGL_Supplies!Z7/1000</f>
        <v>40.200000000000003</v>
      </c>
      <c r="C40" s="122"/>
      <c r="D40" s="1114"/>
      <c r="E40" s="122"/>
      <c r="F40" s="547" t="s">
        <v>469</v>
      </c>
      <c r="G40" s="544"/>
      <c r="H40" s="350"/>
      <c r="I40" s="336"/>
      <c r="L40" s="594"/>
    </row>
    <row r="41" spans="1:12" ht="16.2" thickBot="1">
      <c r="A41" s="559" t="s">
        <v>443</v>
      </c>
      <c r="B41" s="566">
        <f>B40+B37-B36-B38+B39</f>
        <v>0</v>
      </c>
      <c r="C41" s="531"/>
      <c r="D41" s="531"/>
      <c r="E41" s="521"/>
      <c r="F41" s="425" t="s">
        <v>470</v>
      </c>
      <c r="G41" s="544"/>
      <c r="H41" s="352"/>
      <c r="I41" s="336"/>
      <c r="L41" s="594"/>
    </row>
    <row r="42" spans="1:12" ht="16.2" thickBot="1">
      <c r="A42" s="555" t="s">
        <v>11</v>
      </c>
      <c r="B42" s="556" t="s">
        <v>11</v>
      </c>
      <c r="C42" s="997" t="s">
        <v>69</v>
      </c>
      <c r="D42" s="558"/>
      <c r="E42" s="998" t="s">
        <v>11</v>
      </c>
      <c r="F42" s="425" t="s">
        <v>471</v>
      </c>
      <c r="G42" s="544"/>
      <c r="H42" s="317"/>
      <c r="I42" s="336"/>
    </row>
    <row r="43" spans="1:12">
      <c r="A43" s="425" t="s">
        <v>518</v>
      </c>
      <c r="B43" s="324">
        <f>NSG_Supplies!O7/1000+PGL_Supplies!AA7/1000</f>
        <v>0</v>
      </c>
      <c r="C43" s="352"/>
      <c r="D43" s="313"/>
      <c r="E43" s="351"/>
      <c r="F43" s="425" t="s">
        <v>403</v>
      </c>
      <c r="G43" s="544"/>
      <c r="H43" s="352"/>
      <c r="I43" s="336"/>
    </row>
    <row r="44" spans="1:12">
      <c r="A44" s="771" t="s">
        <v>519</v>
      </c>
      <c r="B44" s="324">
        <v>0</v>
      </c>
      <c r="C44" s="594"/>
      <c r="D44" s="313"/>
      <c r="E44" s="351"/>
      <c r="F44" s="370" t="s">
        <v>472</v>
      </c>
      <c r="G44" s="548"/>
      <c r="H44" s="539"/>
      <c r="I44" s="336"/>
    </row>
    <row r="45" spans="1:12" ht="15.6" thickBot="1">
      <c r="A45" s="425" t="s">
        <v>446</v>
      </c>
      <c r="B45" s="999">
        <f>PGL_Requirements!D7/1000</f>
        <v>0</v>
      </c>
      <c r="C45" s="352"/>
      <c r="D45" s="313"/>
      <c r="E45" s="351"/>
      <c r="F45" s="370" t="s">
        <v>473</v>
      </c>
      <c r="G45" s="548"/>
      <c r="H45" s="550"/>
      <c r="I45" s="336"/>
    </row>
    <row r="46" spans="1:12" ht="16.2" thickBot="1">
      <c r="A46" s="425" t="s">
        <v>447</v>
      </c>
      <c r="B46" s="324">
        <f>PGL_Supplies!D7/1000</f>
        <v>0</v>
      </c>
      <c r="C46" s="352"/>
      <c r="D46" s="313"/>
      <c r="E46" s="351"/>
      <c r="F46" s="551" t="s">
        <v>224</v>
      </c>
      <c r="G46" s="552"/>
      <c r="H46" s="553"/>
      <c r="I46" s="336"/>
    </row>
    <row r="47" spans="1:12" ht="16.2" thickBot="1">
      <c r="A47" s="559" t="s">
        <v>443</v>
      </c>
      <c r="B47" s="1000">
        <f>B43+B44-B45+B46</f>
        <v>0</v>
      </c>
      <c r="C47" s="1001"/>
      <c r="D47" s="531"/>
      <c r="E47" s="1002"/>
      <c r="F47" s="528" t="s">
        <v>11</v>
      </c>
      <c r="G47" s="529" t="s">
        <v>474</v>
      </c>
      <c r="H47" s="529" t="s">
        <v>11</v>
      </c>
      <c r="I47" s="360"/>
    </row>
    <row r="48" spans="1:12" ht="16.2" thickBot="1">
      <c r="A48" s="555" t="s">
        <v>11</v>
      </c>
      <c r="B48" s="560" t="s">
        <v>11</v>
      </c>
      <c r="C48" s="997" t="s">
        <v>60</v>
      </c>
      <c r="D48" s="558"/>
      <c r="E48" s="558"/>
      <c r="F48" s="568" t="s">
        <v>426</v>
      </c>
      <c r="G48" s="541"/>
      <c r="H48" s="563" t="s">
        <v>11</v>
      </c>
      <c r="I48" s="366" t="s">
        <v>11</v>
      </c>
    </row>
    <row r="49" spans="1:9">
      <c r="A49" s="425" t="s">
        <v>72</v>
      </c>
      <c r="B49" s="324">
        <f>PGL_Requirements!P7/1000</f>
        <v>190</v>
      </c>
      <c r="C49" s="313"/>
      <c r="D49" s="313"/>
      <c r="E49" s="313"/>
      <c r="F49" s="361" t="s">
        <v>475</v>
      </c>
      <c r="G49" s="313"/>
      <c r="H49" s="388" t="s">
        <v>11</v>
      </c>
      <c r="I49" s="366" t="s">
        <v>11</v>
      </c>
    </row>
    <row r="50" spans="1:9" ht="15.6" thickBot="1">
      <c r="A50" s="425" t="s">
        <v>448</v>
      </c>
      <c r="B50" s="324">
        <f>PGL_Supplies!M7/1000</f>
        <v>0</v>
      </c>
      <c r="C50" s="313"/>
      <c r="D50" s="313"/>
      <c r="E50" s="313"/>
      <c r="F50" s="537" t="s">
        <v>476</v>
      </c>
      <c r="G50" s="355"/>
      <c r="H50" s="526" t="s">
        <v>11</v>
      </c>
      <c r="I50" s="407"/>
    </row>
    <row r="51" spans="1:9" ht="15.6" thickBot="1">
      <c r="A51" s="425" t="s">
        <v>449</v>
      </c>
      <c r="B51" s="324">
        <f>SUM(PGL_Requirements!B7/1000)</f>
        <v>0</v>
      </c>
      <c r="C51" s="313"/>
      <c r="D51" s="313"/>
      <c r="E51" s="313"/>
      <c r="F51" s="565" t="s">
        <v>452</v>
      </c>
      <c r="G51" s="531"/>
      <c r="H51" s="566" t="s">
        <v>11</v>
      </c>
      <c r="I51" s="1003" t="s">
        <v>11</v>
      </c>
    </row>
    <row r="52" spans="1:9" ht="16.2" thickBot="1">
      <c r="A52" s="425" t="s">
        <v>450</v>
      </c>
      <c r="B52" s="324">
        <f>PGL_Supplies!H7/1000</f>
        <v>1</v>
      </c>
      <c r="C52" s="313"/>
      <c r="D52" s="313"/>
      <c r="E52" s="313"/>
      <c r="F52" s="358" t="s">
        <v>477</v>
      </c>
      <c r="G52" s="359"/>
      <c r="H52" s="359"/>
      <c r="I52" s="360"/>
    </row>
    <row r="53" spans="1:9">
      <c r="A53" s="370" t="s">
        <v>741</v>
      </c>
      <c r="B53" s="324">
        <f>PGL_Requirements!R7/1000</f>
        <v>0.63</v>
      </c>
      <c r="C53" s="313"/>
      <c r="D53" s="313"/>
      <c r="E53" s="313"/>
      <c r="F53" s="542" t="s">
        <v>478</v>
      </c>
      <c r="G53" s="543"/>
      <c r="H53" s="569" t="s">
        <v>11</v>
      </c>
      <c r="I53" s="570">
        <f>+PGL_Supplies!K7/1000</f>
        <v>0</v>
      </c>
    </row>
    <row r="54" spans="1:9" ht="16.2" thickBot="1">
      <c r="A54" s="425" t="s">
        <v>742</v>
      </c>
      <c r="B54" s="324">
        <f>PGL_Requirements!Q7/1000</f>
        <v>2.85</v>
      </c>
      <c r="C54" s="349"/>
      <c r="D54" s="349"/>
      <c r="E54" s="349"/>
      <c r="F54" s="358" t="s">
        <v>421</v>
      </c>
      <c r="G54" s="359"/>
      <c r="H54" s="359"/>
      <c r="I54" s="360"/>
    </row>
    <row r="55" spans="1:9" ht="16.2" thickBot="1">
      <c r="A55" s="518" t="s">
        <v>452</v>
      </c>
      <c r="B55" s="519">
        <f>-B49+B50+B52+B56+B57-B53-B51</f>
        <v>-189.63</v>
      </c>
      <c r="C55" s="520"/>
      <c r="D55" s="520"/>
      <c r="E55" s="521"/>
      <c r="F55" s="547" t="s">
        <v>480</v>
      </c>
      <c r="G55" s="545"/>
      <c r="H55" s="540"/>
      <c r="I55" s="1004">
        <f>PGL_Requirements!E7/1000</f>
        <v>0</v>
      </c>
    </row>
    <row r="56" spans="1:9">
      <c r="A56" s="332" t="s">
        <v>218</v>
      </c>
      <c r="B56" s="324">
        <v>0</v>
      </c>
      <c r="C56" s="523"/>
      <c r="D56" s="523"/>
      <c r="E56" s="524"/>
      <c r="F56" s="370" t="s">
        <v>481</v>
      </c>
      <c r="G56" s="544"/>
      <c r="H56" s="1006">
        <f>PGL_Supplies!E7/1000</f>
        <v>2.8</v>
      </c>
      <c r="I56" s="1007" t="s">
        <v>11</v>
      </c>
    </row>
    <row r="57" spans="1:9" ht="15.6" thickBot="1">
      <c r="A57" s="425" t="s">
        <v>216</v>
      </c>
      <c r="B57" s="1005">
        <v>0</v>
      </c>
      <c r="C57" s="377"/>
      <c r="D57" s="377"/>
      <c r="E57" s="1118"/>
      <c r="F57" s="425" t="s">
        <v>109</v>
      </c>
      <c r="G57" s="573"/>
      <c r="H57" s="1006">
        <f>PGL_Supplies!AB7/1000+NSG_Supplies!N7/1000</f>
        <v>183.85499999999999</v>
      </c>
      <c r="I57" s="1007" t="s">
        <v>11</v>
      </c>
    </row>
    <row r="58" spans="1:9" ht="16.2" thickBot="1">
      <c r="A58" s="639" t="s">
        <v>11</v>
      </c>
      <c r="B58" s="1008"/>
      <c r="C58" s="1009" t="s">
        <v>37</v>
      </c>
      <c r="D58" s="1010"/>
      <c r="E58" s="1117"/>
      <c r="F58" s="122" t="s">
        <v>624</v>
      </c>
      <c r="G58" s="122"/>
      <c r="H58" s="1006">
        <f>PGL_Supplies!T7/1000*0.5</f>
        <v>10</v>
      </c>
      <c r="I58" s="1011"/>
    </row>
    <row r="59" spans="1:9" ht="15.6" thickBot="1">
      <c r="A59" s="425" t="s">
        <v>454</v>
      </c>
      <c r="B59" s="324">
        <f>PGL_Supplies!Q7/1000</f>
        <v>0</v>
      </c>
      <c r="C59" s="381" t="s">
        <v>11</v>
      </c>
      <c r="D59" s="313"/>
      <c r="E59" s="382"/>
      <c r="F59" s="122" t="s">
        <v>623</v>
      </c>
      <c r="G59" s="122"/>
      <c r="H59" s="1012"/>
      <c r="I59" s="1013">
        <f>PGL_Requirements!H7/1000*0.5</f>
        <v>12.414999999999999</v>
      </c>
    </row>
    <row r="60" spans="1:9" ht="16.2" thickBot="1">
      <c r="A60" s="425" t="s">
        <v>455</v>
      </c>
      <c r="B60" s="388">
        <f>PGL_Requirements!F7/1000</f>
        <v>0</v>
      </c>
      <c r="C60" s="381" t="s">
        <v>11</v>
      </c>
      <c r="D60" s="313"/>
      <c r="E60" s="382"/>
      <c r="F60" s="551" t="s">
        <v>692</v>
      </c>
      <c r="G60" s="430"/>
      <c r="H60" s="430"/>
      <c r="I60" s="1083">
        <f>SUM(H55:H59)-SUM(I55:I59)</f>
        <v>184.24</v>
      </c>
    </row>
    <row r="61" spans="1:9">
      <c r="A61" s="425" t="s">
        <v>456</v>
      </c>
      <c r="B61" s="324">
        <f>PGL_Supplies!G7/1000</f>
        <v>0</v>
      </c>
      <c r="C61" s="324"/>
      <c r="D61" s="313"/>
      <c r="E61" s="317"/>
      <c r="F61" s="1014" t="s">
        <v>693</v>
      </c>
      <c r="G61" s="1015"/>
      <c r="H61" s="1086"/>
      <c r="I61" s="1084">
        <v>0</v>
      </c>
    </row>
    <row r="62" spans="1:9" ht="15.6" thickBot="1">
      <c r="A62" s="425" t="s">
        <v>109</v>
      </c>
      <c r="B62" s="1017">
        <f>PGL_Supplies!AD7/1000</f>
        <v>0</v>
      </c>
      <c r="C62" s="527"/>
      <c r="D62" s="349"/>
      <c r="E62" s="525"/>
      <c r="F62" s="1016" t="s">
        <v>694</v>
      </c>
      <c r="G62" s="594"/>
      <c r="H62" s="1087" t="s">
        <v>11</v>
      </c>
      <c r="I62" s="1085">
        <f>H57+H58-I59-I61</f>
        <v>181.44</v>
      </c>
    </row>
    <row r="63" spans="1:9" ht="16.2" thickBot="1">
      <c r="A63" s="799" t="s">
        <v>559</v>
      </c>
      <c r="B63" s="1019">
        <f>+B62+B61-B60+B59</f>
        <v>0</v>
      </c>
      <c r="C63" s="1000" t="s">
        <v>11</v>
      </c>
      <c r="D63" s="531"/>
      <c r="E63" s="521"/>
      <c r="F63" s="1018" t="s">
        <v>779</v>
      </c>
      <c r="G63" s="225"/>
      <c r="H63" s="1115"/>
      <c r="I63" s="1182">
        <f>I59</f>
        <v>12.414999999999999</v>
      </c>
    </row>
    <row r="64" spans="1:9" ht="15.6">
      <c r="A64" s="542" t="s">
        <v>732</v>
      </c>
      <c r="B64" s="1026"/>
      <c r="C64" s="1036" t="s">
        <v>11</v>
      </c>
      <c r="D64" s="1036" t="s">
        <v>11</v>
      </c>
      <c r="E64" s="1037" t="s">
        <v>11</v>
      </c>
      <c r="F64" s="1185" t="s">
        <v>781</v>
      </c>
      <c r="G64" s="434"/>
      <c r="H64" s="1116"/>
      <c r="I64" s="1182">
        <f>PGL_Requirements!H7/1000</f>
        <v>24.83</v>
      </c>
    </row>
    <row r="65" spans="1:9" ht="15.6">
      <c r="A65" s="370" t="s">
        <v>733</v>
      </c>
      <c r="B65" s="1029"/>
      <c r="C65" s="1035" t="s">
        <v>11</v>
      </c>
      <c r="D65" s="1035" t="s">
        <v>11</v>
      </c>
      <c r="E65" s="1183" t="s">
        <v>11</v>
      </c>
      <c r="F65" s="1184" t="s">
        <v>3</v>
      </c>
      <c r="H65" s="240"/>
      <c r="I65" s="1192">
        <f>I62+I63</f>
        <v>193.85499999999999</v>
      </c>
    </row>
    <row r="66" spans="1:9" ht="16.2" thickBot="1">
      <c r="A66" s="1188" t="s">
        <v>783</v>
      </c>
      <c r="B66" s="1027"/>
      <c r="C66" s="1038" t="s">
        <v>11</v>
      </c>
      <c r="D66" s="1038" t="s">
        <v>11</v>
      </c>
      <c r="E66" s="1039" t="s">
        <v>11</v>
      </c>
      <c r="F66" s="358" t="s">
        <v>748</v>
      </c>
      <c r="G66" s="359"/>
      <c r="H66" s="359"/>
      <c r="I66" s="360"/>
    </row>
    <row r="67" spans="1:9" ht="16.2" thickBot="1">
      <c r="A67" s="1024" t="s">
        <v>698</v>
      </c>
      <c r="B67" s="1031" t="s">
        <v>11</v>
      </c>
      <c r="C67" s="1098" t="s">
        <v>11</v>
      </c>
      <c r="D67" s="1098" t="s">
        <v>11</v>
      </c>
      <c r="E67" s="1099" t="s">
        <v>11</v>
      </c>
      <c r="F67" s="581" t="s">
        <v>484</v>
      </c>
      <c r="G67" s="541" t="s">
        <v>11</v>
      </c>
      <c r="H67" s="574" t="s">
        <v>11</v>
      </c>
      <c r="I67" s="586" t="s">
        <v>11</v>
      </c>
    </row>
    <row r="68" spans="1:9" ht="16.2" thickBot="1">
      <c r="A68" s="1107" t="s">
        <v>751</v>
      </c>
      <c r="B68" s="1100"/>
      <c r="C68" s="122"/>
      <c r="D68" s="1100"/>
      <c r="E68" s="122"/>
      <c r="F68" s="361" t="s">
        <v>485</v>
      </c>
      <c r="G68" s="313"/>
      <c r="H68" s="540"/>
      <c r="I68" s="1023"/>
    </row>
    <row r="69" spans="1:9" ht="16.2" thickBot="1">
      <c r="A69" s="518" t="s">
        <v>734</v>
      </c>
      <c r="B69" s="1030" t="s">
        <v>11</v>
      </c>
      <c r="C69" s="1032" t="s">
        <v>11</v>
      </c>
      <c r="D69" s="1032" t="s">
        <v>11</v>
      </c>
      <c r="E69" s="1032" t="s">
        <v>11</v>
      </c>
      <c r="F69" s="425"/>
      <c r="G69" s="350"/>
      <c r="H69" s="594"/>
      <c r="I69" s="1021"/>
    </row>
    <row r="70" spans="1:9" ht="16.2" thickBot="1">
      <c r="A70" s="1187" t="s">
        <v>782</v>
      </c>
      <c r="B70" s="1028" t="s">
        <v>11</v>
      </c>
      <c r="C70" s="1033" t="s">
        <v>11</v>
      </c>
      <c r="D70" s="1033" t="s">
        <v>11</v>
      </c>
      <c r="E70" s="1034" t="s">
        <v>11</v>
      </c>
      <c r="F70" s="1025" t="s">
        <v>486</v>
      </c>
      <c r="G70" s="120"/>
      <c r="H70" s="1022" t="s">
        <v>487</v>
      </c>
      <c r="I70" s="404" t="s">
        <v>11</v>
      </c>
    </row>
    <row r="71" spans="1:9" ht="15.6" thickTop="1"/>
  </sheetData>
  <customSheetViews>
    <customSheetView guid="{66C35B70-1DF5-11D4-B46C-0004ACEC7D4A}" scale="75" fitToPage="1" showRuler="0">
      <pageMargins left="0.25" right="0.25" top="1" bottom="0.25" header="0.25" footer="0.25"/>
      <printOptions horizontalCentered="1"/>
      <pageSetup paperSize="5" scale="76" orientation="portrait" horizontalDpi="4294967292" r:id="rId1"/>
      <headerFooter alignWithMargins="0">
        <oddFooter>&amp;R&amp;10Printed: &amp;D &amp;T</oddFooter>
      </headerFooter>
    </customSheetView>
  </customSheetViews>
  <printOptions horizontalCentered="1"/>
  <pageMargins left="0.25" right="0.25" top="1" bottom="0.25" header="0.25" footer="0.25"/>
  <pageSetup paperSize="5" scale="67" orientation="portrait" horizontalDpi="4294967292" r:id="rId2"/>
  <headerFooter alignWithMargins="0">
    <oddFooter>&amp;R&amp;10Printed: &amp;D &amp;T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>
    <pageSetUpPr fitToPage="1"/>
  </sheetPr>
  <dimension ref="A1:I55"/>
  <sheetViews>
    <sheetView zoomScale="75" workbookViewId="0"/>
  </sheetViews>
  <sheetFormatPr defaultRowHeight="15"/>
  <cols>
    <col min="1" max="1" width="23.54296875" bestFit="1" customWidth="1"/>
    <col min="2" max="6" width="10.81640625" customWidth="1"/>
    <col min="7" max="7" width="10.90625" customWidth="1"/>
    <col min="8" max="9" width="10.81640625" customWidth="1"/>
  </cols>
  <sheetData>
    <row r="1" spans="1:9" ht="21" thickTop="1">
      <c r="A1" s="1101" t="s">
        <v>11</v>
      </c>
      <c r="B1" s="640"/>
      <c r="C1" s="640" t="s">
        <v>11</v>
      </c>
      <c r="D1" s="641"/>
      <c r="E1" s="770" t="s">
        <v>173</v>
      </c>
      <c r="F1" s="770" t="str">
        <f>CHOOSE(WEEKDAY(G1),"SUN","MON","TUE","WED","THU","FRI","SAT")</f>
        <v>SUN</v>
      </c>
      <c r="G1" s="1082">
        <f>Weather_Input!A5</f>
        <v>37017</v>
      </c>
      <c r="H1" s="589" t="s">
        <v>258</v>
      </c>
      <c r="I1" s="593"/>
    </row>
    <row r="2" spans="1:9" ht="20.399999999999999">
      <c r="A2" s="642" t="s">
        <v>11</v>
      </c>
      <c r="B2" s="793" t="s">
        <v>555</v>
      </c>
      <c r="C2" s="953"/>
      <c r="D2" s="795" t="s">
        <v>556</v>
      </c>
      <c r="E2" s="794"/>
      <c r="F2" s="795" t="s">
        <v>557</v>
      </c>
      <c r="G2" s="794"/>
      <c r="H2" s="796" t="s">
        <v>496</v>
      </c>
      <c r="I2" s="645"/>
    </row>
    <row r="3" spans="1:9" ht="21">
      <c r="A3" s="1091" t="s">
        <v>497</v>
      </c>
      <c r="B3" s="646" t="s">
        <v>23</v>
      </c>
      <c r="C3" s="647"/>
      <c r="D3" s="648" t="s">
        <v>23</v>
      </c>
      <c r="E3" s="647" t="s">
        <v>24</v>
      </c>
      <c r="F3" s="648" t="s">
        <v>23</v>
      </c>
      <c r="G3" s="648" t="s">
        <v>24</v>
      </c>
      <c r="H3" s="646" t="s">
        <v>23</v>
      </c>
      <c r="I3" s="649" t="s">
        <v>24</v>
      </c>
    </row>
    <row r="4" spans="1:9" ht="21" thickBot="1">
      <c r="A4" s="650"/>
      <c r="B4" s="651">
        <f>Weather_Input!B5</f>
        <v>75</v>
      </c>
      <c r="C4" s="758">
        <f>Weather_Input!C5</f>
        <v>62</v>
      </c>
      <c r="D4" s="652"/>
      <c r="E4" s="653"/>
      <c r="F4" s="652"/>
      <c r="G4" s="653"/>
      <c r="H4" s="654"/>
      <c r="I4" s="655"/>
    </row>
    <row r="5" spans="1:9" ht="23.4" thickBot="1">
      <c r="A5" s="656" t="s">
        <v>139</v>
      </c>
      <c r="B5" s="657"/>
      <c r="C5" s="658">
        <f>NSG_Deliveries!C5/1000</f>
        <v>44</v>
      </c>
      <c r="D5" s="657"/>
      <c r="E5" s="659"/>
      <c r="F5" s="657"/>
      <c r="G5" s="659" t="s">
        <v>11</v>
      </c>
      <c r="H5" s="657"/>
      <c r="I5" s="660"/>
    </row>
    <row r="6" spans="1:9" ht="12" customHeight="1" thickBot="1">
      <c r="A6" s="661" t="s">
        <v>11</v>
      </c>
      <c r="B6" s="662"/>
      <c r="C6" s="663"/>
      <c r="D6" s="664"/>
      <c r="E6" s="663"/>
      <c r="F6" s="664"/>
      <c r="G6" s="664"/>
      <c r="H6" s="662"/>
      <c r="I6" s="665"/>
    </row>
    <row r="7" spans="1:9" ht="23.4" thickBot="1">
      <c r="A7" s="666" t="s">
        <v>86</v>
      </c>
      <c r="B7" s="657"/>
      <c r="C7" s="763">
        <f>C5-C9-C11-C12</f>
        <v>44</v>
      </c>
      <c r="D7" s="667"/>
      <c r="E7" s="659"/>
      <c r="F7" s="667"/>
      <c r="G7" s="667" t="s">
        <v>11</v>
      </c>
      <c r="H7" s="657"/>
      <c r="I7" s="660"/>
    </row>
    <row r="8" spans="1:9" ht="12" customHeight="1" thickBot="1">
      <c r="A8" s="661"/>
      <c r="B8" s="668"/>
      <c r="C8" s="663"/>
      <c r="D8" s="664"/>
      <c r="E8" s="663"/>
      <c r="F8" s="664"/>
      <c r="G8" s="664"/>
      <c r="H8" s="662"/>
      <c r="I8" s="665"/>
    </row>
    <row r="9" spans="1:9" s="114" customFormat="1" ht="21" customHeight="1" thickBot="1">
      <c r="A9" s="829" t="s">
        <v>640</v>
      </c>
      <c r="B9" s="675"/>
      <c r="C9" s="1113">
        <f>B46</f>
        <v>0</v>
      </c>
      <c r="D9" s="673"/>
      <c r="E9" s="674"/>
      <c r="F9" s="673"/>
      <c r="G9" s="673"/>
      <c r="H9" s="675"/>
      <c r="I9" s="676"/>
    </row>
    <row r="10" spans="1:9" ht="12" customHeight="1" thickBot="1">
      <c r="A10" s="825"/>
      <c r="B10" s="668"/>
      <c r="C10" s="663"/>
      <c r="D10" s="826"/>
      <c r="E10" s="669"/>
      <c r="F10" s="826"/>
      <c r="G10" s="826"/>
      <c r="H10" s="668"/>
      <c r="I10" s="827"/>
    </row>
    <row r="11" spans="1:9" ht="22.8">
      <c r="A11" s="670" t="s">
        <v>498</v>
      </c>
      <c r="B11" s="671"/>
      <c r="C11" s="672">
        <f>B38</f>
        <v>0</v>
      </c>
      <c r="D11" s="673"/>
      <c r="E11" s="674"/>
      <c r="F11" s="673"/>
      <c r="G11" s="673" t="s">
        <v>11</v>
      </c>
      <c r="H11" s="675"/>
      <c r="I11" s="676"/>
    </row>
    <row r="12" spans="1:9" ht="22.8">
      <c r="A12" s="677" t="s">
        <v>499</v>
      </c>
      <c r="B12" s="678"/>
      <c r="C12" s="679">
        <v>0</v>
      </c>
      <c r="D12" s="680"/>
      <c r="E12" s="681"/>
      <c r="F12" s="680"/>
      <c r="G12" s="680"/>
      <c r="H12" s="678"/>
      <c r="I12" s="682"/>
    </row>
    <row r="13" spans="1:9" ht="21" thickBot="1">
      <c r="A13" s="685" t="s">
        <v>99</v>
      </c>
      <c r="B13" s="683"/>
      <c r="C13" s="684"/>
      <c r="D13" s="680"/>
      <c r="E13" s="681"/>
      <c r="F13" s="680"/>
      <c r="G13" s="680"/>
      <c r="H13" s="678"/>
      <c r="I13" s="682"/>
    </row>
    <row r="14" spans="1:9" ht="21" thickBot="1">
      <c r="A14" s="685" t="s">
        <v>110</v>
      </c>
      <c r="B14" s="686"/>
      <c r="C14" s="687"/>
      <c r="D14" s="686"/>
      <c r="E14" s="687"/>
      <c r="F14" s="686"/>
      <c r="G14" s="686"/>
      <c r="H14" s="688"/>
      <c r="I14" s="689"/>
    </row>
    <row r="15" spans="1:9" ht="23.4" thickBot="1">
      <c r="A15" s="690" t="s">
        <v>500</v>
      </c>
      <c r="B15" s="691"/>
      <c r="C15" s="763">
        <v>0</v>
      </c>
      <c r="D15" s="693"/>
      <c r="E15" s="692"/>
      <c r="F15" s="693"/>
      <c r="G15" s="693" t="s">
        <v>11</v>
      </c>
      <c r="H15" s="691"/>
      <c r="I15" s="694"/>
    </row>
    <row r="16" spans="1:9" ht="21.6" thickBot="1">
      <c r="A16" s="695" t="s">
        <v>11</v>
      </c>
      <c r="B16" s="662"/>
      <c r="C16" s="663"/>
      <c r="D16" s="664"/>
      <c r="E16" s="663"/>
      <c r="F16" s="664"/>
      <c r="G16" s="664"/>
      <c r="H16" s="662"/>
      <c r="I16" s="665"/>
    </row>
    <row r="17" spans="1:9" ht="23.4" thickBot="1">
      <c r="A17" s="696" t="s">
        <v>501</v>
      </c>
      <c r="B17" s="697"/>
      <c r="C17" s="698" t="s">
        <v>11</v>
      </c>
      <c r="D17" s="699"/>
      <c r="E17" s="700"/>
      <c r="F17" s="699"/>
      <c r="G17" s="699"/>
      <c r="H17" s="697"/>
      <c r="I17" s="701"/>
    </row>
    <row r="18" spans="1:9" ht="21.6" thickBot="1">
      <c r="A18" s="702" t="s">
        <v>502</v>
      </c>
      <c r="B18" s="662"/>
      <c r="C18" s="663" t="s">
        <v>11</v>
      </c>
      <c r="D18" s="664"/>
      <c r="E18" s="663"/>
      <c r="F18" s="664"/>
      <c r="G18" s="507" t="s">
        <v>644</v>
      </c>
      <c r="H18" s="662"/>
      <c r="I18" s="830"/>
    </row>
    <row r="19" spans="1:9" ht="23.4" thickBot="1">
      <c r="A19" s="703" t="s">
        <v>428</v>
      </c>
      <c r="B19" s="704"/>
      <c r="C19" s="705">
        <f>C7+C12</f>
        <v>44</v>
      </c>
      <c r="D19" s="706"/>
      <c r="E19" s="707"/>
      <c r="F19" s="706"/>
      <c r="G19" s="706" t="s">
        <v>11</v>
      </c>
      <c r="H19" s="704"/>
      <c r="I19" s="708"/>
    </row>
    <row r="20" spans="1:9" ht="20.399999999999999">
      <c r="A20" s="709" t="s">
        <v>430</v>
      </c>
      <c r="B20" s="710"/>
      <c r="C20" s="711">
        <f>NSG_Requirements!C7/1000</f>
        <v>0</v>
      </c>
      <c r="D20" s="712"/>
      <c r="E20" s="711">
        <f>NSG_Requirements!C7/1000</f>
        <v>0</v>
      </c>
      <c r="F20" s="712"/>
      <c r="G20" s="711">
        <f>NSG_Requirements!C7/1000</f>
        <v>0</v>
      </c>
      <c r="H20" s="710"/>
      <c r="I20" s="774">
        <f>NSG_Requirements!C7/1000</f>
        <v>0</v>
      </c>
    </row>
    <row r="21" spans="1:9" ht="20.399999999999999">
      <c r="A21" s="713" t="s">
        <v>433</v>
      </c>
      <c r="B21" s="714"/>
      <c r="C21" s="711">
        <f>NSG_Requirements!R7/1000</f>
        <v>0</v>
      </c>
      <c r="D21" s="715"/>
      <c r="E21" s="711">
        <f>NSG_Requirements!R7/1000</f>
        <v>0</v>
      </c>
      <c r="F21" s="715"/>
      <c r="G21" s="711">
        <f>NSG_Requirements!R7/1000</f>
        <v>0</v>
      </c>
      <c r="H21" s="714"/>
      <c r="I21" s="775">
        <f>NSG_Requirements!R7/1000</f>
        <v>0</v>
      </c>
    </row>
    <row r="22" spans="1:9" ht="20.399999999999999">
      <c r="A22" s="713" t="s">
        <v>503</v>
      </c>
      <c r="B22" s="717"/>
      <c r="C22" s="711">
        <f>NSG_Supplies!K7/1000</f>
        <v>0</v>
      </c>
      <c r="D22" s="718"/>
      <c r="E22" s="711">
        <f>NSG_Supplies!K7/1000</f>
        <v>0</v>
      </c>
      <c r="F22" s="718"/>
      <c r="G22" s="711">
        <f>NSG_Supplies!K7/1000</f>
        <v>0</v>
      </c>
      <c r="H22" s="717"/>
      <c r="I22" s="776">
        <f>NSG_Supplies!K7/1000</f>
        <v>0</v>
      </c>
    </row>
    <row r="23" spans="1:9" ht="20.399999999999999">
      <c r="A23" s="709" t="s">
        <v>434</v>
      </c>
      <c r="B23" s="717"/>
      <c r="C23" s="792">
        <f>-(PGL_Requirements!$Y$7+PGL_Requirements!$Z$7+PGL_Requirements!$AA$7+PGL_Requirements!$AB$7)/1000+(NSG_Requirements!$Y$7+NSG_Requirements!$Z$7+NSG_Requirements!$AA$7)/1000</f>
        <v>0</v>
      </c>
      <c r="D23" s="643"/>
      <c r="E23" s="792">
        <f>-(PGL_Requirements!$Y$7+PGL_Requirements!$Z$7+PGL_Requirements!$AA$7+PGL_Requirements!$AB$7)/1000+(NSG_Requirements!$Y$7+NSG_Requirements!$Z$7+NSG_Requirements!$AA$7)/1000</f>
        <v>0</v>
      </c>
      <c r="F23" s="643"/>
      <c r="G23" s="792">
        <f>-(PGL_Requirements!$Y$7+PGL_Requirements!$Z$7+PGL_Requirements!$AA$7+PGL_Requirements!$AB$7)/1000+(NSG_Requirements!$Y$7+NSG_Requirements!$Z$7+NSG_Requirements!$AA$7)/1000</f>
        <v>0</v>
      </c>
      <c r="H23" s="714"/>
      <c r="I23" s="791">
        <f>-(PGL_Requirements!$Y$7+PGL_Requirements!$Z$7+PGL_Requirements!$AA$7+PGL_Requirements!$AB$7)/1000+(NSG_Requirements!$Y$7+NSG_Requirements!$Z$7+NSG_Requirements!$AA$7)/1000</f>
        <v>0</v>
      </c>
    </row>
    <row r="24" spans="1:9" ht="20.399999999999999">
      <c r="A24" s="709" t="s">
        <v>436</v>
      </c>
      <c r="B24" s="717"/>
      <c r="C24" s="711">
        <f>NSG_Requirements!H7/1000</f>
        <v>0</v>
      </c>
      <c r="D24" s="718"/>
      <c r="E24" s="711" t="s">
        <v>11</v>
      </c>
      <c r="F24" s="718"/>
      <c r="G24" s="711" t="s">
        <v>11</v>
      </c>
      <c r="H24" s="717"/>
      <c r="I24" s="711" t="s">
        <v>11</v>
      </c>
    </row>
    <row r="25" spans="1:9" ht="20.399999999999999">
      <c r="A25" s="709" t="s">
        <v>437</v>
      </c>
      <c r="B25" s="714"/>
      <c r="C25" s="711">
        <f>-NSG_Supplies!F7/1000</f>
        <v>-12.46</v>
      </c>
      <c r="D25" s="715"/>
      <c r="E25" s="711" t="s">
        <v>11</v>
      </c>
      <c r="F25" s="715"/>
      <c r="G25" s="711" t="s">
        <v>11</v>
      </c>
      <c r="H25" s="714"/>
      <c r="I25" s="711" t="s">
        <v>11</v>
      </c>
    </row>
    <row r="26" spans="1:9" ht="20.399999999999999">
      <c r="A26" s="709" t="s">
        <v>197</v>
      </c>
      <c r="B26" s="717"/>
      <c r="C26" s="711">
        <f>-NSG_Supplies!R7/1000</f>
        <v>-31.536000000000001</v>
      </c>
      <c r="D26" s="718"/>
      <c r="E26" s="711">
        <f>-NSG_Supplies!R7/1000</f>
        <v>-31.536000000000001</v>
      </c>
      <c r="F26" s="718"/>
      <c r="G26" s="711">
        <f>-NSG_Supplies!R7/1000</f>
        <v>-31.536000000000001</v>
      </c>
      <c r="H26" s="717"/>
      <c r="I26" s="776">
        <f>-NSG_Supplies!R7/1000</f>
        <v>-31.536000000000001</v>
      </c>
    </row>
    <row r="27" spans="1:9" ht="20.399999999999999">
      <c r="A27" s="709" t="s">
        <v>435</v>
      </c>
      <c r="B27" s="717"/>
      <c r="C27" s="711">
        <v>0</v>
      </c>
      <c r="D27" s="718"/>
      <c r="E27" s="711">
        <v>0</v>
      </c>
      <c r="F27" s="718"/>
      <c r="G27" s="711">
        <v>0</v>
      </c>
      <c r="H27" s="717"/>
      <c r="I27" s="776">
        <v>0</v>
      </c>
    </row>
    <row r="28" spans="1:9" ht="21" thickBot="1">
      <c r="A28" s="764" t="s">
        <v>532</v>
      </c>
      <c r="B28" s="720"/>
      <c r="C28" s="711">
        <f>-NSG_Supplies!H7/1000+NSG_Requirements!L7/1000</f>
        <v>0</v>
      </c>
      <c r="D28" s="715"/>
      <c r="E28" s="711">
        <f>-NSG_Supplies!H7/1000+NSG_Requirements!L7/1000</f>
        <v>0</v>
      </c>
      <c r="F28" s="715"/>
      <c r="G28" s="711">
        <f>-NSG_Supplies!H7/1000+NSG_Requirements!L7/1000</f>
        <v>0</v>
      </c>
      <c r="H28" s="720"/>
      <c r="I28" s="785">
        <f>-NSG_Supplies!H7/1000+NSG_Requirements!L7/1000</f>
        <v>0</v>
      </c>
    </row>
    <row r="29" spans="1:9" ht="23.4" thickBot="1">
      <c r="A29" s="722"/>
      <c r="B29" s="723"/>
      <c r="C29" s="724" t="s">
        <v>498</v>
      </c>
      <c r="D29" s="723"/>
      <c r="E29" s="725"/>
      <c r="F29" s="723"/>
      <c r="G29" s="726" t="s">
        <v>11</v>
      </c>
      <c r="H29" s="723"/>
      <c r="I29" s="727"/>
    </row>
    <row r="30" spans="1:9" ht="21">
      <c r="A30" s="783" t="s">
        <v>440</v>
      </c>
      <c r="B30" s="760">
        <f>NSG_Requirements!O7/1000</f>
        <v>0</v>
      </c>
      <c r="C30" s="729" t="s">
        <v>11</v>
      </c>
      <c r="D30" s="730"/>
      <c r="E30" s="731"/>
      <c r="F30" s="732" t="s">
        <v>283</v>
      </c>
      <c r="G30" s="733"/>
      <c r="H30" s="733"/>
      <c r="I30" s="734"/>
    </row>
    <row r="31" spans="1:9" ht="20.399999999999999">
      <c r="A31" s="784" t="s">
        <v>533</v>
      </c>
      <c r="B31" s="759">
        <f>NSG_Supplies!L7/1000+PGL_Requirements!V7/1000</f>
        <v>0</v>
      </c>
      <c r="C31" s="718"/>
      <c r="D31" s="736"/>
      <c r="E31" s="719"/>
      <c r="F31" s="643"/>
      <c r="G31" s="715"/>
      <c r="H31" s="715"/>
      <c r="I31" s="734"/>
    </row>
    <row r="32" spans="1:9" ht="20.399999999999999">
      <c r="A32" s="784" t="s">
        <v>534</v>
      </c>
      <c r="B32" s="759">
        <f>NSG_Supplies!M7/1000</f>
        <v>0</v>
      </c>
      <c r="C32" s="715"/>
      <c r="D32" s="737"/>
      <c r="E32" s="716"/>
      <c r="F32" s="643"/>
      <c r="G32" s="715"/>
      <c r="H32" s="715"/>
      <c r="I32" s="734"/>
    </row>
    <row r="33" spans="1:9" ht="20.399999999999999">
      <c r="A33" s="783" t="s">
        <v>504</v>
      </c>
      <c r="B33" s="761">
        <f>(NSG_Requirements!S7+NSG_Requirements!T7+NSG_Requirements!U7)/1000</f>
        <v>0</v>
      </c>
      <c r="C33" s="718"/>
      <c r="D33" s="736"/>
      <c r="E33" s="719"/>
      <c r="F33" s="643"/>
      <c r="G33" s="715"/>
      <c r="H33" s="715"/>
      <c r="I33" s="734"/>
    </row>
    <row r="34" spans="1:9" ht="20.399999999999999">
      <c r="A34" s="783" t="s">
        <v>89</v>
      </c>
      <c r="B34" s="759">
        <f>NSG_Requirements!D7/1000</f>
        <v>0</v>
      </c>
      <c r="C34" s="718"/>
      <c r="D34" s="736"/>
      <c r="E34" s="719"/>
      <c r="F34" s="643"/>
      <c r="G34" s="715"/>
      <c r="H34" s="715"/>
      <c r="I34" s="734"/>
    </row>
    <row r="35" spans="1:9" ht="20.399999999999999">
      <c r="A35" s="784" t="s">
        <v>516</v>
      </c>
      <c r="B35" s="761">
        <f>NSG_Requirements!B7/1000</f>
        <v>0</v>
      </c>
      <c r="C35" s="718"/>
      <c r="D35" s="736"/>
      <c r="E35" s="719"/>
      <c r="F35" s="643"/>
      <c r="G35" s="715"/>
      <c r="H35" s="715"/>
      <c r="I35" s="734"/>
    </row>
    <row r="36" spans="1:9" ht="20.399999999999999">
      <c r="A36" s="784" t="s">
        <v>517</v>
      </c>
      <c r="B36" s="761">
        <f>NSG_Supplies!B7/1000</f>
        <v>0</v>
      </c>
      <c r="C36" s="718"/>
      <c r="D36" s="736"/>
      <c r="E36" s="719"/>
      <c r="F36" s="643"/>
      <c r="G36" s="715"/>
      <c r="H36" s="715"/>
      <c r="I36" s="734"/>
    </row>
    <row r="37" spans="1:9" ht="21" thickBot="1">
      <c r="A37" s="783" t="s">
        <v>109</v>
      </c>
      <c r="B37" s="759">
        <f>NSG_Supplies!P7/1000</f>
        <v>0</v>
      </c>
      <c r="C37" s="739"/>
      <c r="D37" s="740"/>
      <c r="E37" s="721"/>
      <c r="F37" s="643"/>
      <c r="G37" s="715"/>
      <c r="H37" s="715"/>
      <c r="I37" s="734"/>
    </row>
    <row r="38" spans="1:9" ht="21.6" thickBot="1">
      <c r="A38" s="741" t="s">
        <v>505</v>
      </c>
      <c r="B38" s="762">
        <f>-B30+B31+B32-B33-B34-B35+B36+B37</f>
        <v>0</v>
      </c>
      <c r="C38" s="643"/>
      <c r="D38" s="742"/>
      <c r="E38" s="743"/>
      <c r="F38" s="643"/>
      <c r="G38" s="715"/>
      <c r="H38" s="715"/>
      <c r="I38" s="734"/>
    </row>
    <row r="39" spans="1:9" ht="23.4" thickBot="1">
      <c r="A39" s="722"/>
      <c r="B39" s="723"/>
      <c r="C39" s="831" t="s">
        <v>645</v>
      </c>
      <c r="D39" s="723"/>
      <c r="E39" s="725"/>
      <c r="F39" s="643"/>
      <c r="G39" s="715"/>
      <c r="H39" s="715"/>
      <c r="I39" s="734"/>
    </row>
    <row r="40" spans="1:9" ht="20.399999999999999">
      <c r="A40" s="709" t="s">
        <v>506</v>
      </c>
      <c r="B40" s="821">
        <v>0</v>
      </c>
      <c r="C40" s="643"/>
      <c r="D40" s="744"/>
      <c r="E40" s="745"/>
      <c r="F40" s="643"/>
      <c r="G40" s="715"/>
      <c r="H40" s="715"/>
      <c r="I40" s="734"/>
    </row>
    <row r="41" spans="1:9" ht="20.399999999999999">
      <c r="A41" s="709" t="s">
        <v>507</v>
      </c>
      <c r="B41" s="822">
        <f>NSG_Requirements!J7/1000</f>
        <v>20</v>
      </c>
      <c r="C41" s="718"/>
      <c r="D41" s="736"/>
      <c r="E41" s="719"/>
      <c r="F41" s="643"/>
      <c r="G41" s="715"/>
      <c r="H41" s="715"/>
      <c r="I41" s="734"/>
    </row>
    <row r="42" spans="1:9" ht="20.399999999999999">
      <c r="A42" s="709" t="s">
        <v>508</v>
      </c>
      <c r="B42" s="823">
        <f>NSG_Supplies!E7/1000</f>
        <v>0</v>
      </c>
      <c r="C42" s="643"/>
      <c r="D42" s="746"/>
      <c r="E42" s="747"/>
      <c r="F42" s="643"/>
      <c r="G42" s="715"/>
      <c r="H42" s="715"/>
      <c r="I42" s="734"/>
    </row>
    <row r="43" spans="1:9" ht="20.399999999999999">
      <c r="A43" s="709" t="s">
        <v>509</v>
      </c>
      <c r="B43" s="822">
        <v>0</v>
      </c>
      <c r="C43" s="718"/>
      <c r="D43" s="736"/>
      <c r="E43" s="719"/>
      <c r="F43" s="643"/>
      <c r="G43" s="715"/>
      <c r="H43" s="715"/>
      <c r="I43" s="734"/>
    </row>
    <row r="44" spans="1:9" ht="20.399999999999999">
      <c r="A44" s="709" t="s">
        <v>510</v>
      </c>
      <c r="B44" s="822">
        <v>0</v>
      </c>
      <c r="C44" s="718"/>
      <c r="D44" s="736"/>
      <c r="E44" s="719"/>
      <c r="F44" s="643"/>
      <c r="G44" s="715"/>
      <c r="H44" s="715"/>
      <c r="I44" s="734"/>
    </row>
    <row r="45" spans="1:9" ht="21" thickBot="1">
      <c r="A45" s="638" t="s">
        <v>641</v>
      </c>
      <c r="B45" s="823">
        <f>NSG_Supplies!Q7/1000</f>
        <v>20</v>
      </c>
      <c r="C45" s="643"/>
      <c r="D45" s="746"/>
      <c r="E45" s="747"/>
      <c r="F45" s="643"/>
      <c r="G45" s="715"/>
      <c r="H45" s="715"/>
      <c r="I45" s="734"/>
    </row>
    <row r="46" spans="1:9" ht="21.6" thickBot="1">
      <c r="A46" s="741" t="s">
        <v>505</v>
      </c>
      <c r="B46" s="824">
        <f>B45+B42-B41</f>
        <v>0</v>
      </c>
      <c r="C46" s="749"/>
      <c r="D46" s="748"/>
      <c r="E46" s="750"/>
      <c r="F46" s="643"/>
      <c r="G46" s="715"/>
      <c r="H46" s="715"/>
      <c r="I46" s="734"/>
    </row>
    <row r="47" spans="1:9" ht="23.4" thickBot="1">
      <c r="A47" s="722"/>
      <c r="B47" s="723"/>
      <c r="C47" s="724" t="s">
        <v>69</v>
      </c>
      <c r="D47" s="723"/>
      <c r="E47" s="725"/>
      <c r="F47" s="643"/>
      <c r="G47" s="715"/>
      <c r="H47" s="715"/>
      <c r="I47" s="734"/>
    </row>
    <row r="48" spans="1:9" ht="20.399999999999999">
      <c r="A48" s="709" t="s">
        <v>511</v>
      </c>
      <c r="B48" s="728">
        <f>(NSG_Requirements!V7+NSG_Requirements!W7+NSG_Requirements!X7)/1000</f>
        <v>0</v>
      </c>
      <c r="C48" s="751"/>
      <c r="D48" s="736"/>
      <c r="E48" s="719"/>
      <c r="F48" s="643"/>
      <c r="G48" s="715"/>
      <c r="H48" s="715"/>
      <c r="I48" s="734"/>
    </row>
    <row r="49" spans="1:9" ht="20.399999999999999">
      <c r="A49" s="709" t="s">
        <v>512</v>
      </c>
      <c r="B49" s="735">
        <f>NSG_Requirements!M7/1000</f>
        <v>0</v>
      </c>
      <c r="C49" s="755"/>
      <c r="D49" s="755"/>
      <c r="E49" s="644"/>
      <c r="F49" s="643"/>
      <c r="G49" s="715"/>
      <c r="H49" s="715"/>
      <c r="I49" s="734"/>
    </row>
    <row r="50" spans="1:9" ht="20.399999999999999">
      <c r="A50" s="709" t="s">
        <v>89</v>
      </c>
      <c r="B50" s="735">
        <f>NSG_Requirements!E7/1000</f>
        <v>0</v>
      </c>
      <c r="C50" s="752"/>
      <c r="D50" s="746"/>
      <c r="E50" s="747"/>
      <c r="F50" s="643"/>
      <c r="G50" s="715"/>
      <c r="H50" s="715"/>
      <c r="I50" s="734"/>
    </row>
    <row r="51" spans="1:9" ht="21" thickBot="1">
      <c r="A51" s="709" t="s">
        <v>109</v>
      </c>
      <c r="B51" s="738">
        <f>NSG_Supplies!O7/1000</f>
        <v>0</v>
      </c>
      <c r="C51" s="751"/>
      <c r="D51" s="736"/>
      <c r="E51" s="719"/>
      <c r="F51" s="643"/>
      <c r="G51" s="715"/>
      <c r="H51" s="715"/>
      <c r="I51" s="734"/>
    </row>
    <row r="52" spans="1:9" ht="23.4" thickBot="1">
      <c r="A52" s="722"/>
      <c r="B52" s="723"/>
      <c r="C52" s="724" t="s">
        <v>513</v>
      </c>
      <c r="D52" s="723"/>
      <c r="E52" s="725"/>
      <c r="F52" s="643"/>
      <c r="G52" s="715"/>
      <c r="H52" s="715"/>
      <c r="I52" s="734"/>
    </row>
    <row r="53" spans="1:9" ht="20.399999999999999">
      <c r="A53" s="753" t="s">
        <v>514</v>
      </c>
      <c r="B53" s="754"/>
      <c r="C53" s="643"/>
      <c r="D53" s="744"/>
      <c r="E53" s="745"/>
      <c r="F53" s="643"/>
      <c r="G53" s="715"/>
      <c r="H53" s="715"/>
      <c r="I53" s="734"/>
    </row>
    <row r="54" spans="1:9" ht="21.6" thickBot="1">
      <c r="A54" s="756" t="s">
        <v>515</v>
      </c>
      <c r="B54" s="765"/>
      <c r="C54" s="766"/>
      <c r="D54" s="767"/>
      <c r="E54" s="768"/>
      <c r="F54" s="757"/>
      <c r="G54" s="769"/>
      <c r="H54" s="1093"/>
      <c r="I54" s="1092"/>
    </row>
    <row r="55" spans="1:9" ht="15.6" thickTop="1"/>
  </sheetData>
  <customSheetViews>
    <customSheetView guid="{66C35B70-1DF5-11D4-B46C-0004ACEC7D4A}" scale="75" fitToPage="1" showRuler="0">
      <pageMargins left="0.25" right="0.25" top="1" bottom="0.25" header="0.25" footer="0.25"/>
      <printOptions horizontalCentered="1"/>
      <pageSetup paperSize="5" scale="77" orientation="portrait" horizontalDpi="4294967292" verticalDpi="4294967292" r:id="rId1"/>
      <headerFooter alignWithMargins="0">
        <oddFooter>&amp;R&amp;10Printed: &amp;D &amp;T</oddFooter>
      </headerFooter>
    </customSheetView>
  </customSheetViews>
  <printOptions horizontalCentered="1"/>
  <pageMargins left="0.25" right="0.25" top="1" bottom="0.25" header="0.25" footer="0.25"/>
  <pageSetup paperSize="5" scale="77" orientation="portrait" horizontalDpi="4294967292" verticalDpi="4294967292" r:id="rId2"/>
  <headerFooter alignWithMargins="0">
    <oddFooter>&amp;R&amp;10Printed: &amp;D &amp;T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J483"/>
  <sheetViews>
    <sheetView workbookViewId="0"/>
  </sheetViews>
  <sheetFormatPr defaultColWidth="8.90625" defaultRowHeight="11.4"/>
  <cols>
    <col min="1" max="1" width="24.81640625" style="2" customWidth="1"/>
    <col min="2" max="8" width="12.81640625" style="2" customWidth="1"/>
    <col min="9" max="9" width="14.08984375" style="2" customWidth="1"/>
    <col min="10" max="11" width="8.90625" style="2"/>
    <col min="12" max="12" width="24.81640625" style="2" customWidth="1"/>
    <col min="13" max="20" width="12.81640625" style="2" customWidth="1"/>
    <col min="21" max="16384" width="8.90625" style="2"/>
  </cols>
  <sheetData>
    <row r="1" spans="1:9" ht="17.100000000000001" customHeight="1">
      <c r="A1" s="489" t="s">
        <v>11</v>
      </c>
      <c r="B1" s="254"/>
      <c r="C1" s="254"/>
      <c r="D1" s="254"/>
      <c r="E1" s="255" t="s">
        <v>173</v>
      </c>
      <c r="F1" s="462">
        <f>Weather_Input!A5</f>
        <v>37017</v>
      </c>
      <c r="G1" s="256" t="s">
        <v>11</v>
      </c>
      <c r="H1" s="254"/>
      <c r="I1" s="257"/>
    </row>
    <row r="2" spans="1:9" ht="17.100000000000001" customHeight="1">
      <c r="A2" s="258" t="s">
        <v>11</v>
      </c>
      <c r="B2" s="259"/>
      <c r="C2" s="259"/>
      <c r="D2" s="259" t="s">
        <v>11</v>
      </c>
      <c r="E2" s="259"/>
      <c r="F2" s="259"/>
      <c r="G2" s="259"/>
      <c r="H2" s="259" t="s">
        <v>11</v>
      </c>
      <c r="I2" s="260"/>
    </row>
    <row r="3" spans="1:9" ht="17.100000000000001" customHeight="1" thickBot="1">
      <c r="A3" s="258"/>
      <c r="B3" s="457" t="s">
        <v>536</v>
      </c>
      <c r="C3" s="453">
        <v>44</v>
      </c>
      <c r="D3" s="259"/>
      <c r="E3" s="259"/>
      <c r="F3" s="453" t="s">
        <v>396</v>
      </c>
      <c r="G3" s="453"/>
      <c r="H3" s="261" t="s">
        <v>174</v>
      </c>
      <c r="I3" s="260"/>
    </row>
    <row r="4" spans="1:9" ht="17.100000000000001" customHeight="1">
      <c r="A4" s="262" t="s">
        <v>175</v>
      </c>
      <c r="B4" s="262" t="s">
        <v>175</v>
      </c>
      <c r="C4" s="263" t="s">
        <v>176</v>
      </c>
      <c r="D4" s="263" t="s">
        <v>23</v>
      </c>
      <c r="E4" s="263" t="s">
        <v>176</v>
      </c>
      <c r="F4" s="263" t="s">
        <v>23</v>
      </c>
      <c r="G4" s="263" t="s">
        <v>176</v>
      </c>
      <c r="H4" s="263" t="s">
        <v>23</v>
      </c>
      <c r="I4" s="264" t="s">
        <v>176</v>
      </c>
    </row>
    <row r="5" spans="1:9" ht="17.100000000000001" customHeight="1">
      <c r="A5" s="265" t="s">
        <v>177</v>
      </c>
      <c r="B5" s="266">
        <f>Weather_Input!B5</f>
        <v>75</v>
      </c>
      <c r="C5" s="266">
        <f>Weather_Input!C5</f>
        <v>62</v>
      </c>
      <c r="D5" s="266"/>
      <c r="E5" s="266"/>
      <c r="F5" s="266"/>
      <c r="G5" s="266"/>
      <c r="H5" s="266"/>
      <c r="I5" s="267"/>
    </row>
    <row r="6" spans="1:9" ht="17.100000000000001" customHeight="1">
      <c r="A6" s="265" t="s">
        <v>178</v>
      </c>
      <c r="B6" s="268"/>
      <c r="C6" s="269"/>
      <c r="D6" s="269"/>
      <c r="E6" s="269"/>
      <c r="F6" s="269"/>
      <c r="G6" s="269"/>
      <c r="H6" s="269"/>
      <c r="I6" s="267"/>
    </row>
    <row r="7" spans="1:9" ht="17.100000000000001" customHeight="1" thickBot="1">
      <c r="A7" s="258" t="s">
        <v>179</v>
      </c>
      <c r="B7" s="270"/>
      <c r="C7" s="271"/>
      <c r="D7" s="259"/>
      <c r="E7" s="270"/>
      <c r="F7" s="271"/>
      <c r="G7" s="271"/>
      <c r="H7" s="271"/>
      <c r="I7" s="260"/>
    </row>
    <row r="8" spans="1:9" ht="17.100000000000001" customHeight="1" thickBot="1">
      <c r="A8" s="272" t="s">
        <v>180</v>
      </c>
      <c r="B8" s="273">
        <f>PGL_Deliveries!C5/1000</f>
        <v>230</v>
      </c>
      <c r="C8" s="274">
        <f>NSG_Deliveries!C5/1000</f>
        <v>44</v>
      </c>
      <c r="D8" s="273" t="s">
        <v>11</v>
      </c>
      <c r="E8" s="275"/>
      <c r="F8" s="276"/>
      <c r="G8" s="276"/>
      <c r="H8" s="276"/>
      <c r="I8" s="257"/>
    </row>
    <row r="9" spans="1:9" ht="17.100000000000001" customHeight="1" thickTop="1" thickBot="1">
      <c r="A9" s="277"/>
      <c r="B9" s="456" t="s">
        <v>55</v>
      </c>
      <c r="C9" s="278" t="s">
        <v>83</v>
      </c>
      <c r="D9" s="279"/>
      <c r="E9" s="279"/>
      <c r="F9" s="279"/>
      <c r="G9" s="279"/>
      <c r="H9" s="279"/>
      <c r="I9" s="280"/>
    </row>
    <row r="10" spans="1:9" ht="17.100000000000001" customHeight="1" thickTop="1">
      <c r="A10" s="281" t="s">
        <v>68</v>
      </c>
      <c r="B10" s="282">
        <f>B62</f>
        <v>0</v>
      </c>
      <c r="C10" s="268"/>
      <c r="D10" s="266"/>
      <c r="E10" s="268"/>
      <c r="F10" s="268"/>
      <c r="G10" s="268"/>
      <c r="H10" s="268"/>
      <c r="I10" s="267" t="s">
        <v>11</v>
      </c>
    </row>
    <row r="11" spans="1:9" ht="17.100000000000001" customHeight="1">
      <c r="A11" s="283" t="s">
        <v>181</v>
      </c>
      <c r="B11" s="282">
        <f>+B54</f>
        <v>174.64400000000001</v>
      </c>
      <c r="C11" s="284" t="s">
        <v>11</v>
      </c>
      <c r="D11" s="266"/>
      <c r="E11" s="284" t="str">
        <f>+C11</f>
        <v xml:space="preserve"> </v>
      </c>
      <c r="F11" s="268"/>
      <c r="G11" s="284" t="str">
        <f>+C11</f>
        <v xml:space="preserve"> </v>
      </c>
      <c r="H11" s="268"/>
      <c r="I11" s="285" t="str">
        <f>+C11</f>
        <v xml:space="preserve"> </v>
      </c>
    </row>
    <row r="12" spans="1:9" ht="17.100000000000001" customHeight="1">
      <c r="A12" s="258" t="s">
        <v>182</v>
      </c>
      <c r="B12" s="282">
        <f>PGL_Supplies!K7/1000</f>
        <v>0</v>
      </c>
      <c r="C12" s="284"/>
      <c r="D12" s="266"/>
      <c r="E12" s="268"/>
      <c r="F12" s="268"/>
      <c r="G12" s="268"/>
      <c r="H12" s="268"/>
      <c r="I12" s="267"/>
    </row>
    <row r="13" spans="1:9" ht="17.100000000000001" customHeight="1">
      <c r="A13" s="283" t="s">
        <v>74</v>
      </c>
      <c r="B13" s="282">
        <f>PGL_Supplies!I7/1000</f>
        <v>15</v>
      </c>
      <c r="C13" s="268"/>
      <c r="D13" s="461"/>
      <c r="E13" s="268"/>
      <c r="F13" s="268"/>
      <c r="G13" s="268"/>
      <c r="H13" s="268"/>
      <c r="I13" s="267"/>
    </row>
    <row r="14" spans="1:9" ht="17.100000000000001" customHeight="1">
      <c r="A14" s="283" t="s">
        <v>183</v>
      </c>
      <c r="B14" s="286">
        <f>+B72</f>
        <v>-17.485000000000014</v>
      </c>
      <c r="C14" s="268"/>
      <c r="D14" s="266"/>
      <c r="E14" s="268"/>
      <c r="F14" s="268"/>
      <c r="G14" s="268"/>
      <c r="H14" s="268"/>
      <c r="I14" s="267"/>
    </row>
    <row r="15" spans="1:9" ht="17.100000000000001" customHeight="1">
      <c r="A15" s="283" t="s">
        <v>184</v>
      </c>
      <c r="B15" s="282">
        <f>+B46</f>
        <v>1</v>
      </c>
      <c r="C15" s="268" t="s">
        <v>11</v>
      </c>
      <c r="D15" s="266" t="s">
        <v>11</v>
      </c>
      <c r="E15" s="268"/>
      <c r="F15" s="461"/>
      <c r="G15" s="268"/>
      <c r="H15" s="268"/>
      <c r="I15" s="267"/>
    </row>
    <row r="16" spans="1:9" ht="17.100000000000001" customHeight="1">
      <c r="A16" s="258" t="s">
        <v>185</v>
      </c>
      <c r="B16" s="282">
        <f>PGL_Requirements!G7/1000</f>
        <v>0</v>
      </c>
      <c r="C16" s="268"/>
      <c r="D16" s="266"/>
      <c r="E16" s="268"/>
      <c r="F16" s="306" t="s">
        <v>11</v>
      </c>
      <c r="G16" s="268"/>
      <c r="H16" s="268"/>
      <c r="I16" s="267"/>
    </row>
    <row r="17" spans="1:9" ht="17.100000000000001" customHeight="1" thickBot="1">
      <c r="A17" s="283" t="s">
        <v>186</v>
      </c>
      <c r="B17" s="282">
        <f>PGL_Supplies!B7/1000</f>
        <v>0</v>
      </c>
      <c r="C17" s="268"/>
      <c r="D17" s="259"/>
      <c r="E17" s="268"/>
      <c r="F17" s="268"/>
      <c r="G17" s="268"/>
      <c r="H17" s="268"/>
      <c r="I17" s="287"/>
    </row>
    <row r="18" spans="1:9" ht="17.100000000000001" customHeight="1" thickBot="1">
      <c r="A18" s="288" t="s">
        <v>399</v>
      </c>
      <c r="B18" s="458">
        <f>-B10-B11-B12-B13-B14-B15+B16-B17</f>
        <v>-173.15899999999999</v>
      </c>
      <c r="C18" s="289">
        <f>-I63</f>
        <v>0</v>
      </c>
      <c r="D18" s="290" t="s">
        <v>11</v>
      </c>
      <c r="E18" s="289">
        <f>-I63</f>
        <v>0</v>
      </c>
      <c r="F18" s="290" t="s">
        <v>11</v>
      </c>
      <c r="G18" s="289">
        <f>-I63</f>
        <v>0</v>
      </c>
      <c r="H18" s="290" t="s">
        <v>11</v>
      </c>
      <c r="I18" s="291"/>
    </row>
    <row r="19" spans="1:9" ht="17.100000000000001" customHeight="1">
      <c r="A19" s="292" t="s">
        <v>61</v>
      </c>
      <c r="B19" s="293">
        <f>-PGL_Supplies!J7/1000</f>
        <v>0</v>
      </c>
      <c r="C19" s="294">
        <f>-NSG_Supplies!U7/1000</f>
        <v>0</v>
      </c>
      <c r="D19" s="254"/>
      <c r="E19" s="275"/>
      <c r="F19" s="254"/>
      <c r="G19" s="275"/>
      <c r="H19" s="276"/>
      <c r="I19" s="267"/>
    </row>
    <row r="20" spans="1:9" ht="17.100000000000001" customHeight="1">
      <c r="A20" s="292" t="s">
        <v>187</v>
      </c>
      <c r="B20" s="282">
        <f>B8+B18+B19</f>
        <v>56.841000000000008</v>
      </c>
      <c r="C20" s="295">
        <f>C8+C18+C19</f>
        <v>44</v>
      </c>
      <c r="D20" s="266"/>
      <c r="E20" s="268"/>
      <c r="F20" s="266"/>
      <c r="G20" s="268"/>
      <c r="H20" s="269"/>
      <c r="I20" s="260"/>
    </row>
    <row r="21" spans="1:9" ht="17.100000000000001" customHeight="1">
      <c r="A21" s="292" t="s">
        <v>188</v>
      </c>
      <c r="B21" s="282">
        <v>0</v>
      </c>
      <c r="C21" s="268"/>
      <c r="D21" s="266"/>
      <c r="E21" s="268"/>
      <c r="F21" s="266"/>
      <c r="G21" s="268"/>
      <c r="H21" s="269"/>
      <c r="I21" s="296"/>
    </row>
    <row r="22" spans="1:9" ht="17.100000000000001" customHeight="1">
      <c r="A22" s="292" t="s">
        <v>189</v>
      </c>
      <c r="B22" s="282">
        <f>+B44</f>
        <v>2.85</v>
      </c>
      <c r="C22" s="268"/>
      <c r="D22" s="266"/>
      <c r="E22" s="268"/>
      <c r="F22" s="297" t="s">
        <v>11</v>
      </c>
      <c r="G22" s="306"/>
      <c r="H22" s="298" t="s">
        <v>11</v>
      </c>
      <c r="I22" s="260"/>
    </row>
    <row r="23" spans="1:9" ht="17.100000000000001" customHeight="1">
      <c r="A23" s="299" t="s">
        <v>190</v>
      </c>
      <c r="B23" s="300">
        <f>B20+B21+B22</f>
        <v>59.69100000000001</v>
      </c>
      <c r="C23" s="301">
        <f>C20</f>
        <v>44</v>
      </c>
      <c r="D23" s="266"/>
      <c r="E23" s="268"/>
      <c r="F23" s="302"/>
      <c r="G23" s="268"/>
      <c r="H23" s="303" t="s">
        <v>11</v>
      </c>
      <c r="I23" s="304" t="s">
        <v>11</v>
      </c>
    </row>
    <row r="24" spans="1:9" ht="17.100000000000001" customHeight="1" thickBot="1">
      <c r="A24" s="305" t="s">
        <v>191</v>
      </c>
      <c r="B24" s="306">
        <f>-NSG_Requirements!$L$7/1000</f>
        <v>0</v>
      </c>
      <c r="C24" s="306">
        <f>NSG_Requirements!$L$7/1000</f>
        <v>0</v>
      </c>
      <c r="D24" s="307">
        <f>B24</f>
        <v>0</v>
      </c>
      <c r="E24" s="306">
        <f>C24</f>
        <v>0</v>
      </c>
      <c r="F24" s="307">
        <f>B24</f>
        <v>0</v>
      </c>
      <c r="G24" s="306">
        <f>C24</f>
        <v>0</v>
      </c>
      <c r="H24" s="452">
        <f>B24</f>
        <v>0</v>
      </c>
      <c r="I24" s="308">
        <f>C24</f>
        <v>0</v>
      </c>
    </row>
    <row r="25" spans="1:9" ht="17.100000000000001" customHeight="1" thickTop="1" thickBot="1">
      <c r="A25" s="277"/>
      <c r="B25" s="279"/>
      <c r="C25" s="488" t="s">
        <v>11</v>
      </c>
      <c r="D25" s="279"/>
      <c r="E25" s="279"/>
      <c r="F25" s="279"/>
      <c r="G25" s="279"/>
      <c r="H25" s="279"/>
      <c r="I25" s="280"/>
    </row>
    <row r="26" spans="1:9" ht="17.25" customHeight="1" thickTop="1">
      <c r="A26" s="309" t="s">
        <v>192</v>
      </c>
      <c r="B26" s="310">
        <f>PGL_Requirements!L7/1000</f>
        <v>0</v>
      </c>
      <c r="C26" s="310">
        <f>NSG_Requirements!C7/1000</f>
        <v>0</v>
      </c>
      <c r="D26" s="310">
        <f>B26</f>
        <v>0</v>
      </c>
      <c r="E26" s="310">
        <f>+C26</f>
        <v>0</v>
      </c>
      <c r="F26" s="310">
        <f>B26</f>
        <v>0</v>
      </c>
      <c r="G26" s="310">
        <f>+C26</f>
        <v>0</v>
      </c>
      <c r="H26" s="311">
        <f>B26</f>
        <v>0</v>
      </c>
      <c r="I26" s="312">
        <f>+C26</f>
        <v>0</v>
      </c>
    </row>
    <row r="27" spans="1:9" ht="17.25" customHeight="1">
      <c r="A27" s="309" t="s">
        <v>193</v>
      </c>
      <c r="B27" s="310">
        <f>PGL_Requirements!R7/1000</f>
        <v>0.63</v>
      </c>
      <c r="C27" s="310">
        <f>NSG_Requirements!P7/1000</f>
        <v>0</v>
      </c>
      <c r="D27" s="310">
        <f>PGL_Requirements!R7/1000</f>
        <v>0.63</v>
      </c>
      <c r="E27" s="310">
        <f>NSG_Requirements!P7/1000</f>
        <v>0</v>
      </c>
      <c r="F27" s="310">
        <f>PGL_Requirements!R7/1000</f>
        <v>0.63</v>
      </c>
      <c r="G27" s="310">
        <f>NSG_Requirements!P7/1000</f>
        <v>0</v>
      </c>
      <c r="H27" s="311">
        <f>+B27</f>
        <v>0.63</v>
      </c>
      <c r="I27" s="312">
        <f>+C27</f>
        <v>0</v>
      </c>
    </row>
    <row r="28" spans="1:9" ht="17.100000000000001" customHeight="1">
      <c r="A28" s="322" t="s">
        <v>194</v>
      </c>
      <c r="B28" s="315">
        <v>0</v>
      </c>
      <c r="C28" s="315">
        <v>0</v>
      </c>
      <c r="D28" s="315">
        <v>0</v>
      </c>
      <c r="E28" s="315">
        <v>0</v>
      </c>
      <c r="F28" s="315">
        <v>0</v>
      </c>
      <c r="G28" s="315">
        <f>C28</f>
        <v>0</v>
      </c>
      <c r="H28" s="320">
        <f>B28</f>
        <v>0</v>
      </c>
      <c r="I28" s="321">
        <f>C28</f>
        <v>0</v>
      </c>
    </row>
    <row r="29" spans="1:9" ht="17.100000000000001" customHeight="1">
      <c r="A29" s="322" t="s">
        <v>195</v>
      </c>
      <c r="B29" s="419">
        <f>-PGL_Supplies!N7/1000</f>
        <v>0</v>
      </c>
      <c r="C29" s="419">
        <f>-NSG_Supplies!I7/1000</f>
        <v>0</v>
      </c>
      <c r="D29" s="315">
        <f>-PGL_Supplies!N7/1000</f>
        <v>0</v>
      </c>
      <c r="E29" s="315">
        <f>-NSG_Supplies!I7/1000</f>
        <v>0</v>
      </c>
      <c r="F29" s="315">
        <f>-PGL_Supplies!N7/1000</f>
        <v>0</v>
      </c>
      <c r="G29" s="315">
        <f>-NSG_Supplies!I7/1000</f>
        <v>0</v>
      </c>
      <c r="H29" s="320">
        <f>-PGL_Supplies!N7/1000</f>
        <v>0</v>
      </c>
      <c r="I29" s="321">
        <f>-NSG_Supplies!I7/1000</f>
        <v>0</v>
      </c>
    </row>
    <row r="30" spans="1:9" ht="17.100000000000001" customHeight="1">
      <c r="A30" s="319" t="s">
        <v>405</v>
      </c>
      <c r="B30" s="315">
        <f>-PGL_Supplies!O7/1000</f>
        <v>0</v>
      </c>
      <c r="C30" s="315">
        <f>-NSG_Supplies!J7/1000</f>
        <v>0</v>
      </c>
      <c r="D30" s="315">
        <f>-PGL_Supplies!O7/1000</f>
        <v>0</v>
      </c>
      <c r="E30" s="315">
        <f>-NSG_Supplies!J7/1000</f>
        <v>0</v>
      </c>
      <c r="F30" s="315">
        <f>-PGL_Supplies!O7/1000</f>
        <v>0</v>
      </c>
      <c r="G30" s="315">
        <f>-NSG_Supplies!J7/1000</f>
        <v>0</v>
      </c>
      <c r="H30" s="320">
        <f>-PGL_Supplies!O7/1000</f>
        <v>0</v>
      </c>
      <c r="I30" s="321">
        <f>-NSG_Supplies!J7/1000</f>
        <v>0</v>
      </c>
    </row>
    <row r="31" spans="1:9" ht="17.100000000000001" customHeight="1">
      <c r="A31" s="314" t="s">
        <v>196</v>
      </c>
      <c r="B31" s="420">
        <f>(PGL_Requirements!$Y$7+PGL_Requirements!$Z$7+PGL_Requirements!$AA$7)/1000+(NSG_Requirements!$Y$7+NSG_Requirements!$Z$7+NSG_Requirements!$AA$7)/1000</f>
        <v>0</v>
      </c>
      <c r="C31" s="420">
        <f>-(PGL_Requirements!$Y$7+PGL_Requirements!$Z$7+PGL_Requirements!$AA$7)/1000+(NSG_Requirements!$Y$7+NSG_Requirements!$Z$7+NSG_Requirements!$AA$7)/1000</f>
        <v>0</v>
      </c>
      <c r="D31" s="310">
        <f>+B31</f>
        <v>0</v>
      </c>
      <c r="E31" s="315">
        <f>+C31</f>
        <v>0</v>
      </c>
      <c r="F31" s="310">
        <f>+B31</f>
        <v>0</v>
      </c>
      <c r="G31" s="315">
        <f>+E31</f>
        <v>0</v>
      </c>
      <c r="H31" s="311">
        <f>+B31</f>
        <v>0</v>
      </c>
      <c r="I31" s="312">
        <f>+C31</f>
        <v>0</v>
      </c>
    </row>
    <row r="32" spans="1:9" ht="17.100000000000001" customHeight="1">
      <c r="A32" s="322" t="s">
        <v>197</v>
      </c>
      <c r="B32" s="315">
        <f>-PGL_Supplies!AC7/1000</f>
        <v>-60.064</v>
      </c>
      <c r="C32" s="315">
        <f>-NSG_Supplies!R7/1000</f>
        <v>-31.536000000000001</v>
      </c>
      <c r="D32" s="315">
        <f>B32</f>
        <v>-60.064</v>
      </c>
      <c r="E32" s="315">
        <f>C32</f>
        <v>-31.536000000000001</v>
      </c>
      <c r="F32" s="315">
        <f>B32</f>
        <v>-60.064</v>
      </c>
      <c r="G32" s="315">
        <f>C32</f>
        <v>-31.536000000000001</v>
      </c>
      <c r="H32" s="320">
        <f>B32</f>
        <v>-60.064</v>
      </c>
      <c r="I32" s="321">
        <f>C32</f>
        <v>-31.536000000000001</v>
      </c>
    </row>
    <row r="33" spans="1:9" ht="17.100000000000001" customHeight="1">
      <c r="A33" s="319" t="s">
        <v>393</v>
      </c>
      <c r="B33" s="315">
        <f>-PGL_Supplies!X7/1000</f>
        <v>0</v>
      </c>
      <c r="C33" s="315">
        <f>-NSG_Supplies!S7/1000</f>
        <v>-20.591000000000001</v>
      </c>
      <c r="D33" s="315">
        <f>B33</f>
        <v>0</v>
      </c>
      <c r="E33" s="315">
        <f>C33</f>
        <v>-20.591000000000001</v>
      </c>
      <c r="F33" s="315">
        <f>B33</f>
        <v>0</v>
      </c>
      <c r="G33" s="315">
        <f>C33</f>
        <v>-20.591000000000001</v>
      </c>
      <c r="H33" s="320">
        <f>B33</f>
        <v>0</v>
      </c>
      <c r="I33" s="321">
        <f>C33</f>
        <v>-20.591000000000001</v>
      </c>
    </row>
    <row r="34" spans="1:9" ht="17.100000000000001" customHeight="1">
      <c r="A34" s="309" t="s">
        <v>198</v>
      </c>
      <c r="B34" s="310">
        <f>PGL_Requirements!S7/1000</f>
        <v>0</v>
      </c>
      <c r="C34" s="310" t="s">
        <v>11</v>
      </c>
      <c r="D34" s="310">
        <f>+B34</f>
        <v>0</v>
      </c>
      <c r="E34" s="313"/>
      <c r="F34" s="310">
        <f>+D34</f>
        <v>0</v>
      </c>
      <c r="G34" s="313"/>
      <c r="H34" s="311">
        <f>+B34</f>
        <v>0</v>
      </c>
      <c r="I34" s="312" t="str">
        <f>+C34</f>
        <v xml:space="preserve"> </v>
      </c>
    </row>
    <row r="35" spans="1:9" ht="17.100000000000001" customHeight="1">
      <c r="A35" s="316" t="s">
        <v>199</v>
      </c>
      <c r="B35" s="310">
        <f>PGL_Requirements!O7/1000</f>
        <v>6.24</v>
      </c>
      <c r="C35" s="310">
        <f>NSG_Requirements!H7/1000</f>
        <v>0</v>
      </c>
      <c r="D35" s="313"/>
      <c r="E35" s="313"/>
      <c r="F35" s="313"/>
      <c r="G35" s="313"/>
      <c r="H35" s="317"/>
      <c r="I35" s="318"/>
    </row>
    <row r="36" spans="1:9" ht="17.100000000000001" customHeight="1">
      <c r="A36" s="316" t="s">
        <v>200</v>
      </c>
      <c r="B36" s="315">
        <f>-PGL_Supplies!L7/1000</f>
        <v>0</v>
      </c>
      <c r="C36" s="315">
        <f>-NSG_Supplies!F7/1000</f>
        <v>-12.46</v>
      </c>
      <c r="D36" s="313"/>
      <c r="E36" s="313"/>
      <c r="F36" s="313"/>
      <c r="G36" s="313"/>
      <c r="H36" s="317"/>
      <c r="I36" s="318"/>
    </row>
    <row r="37" spans="1:9" ht="17.100000000000001" customHeight="1">
      <c r="A37" s="319" t="s">
        <v>406</v>
      </c>
      <c r="B37" s="310">
        <f>PGL_Requirements!M7/1000</f>
        <v>0</v>
      </c>
      <c r="C37" s="323" t="s">
        <v>11</v>
      </c>
      <c r="D37" s="310">
        <f>PGL_Requirements!M7/1000</f>
        <v>0</v>
      </c>
      <c r="E37" s="313"/>
      <c r="F37" s="310">
        <f>PGL_Requirements!M7/1000</f>
        <v>0</v>
      </c>
      <c r="G37" s="310" t="s">
        <v>11</v>
      </c>
      <c r="H37" s="317"/>
      <c r="I37" s="333"/>
    </row>
    <row r="38" spans="1:9" ht="17.100000000000001" customHeight="1" thickBot="1">
      <c r="A38" s="325" t="s">
        <v>201</v>
      </c>
      <c r="B38" s="310" t="e">
        <f>PGL_Requirements!#REF!/1000</f>
        <v>#REF!</v>
      </c>
      <c r="C38" s="315">
        <f>NSG_Supplies!K7/1000</f>
        <v>0</v>
      </c>
      <c r="D38" s="313"/>
      <c r="E38" s="313"/>
      <c r="F38" s="313"/>
      <c r="G38" s="313"/>
      <c r="H38" s="324" t="e">
        <f>B38</f>
        <v>#REF!</v>
      </c>
      <c r="I38" s="333"/>
    </row>
    <row r="39" spans="1:9" ht="17.100000000000001" customHeight="1" thickBot="1">
      <c r="A39" s="326" t="s">
        <v>11</v>
      </c>
      <c r="B39" s="487" t="s">
        <v>413</v>
      </c>
      <c r="C39" s="485"/>
      <c r="D39" s="486"/>
      <c r="E39" s="328"/>
      <c r="F39" s="329" t="s">
        <v>202</v>
      </c>
      <c r="G39" s="328"/>
      <c r="H39" s="330"/>
      <c r="I39" s="331"/>
    </row>
    <row r="40" spans="1:9" ht="17.100000000000001" customHeight="1">
      <c r="A40" s="332" t="s">
        <v>203</v>
      </c>
      <c r="B40" s="315">
        <f>PGL_Requirements!P7/1000</f>
        <v>190</v>
      </c>
      <c r="C40" s="315" t="s">
        <v>11</v>
      </c>
      <c r="D40" s="396"/>
      <c r="E40" s="333"/>
      <c r="F40" s="334" t="s">
        <v>204</v>
      </c>
      <c r="G40" s="313"/>
      <c r="H40" s="335"/>
      <c r="I40" s="336"/>
    </row>
    <row r="41" spans="1:9" ht="17.100000000000001" customHeight="1">
      <c r="A41" s="332" t="s">
        <v>205</v>
      </c>
      <c r="B41" s="324">
        <f>PGL_Supplies!M7/1000</f>
        <v>0</v>
      </c>
      <c r="C41" s="315" t="s">
        <v>11</v>
      </c>
      <c r="D41" s="313"/>
      <c r="E41" s="333"/>
      <c r="F41" s="337" t="s">
        <v>206</v>
      </c>
      <c r="G41" s="313"/>
      <c r="H41" s="317"/>
      <c r="I41" s="336"/>
    </row>
    <row r="42" spans="1:9" ht="17.100000000000001" customHeight="1">
      <c r="A42" s="332" t="s">
        <v>207</v>
      </c>
      <c r="B42" s="315">
        <f>PGL_Requirements!B7/1000</f>
        <v>0</v>
      </c>
      <c r="C42" s="315" t="s">
        <v>11</v>
      </c>
      <c r="D42" s="313"/>
      <c r="E42" s="333"/>
      <c r="F42" s="337" t="s">
        <v>208</v>
      </c>
      <c r="G42" s="313"/>
      <c r="H42" s="317"/>
      <c r="I42" s="336"/>
    </row>
    <row r="43" spans="1:9" ht="17.100000000000001" customHeight="1">
      <c r="A43" s="332" t="s">
        <v>209</v>
      </c>
      <c r="B43" s="315">
        <f>PGL_Supplies!H7/1000</f>
        <v>1</v>
      </c>
      <c r="C43" s="313"/>
      <c r="D43" s="313"/>
      <c r="E43" s="333"/>
      <c r="F43" s="338" t="s">
        <v>210</v>
      </c>
      <c r="G43" s="313"/>
      <c r="H43" s="317"/>
      <c r="I43" s="336"/>
    </row>
    <row r="44" spans="1:9" ht="17.100000000000001" customHeight="1">
      <c r="A44" s="332" t="s">
        <v>189</v>
      </c>
      <c r="B44" s="339">
        <f>+B48+B47+B45</f>
        <v>2.85</v>
      </c>
      <c r="C44" s="340"/>
      <c r="D44" s="313"/>
      <c r="E44" s="333"/>
      <c r="F44" s="337" t="s">
        <v>211</v>
      </c>
      <c r="G44" s="313"/>
      <c r="H44" s="317"/>
      <c r="I44" s="336"/>
    </row>
    <row r="45" spans="1:9" ht="17.100000000000001" customHeight="1">
      <c r="A45" s="332" t="s">
        <v>212</v>
      </c>
      <c r="B45" s="315">
        <f>PGL_Requirements!Q7/1000</f>
        <v>2.85</v>
      </c>
      <c r="C45" s="313"/>
      <c r="D45" s="313"/>
      <c r="E45" s="333"/>
      <c r="F45" s="342" t="s">
        <v>213</v>
      </c>
      <c r="G45" s="313"/>
      <c r="H45" s="317"/>
      <c r="I45" s="336"/>
    </row>
    <row r="46" spans="1:9" ht="17.100000000000001" customHeight="1">
      <c r="A46" s="322" t="s">
        <v>214</v>
      </c>
      <c r="B46" s="315">
        <f>+B47+B43+B41</f>
        <v>1</v>
      </c>
      <c r="C46" s="313"/>
      <c r="D46" s="313"/>
      <c r="E46" s="333"/>
      <c r="F46" s="337" t="s">
        <v>215</v>
      </c>
      <c r="G46" s="313"/>
      <c r="H46" s="317"/>
      <c r="I46" s="336"/>
    </row>
    <row r="47" spans="1:9" ht="17.100000000000001" customHeight="1">
      <c r="A47" s="332" t="s">
        <v>216</v>
      </c>
      <c r="B47" s="341">
        <v>0</v>
      </c>
      <c r="C47" s="313"/>
      <c r="D47" s="313"/>
      <c r="E47" s="333"/>
      <c r="F47" s="337" t="s">
        <v>217</v>
      </c>
      <c r="G47" s="313"/>
      <c r="H47" s="317"/>
      <c r="I47" s="336"/>
    </row>
    <row r="48" spans="1:9" ht="17.100000000000001" customHeight="1" thickBot="1">
      <c r="A48" s="425" t="s">
        <v>218</v>
      </c>
      <c r="B48" s="343">
        <v>0</v>
      </c>
      <c r="C48" s="344"/>
      <c r="D48" s="344"/>
      <c r="E48" s="345"/>
      <c r="F48" s="338" t="s">
        <v>219</v>
      </c>
      <c r="G48" s="313"/>
      <c r="H48" s="317"/>
      <c r="I48" s="336"/>
    </row>
    <row r="49" spans="1:9" ht="17.100000000000001" customHeight="1" thickTop="1" thickBot="1">
      <c r="A49" s="346" t="s">
        <v>11</v>
      </c>
      <c r="B49" s="327" t="s">
        <v>370</v>
      </c>
      <c r="C49" s="347"/>
      <c r="D49" s="347"/>
      <c r="E49" s="347" t="s">
        <v>11</v>
      </c>
      <c r="F49" s="348" t="s">
        <v>220</v>
      </c>
      <c r="G49" s="349"/>
      <c r="H49" s="350"/>
      <c r="I49" s="336"/>
    </row>
    <row r="50" spans="1:9" ht="17.100000000000001" customHeight="1">
      <c r="A50" s="332" t="s">
        <v>410</v>
      </c>
      <c r="B50" s="324">
        <f>PGL_Supplies!V7/1000+PGL_Supplies!D7/1000</f>
        <v>177.744</v>
      </c>
      <c r="C50" s="313"/>
      <c r="D50" s="313"/>
      <c r="E50" s="313"/>
      <c r="F50" s="319" t="s">
        <v>402</v>
      </c>
      <c r="G50" s="351"/>
      <c r="H50" s="352"/>
      <c r="I50" s="336"/>
    </row>
    <row r="51" spans="1:9" ht="17.100000000000001" customHeight="1">
      <c r="A51" s="332" t="s">
        <v>221</v>
      </c>
      <c r="B51" s="324">
        <f>PGL_Supplies!AA7/1000</f>
        <v>0</v>
      </c>
      <c r="C51" s="340"/>
      <c r="D51" s="313"/>
      <c r="E51" s="313"/>
      <c r="F51" s="353" t="s">
        <v>222</v>
      </c>
      <c r="G51" s="351"/>
      <c r="H51" s="317"/>
      <c r="I51" s="336"/>
    </row>
    <row r="52" spans="1:9" ht="17.100000000000001" customHeight="1" thickBot="1">
      <c r="A52" s="332" t="s">
        <v>371</v>
      </c>
      <c r="B52" s="324">
        <f>NSG_Supplies!O7/1000+PGL_Supplies!Q7/1000</f>
        <v>0</v>
      </c>
      <c r="C52" s="313"/>
      <c r="D52" s="313"/>
      <c r="E52" s="313"/>
      <c r="F52" s="354" t="s">
        <v>223</v>
      </c>
      <c r="G52" s="355"/>
      <c r="H52" s="356"/>
      <c r="I52" s="336"/>
    </row>
    <row r="53" spans="1:9" ht="17.100000000000001" customHeight="1">
      <c r="A53" s="370" t="s">
        <v>233</v>
      </c>
      <c r="B53" s="324">
        <f>PGL_Requirements!J7/1000+NSG_Requirements!E7/1000</f>
        <v>3.1</v>
      </c>
      <c r="C53" s="313"/>
      <c r="D53" s="313"/>
      <c r="E53" s="313"/>
      <c r="F53" s="348" t="s">
        <v>224</v>
      </c>
      <c r="G53" s="357"/>
      <c r="H53" s="340"/>
      <c r="I53" s="336"/>
    </row>
    <row r="54" spans="1:9" ht="17.100000000000001" customHeight="1" thickBot="1">
      <c r="A54" s="322" t="s">
        <v>225</v>
      </c>
      <c r="B54" s="376">
        <f>SUM(B50+B51+B52-B53)</f>
        <v>174.64400000000001</v>
      </c>
      <c r="C54" s="324"/>
      <c r="D54" s="313"/>
      <c r="E54" s="313"/>
      <c r="F54" s="358" t="s">
        <v>226</v>
      </c>
      <c r="G54" s="359"/>
      <c r="H54" s="359"/>
      <c r="I54" s="360"/>
    </row>
    <row r="55" spans="1:9" ht="17.100000000000001" customHeight="1" thickBot="1">
      <c r="A55" s="346" t="s">
        <v>11</v>
      </c>
      <c r="B55" s="329" t="s">
        <v>68</v>
      </c>
      <c r="C55" s="347"/>
      <c r="D55" s="347"/>
      <c r="E55" s="347"/>
      <c r="F55" s="361" t="s">
        <v>227</v>
      </c>
      <c r="G55" s="313"/>
      <c r="H55" s="362"/>
      <c r="I55" s="321">
        <f>NSG_Supplies!P7/1000</f>
        <v>0</v>
      </c>
    </row>
    <row r="56" spans="1:9" ht="17.100000000000001" customHeight="1">
      <c r="A56" s="425" t="s">
        <v>393</v>
      </c>
      <c r="B56" s="324">
        <f>PGL_Supplies!U7/1000</f>
        <v>0</v>
      </c>
      <c r="C56" s="313"/>
      <c r="D56" s="313"/>
      <c r="E56" s="313"/>
      <c r="F56" s="361" t="s">
        <v>228</v>
      </c>
      <c r="G56" s="313"/>
      <c r="H56" s="363">
        <f>NSG_Requirements!B7/1000</f>
        <v>0</v>
      </c>
      <c r="I56" s="321">
        <f>NSG_Supplies!B7/1000</f>
        <v>0</v>
      </c>
    </row>
    <row r="57" spans="1:9" ht="17.100000000000001" customHeight="1">
      <c r="A57" s="332" t="s">
        <v>495</v>
      </c>
      <c r="B57" s="324">
        <f>PGL_Supplies!Z7/1000+PGL_Supplies!C7/1000-PGL_Requirements!C7/1000</f>
        <v>40.200000000000003</v>
      </c>
      <c r="C57" s="313"/>
      <c r="D57" s="313"/>
      <c r="E57" s="313"/>
      <c r="F57" s="361" t="s">
        <v>229</v>
      </c>
      <c r="G57" s="313"/>
      <c r="H57" s="363">
        <f>NSG_Requirements!S7/1000</f>
        <v>0</v>
      </c>
      <c r="I57" s="364"/>
    </row>
    <row r="58" spans="1:9" ht="17.100000000000001" customHeight="1">
      <c r="A58" s="332" t="s">
        <v>230</v>
      </c>
      <c r="B58" s="324">
        <f>PGL_Requirements!U7/1000</f>
        <v>40.200000000000003</v>
      </c>
      <c r="C58" s="313"/>
      <c r="D58" s="313"/>
      <c r="E58" s="313"/>
      <c r="F58" s="361" t="s">
        <v>231</v>
      </c>
      <c r="G58" s="313"/>
      <c r="H58" s="365"/>
      <c r="I58" s="366">
        <f>PGL_Requirements!V7/1000</f>
        <v>0</v>
      </c>
    </row>
    <row r="59" spans="1:9" ht="17.100000000000001" customHeight="1">
      <c r="A59" s="332" t="s">
        <v>232</v>
      </c>
      <c r="B59" s="324">
        <f>PGL_Supplies!R7/1000</f>
        <v>0</v>
      </c>
      <c r="C59" s="313"/>
      <c r="D59" s="313"/>
      <c r="E59" s="313"/>
      <c r="F59" s="367" t="s">
        <v>233</v>
      </c>
      <c r="G59" s="313"/>
      <c r="H59" s="368">
        <f>NSG_Requirements!D7/1000</f>
        <v>0</v>
      </c>
      <c r="I59" s="369"/>
    </row>
    <row r="60" spans="1:9" ht="17.100000000000001" customHeight="1">
      <c r="A60" s="370" t="s">
        <v>233</v>
      </c>
      <c r="B60" s="324">
        <f>PGL_Requirements!I7/1000</f>
        <v>0</v>
      </c>
      <c r="C60" s="313"/>
      <c r="D60" s="313"/>
      <c r="E60" s="313"/>
      <c r="F60" s="371" t="s">
        <v>234</v>
      </c>
      <c r="G60" s="351"/>
      <c r="H60" s="368">
        <f>NSG_Requirements!O7/1000</f>
        <v>0</v>
      </c>
      <c r="I60" s="321">
        <f>+NSG_Supplies!L7/1000</f>
        <v>0</v>
      </c>
    </row>
    <row r="61" spans="1:9" ht="17.100000000000001" customHeight="1" thickBot="1">
      <c r="A61" s="425" t="s">
        <v>415</v>
      </c>
      <c r="B61" s="372">
        <f>(NSG_Requirements!$S$7+NSG_Requirements!$T$7+NSG_Requirements!$U$7+NSG_Requirements!$N$7)/1000</f>
        <v>0</v>
      </c>
      <c r="C61" s="313"/>
      <c r="D61" s="313"/>
      <c r="E61" s="313"/>
      <c r="F61" s="373" t="s">
        <v>235</v>
      </c>
      <c r="G61" s="344"/>
      <c r="H61" s="374"/>
      <c r="I61" s="375">
        <f>NSG_Supplies!M7/1000</f>
        <v>0</v>
      </c>
    </row>
    <row r="62" spans="1:9" ht="17.100000000000001" customHeight="1" thickTop="1">
      <c r="A62" s="322" t="s">
        <v>225</v>
      </c>
      <c r="B62" s="376">
        <f>B56+B57-B58+B59-B60+B61</f>
        <v>0</v>
      </c>
      <c r="C62" s="377"/>
      <c r="D62" s="377"/>
      <c r="E62" s="377"/>
      <c r="F62" s="378" t="s">
        <v>236</v>
      </c>
      <c r="G62" s="313"/>
      <c r="H62" s="365"/>
      <c r="I62" s="379">
        <v>0</v>
      </c>
    </row>
    <row r="63" spans="1:9" ht="17.100000000000001" customHeight="1" thickBot="1">
      <c r="A63" s="346" t="s">
        <v>11</v>
      </c>
      <c r="B63" s="327"/>
      <c r="C63" s="327" t="s">
        <v>412</v>
      </c>
      <c r="D63" s="347"/>
      <c r="E63" s="483" t="s">
        <v>11</v>
      </c>
      <c r="F63" s="348" t="s">
        <v>237</v>
      </c>
      <c r="G63" s="313"/>
      <c r="H63" s="365"/>
      <c r="I63" s="312">
        <f>I58+I60+I56-H56</f>
        <v>0</v>
      </c>
    </row>
    <row r="64" spans="1:9" ht="17.100000000000001" customHeight="1" thickBot="1">
      <c r="A64" s="425" t="s">
        <v>393</v>
      </c>
      <c r="B64" s="324">
        <f>PGL_Supplies!Y7/1000</f>
        <v>172.51499999999999</v>
      </c>
      <c r="C64" s="313"/>
      <c r="D64" s="313"/>
      <c r="E64" s="380"/>
      <c r="F64" s="358" t="s">
        <v>238</v>
      </c>
      <c r="G64" s="359"/>
      <c r="H64" s="359"/>
      <c r="I64" s="360"/>
    </row>
    <row r="65" spans="1:10" ht="17.100000000000001" customHeight="1">
      <c r="A65" s="332" t="s">
        <v>494</v>
      </c>
      <c r="B65" s="324">
        <f>PGL_Supplies!AD7/1000+PGL_Supplies!G7/1000-PGL_Requirements!F7/1000</f>
        <v>0</v>
      </c>
      <c r="C65" s="381" t="s">
        <v>11</v>
      </c>
      <c r="D65" s="313"/>
      <c r="E65" s="382"/>
      <c r="F65" s="383" t="s">
        <v>239</v>
      </c>
      <c r="G65" s="384"/>
      <c r="H65" s="385"/>
      <c r="I65" s="386">
        <f>NSG_Supplies!O7/1000</f>
        <v>0</v>
      </c>
    </row>
    <row r="66" spans="1:10" ht="17.100000000000001" customHeight="1">
      <c r="A66" s="332" t="s">
        <v>240</v>
      </c>
      <c r="B66" s="324">
        <f>PGL_Supplies!AE7/1000</f>
        <v>0</v>
      </c>
      <c r="C66" s="381" t="s">
        <v>11</v>
      </c>
      <c r="D66" s="313"/>
      <c r="E66" s="382"/>
      <c r="F66" s="384" t="s">
        <v>241</v>
      </c>
      <c r="G66" s="384"/>
      <c r="H66" s="387">
        <f>NSG_Requirements!M7/1000</f>
        <v>0</v>
      </c>
      <c r="I66" s="364"/>
    </row>
    <row r="67" spans="1:10" ht="17.100000000000001" customHeight="1">
      <c r="A67" s="332" t="s">
        <v>242</v>
      </c>
      <c r="B67" s="388">
        <f>PGL_Requirements!T7/1000</f>
        <v>0</v>
      </c>
      <c r="C67" s="389" t="s">
        <v>11</v>
      </c>
      <c r="D67" s="313"/>
      <c r="E67" s="382"/>
      <c r="F67" s="384" t="s">
        <v>243</v>
      </c>
      <c r="G67" s="384"/>
      <c r="H67" s="390">
        <f>(NSG_Requirements!$Y$7+NSG_Requirements!$Z$7+NSG_Requirements!$AA$7)/1000</f>
        <v>0</v>
      </c>
      <c r="I67" s="391">
        <f>(PGL_Requirements!$AC$7+PGL_Requirements!$AD$7+PGL_Requirements!$AE$7)/1000</f>
        <v>0</v>
      </c>
    </row>
    <row r="68" spans="1:10" ht="17.100000000000001" customHeight="1" thickBot="1">
      <c r="A68" s="332" t="s">
        <v>244</v>
      </c>
      <c r="B68" s="324">
        <f>PGL_Supplies!P7/1000</f>
        <v>0</v>
      </c>
      <c r="C68" s="381" t="s">
        <v>11</v>
      </c>
      <c r="D68" s="313"/>
      <c r="E68" s="382"/>
      <c r="F68" s="392"/>
      <c r="G68" s="392"/>
      <c r="H68" s="393"/>
      <c r="I68" s="394"/>
    </row>
    <row r="69" spans="1:10" ht="17.100000000000001" customHeight="1">
      <c r="A69" s="370" t="s">
        <v>233</v>
      </c>
      <c r="B69" s="388">
        <f>PGL_Requirements!N7/1000</f>
        <v>0</v>
      </c>
      <c r="C69" s="389" t="s">
        <v>11</v>
      </c>
      <c r="D69" s="313"/>
      <c r="E69" s="491"/>
      <c r="F69" s="395" t="s">
        <v>245</v>
      </c>
      <c r="G69" s="385" t="s">
        <v>11</v>
      </c>
      <c r="H69" s="396" t="s">
        <v>398</v>
      </c>
      <c r="I69" s="382"/>
    </row>
    <row r="70" spans="1:10" ht="17.100000000000001" customHeight="1">
      <c r="A70" s="332" t="s">
        <v>246</v>
      </c>
      <c r="B70" s="388">
        <f>PGL_Requirements!P7/1000</f>
        <v>190</v>
      </c>
      <c r="C70" s="389" t="s">
        <v>11</v>
      </c>
      <c r="D70" s="313"/>
      <c r="E70" s="382"/>
      <c r="F70" s="395" t="s">
        <v>247</v>
      </c>
      <c r="G70" s="385" t="s">
        <v>11</v>
      </c>
      <c r="H70" s="424" t="s">
        <v>248</v>
      </c>
      <c r="I70" s="423"/>
    </row>
    <row r="71" spans="1:10" ht="17.100000000000001" customHeight="1">
      <c r="A71" s="332" t="s">
        <v>249</v>
      </c>
      <c r="B71" s="388">
        <f>PGL_Requirements!F7/1000</f>
        <v>0</v>
      </c>
      <c r="C71" s="381" t="s">
        <v>11</v>
      </c>
      <c r="D71" s="313"/>
      <c r="E71" s="382"/>
      <c r="F71" s="384" t="s">
        <v>250</v>
      </c>
      <c r="G71" s="385" t="s">
        <v>11</v>
      </c>
      <c r="H71" s="398"/>
      <c r="I71" s="382" t="s">
        <v>11</v>
      </c>
    </row>
    <row r="72" spans="1:10" ht="17.100000000000001" customHeight="1" thickBot="1">
      <c r="A72" s="399" t="s">
        <v>225</v>
      </c>
      <c r="B72" s="400">
        <f>+B65+B64+B66+B68-B67-B69-B70</f>
        <v>-17.485000000000014</v>
      </c>
      <c r="C72" s="400" t="s">
        <v>11</v>
      </c>
      <c r="D72" s="401"/>
      <c r="E72" s="402"/>
      <c r="F72" s="397"/>
      <c r="G72" s="492"/>
      <c r="H72" s="403"/>
      <c r="I72" s="404"/>
    </row>
    <row r="73" spans="1:10" ht="17.100000000000001" customHeight="1" thickBot="1">
      <c r="A73" s="358" t="s">
        <v>251</v>
      </c>
      <c r="B73" s="359"/>
      <c r="C73" s="360"/>
      <c r="D73" s="340"/>
      <c r="E73" s="340"/>
      <c r="F73" s="422" t="s">
        <v>252</v>
      </c>
      <c r="G73" s="405" t="str">
        <f>CHOOSE(WEEKDAY(H73),"SUN","MON","TUE","WED","THU","FRI","SAT")</f>
        <v>SUN</v>
      </c>
      <c r="H73" s="406">
        <f>Weather_Input!A5</f>
        <v>37017</v>
      </c>
      <c r="I73" s="407"/>
    </row>
    <row r="74" spans="1:10" ht="17.100000000000001" customHeight="1">
      <c r="A74" s="383" t="s">
        <v>253</v>
      </c>
      <c r="B74" s="313" t="s">
        <v>11</v>
      </c>
      <c r="C74" s="333"/>
      <c r="D74" s="408"/>
      <c r="E74" s="340"/>
      <c r="F74" s="340"/>
      <c r="G74" s="340"/>
      <c r="H74" s="340"/>
      <c r="I74" s="407"/>
    </row>
    <row r="75" spans="1:10" ht="17.100000000000001" customHeight="1">
      <c r="A75" s="361" t="s">
        <v>254</v>
      </c>
      <c r="B75" s="313"/>
      <c r="C75" s="333"/>
      <c r="D75" s="409"/>
      <c r="E75" s="384"/>
      <c r="F75" s="384"/>
      <c r="G75" s="384"/>
      <c r="H75" s="340"/>
      <c r="I75" s="407"/>
    </row>
    <row r="76" spans="1:10" ht="17.100000000000001" customHeight="1" thickBot="1">
      <c r="A76" s="410" t="s">
        <v>255</v>
      </c>
      <c r="B76" s="344"/>
      <c r="C76" s="345"/>
      <c r="D76" s="411" t="s">
        <v>256</v>
      </c>
      <c r="E76" s="412"/>
      <c r="F76" s="413" t="s">
        <v>257</v>
      </c>
      <c r="G76" s="414"/>
      <c r="H76" s="415" t="s">
        <v>258</v>
      </c>
      <c r="I76" s="416" t="s">
        <v>258</v>
      </c>
    </row>
    <row r="77" spans="1:10" ht="17.100000000000001" customHeight="1" thickTop="1">
      <c r="A77"/>
      <c r="B77"/>
      <c r="C77"/>
      <c r="D77"/>
      <c r="E77"/>
      <c r="F77"/>
      <c r="G77"/>
      <c r="H77"/>
      <c r="I77"/>
    </row>
    <row r="78" spans="1:10" ht="15">
      <c r="B78" t="s">
        <v>11</v>
      </c>
      <c r="C78"/>
      <c r="D78"/>
      <c r="E78"/>
      <c r="F78" s="8"/>
      <c r="G78" s="8"/>
      <c r="I78"/>
    </row>
    <row r="79" spans="1:10" ht="15">
      <c r="B79"/>
      <c r="C79"/>
      <c r="D79"/>
      <c r="E79"/>
      <c r="F79" s="8"/>
      <c r="G79" s="8"/>
    </row>
    <row r="80" spans="1:10" ht="15">
      <c r="B80"/>
      <c r="C80"/>
      <c r="D80"/>
      <c r="E80"/>
      <c r="F80" s="8"/>
      <c r="G80" s="8"/>
      <c r="J80"/>
    </row>
    <row r="81" spans="1:9">
      <c r="B81" s="8"/>
      <c r="C81" s="8"/>
      <c r="D81" s="8"/>
      <c r="E81" s="8"/>
      <c r="F81" s="8"/>
      <c r="G81" s="8"/>
    </row>
    <row r="82" spans="1:9">
      <c r="B82" s="8"/>
      <c r="C82" s="8"/>
      <c r="D82" s="8"/>
      <c r="E82" s="8"/>
      <c r="F82" s="8"/>
      <c r="G82" s="8"/>
    </row>
    <row r="83" spans="1:9">
      <c r="B83" s="8"/>
      <c r="C83" s="8"/>
      <c r="D83" s="8"/>
      <c r="E83" s="8"/>
      <c r="F83" s="8"/>
      <c r="G83" s="8"/>
    </row>
    <row r="84" spans="1:9">
      <c r="B84" s="8"/>
      <c r="C84" s="8"/>
      <c r="D84" s="8"/>
      <c r="E84" s="8"/>
      <c r="F84" s="8"/>
      <c r="G84" s="8"/>
    </row>
    <row r="85" spans="1:9">
      <c r="B85" s="8"/>
      <c r="C85" s="8"/>
      <c r="D85" s="8"/>
      <c r="E85" s="8"/>
      <c r="F85" s="8"/>
      <c r="G85" s="8"/>
    </row>
    <row r="86" spans="1:9">
      <c r="B86" s="8"/>
      <c r="C86" s="8"/>
      <c r="D86" s="8"/>
      <c r="E86" s="8"/>
      <c r="F86" s="8"/>
      <c r="G86" s="8"/>
    </row>
    <row r="87" spans="1:9">
      <c r="B87" s="8"/>
      <c r="C87" s="8"/>
      <c r="D87" s="8"/>
      <c r="E87" s="8"/>
      <c r="F87" s="8"/>
      <c r="G87" s="8"/>
    </row>
    <row r="88" spans="1:9">
      <c r="B88" s="8"/>
      <c r="C88" s="8"/>
      <c r="D88" s="8"/>
      <c r="E88" s="8"/>
      <c r="F88" s="8"/>
      <c r="G88" s="8"/>
    </row>
    <row r="89" spans="1:9" ht="12" thickBot="1">
      <c r="B89" s="8"/>
      <c r="C89" s="8"/>
      <c r="D89" s="8"/>
      <c r="E89" s="8"/>
      <c r="F89" s="8"/>
      <c r="G89" s="8"/>
    </row>
    <row r="90" spans="1:9" ht="16.2" thickTop="1">
      <c r="A90" s="587" t="s">
        <v>420</v>
      </c>
      <c r="B90" s="588"/>
      <c r="C90" s="588"/>
      <c r="D90" s="588"/>
      <c r="E90" s="589" t="s">
        <v>173</v>
      </c>
      <c r="F90" s="590">
        <f>Weather_Input!L5</f>
        <v>1</v>
      </c>
      <c r="G90" s="591" t="s">
        <v>11</v>
      </c>
      <c r="H90" s="592"/>
      <c r="I90" s="593"/>
    </row>
    <row r="91" spans="1:9" ht="15.6">
      <c r="A91" s="258"/>
      <c r="B91" s="609" t="s">
        <v>417</v>
      </c>
      <c r="C91" s="269" t="s">
        <v>11</v>
      </c>
      <c r="D91" s="601" t="s">
        <v>488</v>
      </c>
      <c r="E91" s="608"/>
      <c r="F91" s="606" t="s">
        <v>489</v>
      </c>
      <c r="G91" s="607"/>
      <c r="H91" s="605" t="s">
        <v>174</v>
      </c>
      <c r="I91" s="260"/>
    </row>
    <row r="92" spans="1:9" ht="15">
      <c r="A92" s="493" t="s">
        <v>418</v>
      </c>
      <c r="B92" s="600" t="s">
        <v>409</v>
      </c>
      <c r="C92" s="261" t="s">
        <v>176</v>
      </c>
      <c r="D92" s="600" t="s">
        <v>23</v>
      </c>
      <c r="E92" s="261" t="s">
        <v>176</v>
      </c>
      <c r="F92" s="603" t="s">
        <v>23</v>
      </c>
      <c r="G92" s="261" t="s">
        <v>176</v>
      </c>
      <c r="H92" s="600" t="s">
        <v>23</v>
      </c>
      <c r="I92" s="494" t="s">
        <v>176</v>
      </c>
    </row>
    <row r="93" spans="1:9" ht="15.6">
      <c r="A93" s="258" t="s">
        <v>11</v>
      </c>
      <c r="B93" s="268"/>
      <c r="C93" s="266"/>
      <c r="D93" s="602"/>
      <c r="E93" s="602"/>
      <c r="F93" s="604"/>
      <c r="G93" s="269"/>
      <c r="H93" s="269"/>
      <c r="I93" s="267"/>
    </row>
    <row r="94" spans="1:9" ht="16.2" thickBot="1">
      <c r="A94" s="258" t="s">
        <v>419</v>
      </c>
      <c r="B94" s="501" t="s">
        <v>11</v>
      </c>
      <c r="C94" s="500" t="s">
        <v>11</v>
      </c>
      <c r="D94" s="495" t="s">
        <v>11</v>
      </c>
      <c r="E94" s="502"/>
      <c r="F94" s="503"/>
      <c r="G94" s="271"/>
      <c r="H94" s="503"/>
      <c r="I94" s="260"/>
    </row>
    <row r="95" spans="1:9" ht="16.2" thickBot="1">
      <c r="A95" s="496"/>
      <c r="B95" s="497" t="s">
        <v>11</v>
      </c>
      <c r="C95" s="497" t="s">
        <v>11</v>
      </c>
      <c r="D95" s="498"/>
      <c r="E95" s="498"/>
      <c r="F95" s="498"/>
      <c r="G95" s="498"/>
      <c r="H95" s="498"/>
      <c r="I95" s="499"/>
    </row>
    <row r="96" spans="1:9" ht="15">
      <c r="A96" s="493" t="s">
        <v>182</v>
      </c>
      <c r="B96" s="293" t="s">
        <v>11</v>
      </c>
      <c r="C96" s="623" t="e">
        <f>I150</f>
        <v>#REF!</v>
      </c>
      <c r="D96" s="619"/>
      <c r="E96" s="269"/>
      <c r="F96" s="619"/>
      <c r="G96" s="269"/>
      <c r="H96" s="619"/>
      <c r="I96" s="267" t="s">
        <v>11</v>
      </c>
    </row>
    <row r="97" spans="1:9" ht="15">
      <c r="A97" s="493" t="s">
        <v>68</v>
      </c>
      <c r="B97" s="282" t="s">
        <v>11</v>
      </c>
      <c r="C97" s="623">
        <f>B133</f>
        <v>6.240000000000002</v>
      </c>
      <c r="D97" s="602"/>
      <c r="E97" s="614">
        <f>+C97</f>
        <v>6.240000000000002</v>
      </c>
      <c r="F97" s="602"/>
      <c r="G97" s="614">
        <f>+C97</f>
        <v>6.240000000000002</v>
      </c>
      <c r="H97" s="602"/>
      <c r="I97" s="285">
        <f>+C97</f>
        <v>6.240000000000002</v>
      </c>
    </row>
    <row r="98" spans="1:9" ht="15">
      <c r="A98" s="493" t="s">
        <v>60</v>
      </c>
      <c r="B98" s="282" t="s">
        <v>11</v>
      </c>
      <c r="C98" s="623">
        <f>B149</f>
        <v>1</v>
      </c>
      <c r="D98" s="602"/>
      <c r="E98" s="269"/>
      <c r="F98" s="602"/>
      <c r="G98" s="269"/>
      <c r="H98" s="602"/>
      <c r="I98" s="267"/>
    </row>
    <row r="99" spans="1:9" ht="15">
      <c r="A99" s="493" t="s">
        <v>69</v>
      </c>
      <c r="B99" s="282" t="s">
        <v>11</v>
      </c>
      <c r="C99" s="623">
        <f>B141</f>
        <v>-2922.2559999999999</v>
      </c>
      <c r="D99" s="620"/>
      <c r="E99" s="269"/>
      <c r="F99" s="602"/>
      <c r="G99" s="269"/>
      <c r="H99" s="602"/>
      <c r="I99" s="267"/>
    </row>
    <row r="100" spans="1:9" ht="15">
      <c r="A100" s="493" t="s">
        <v>421</v>
      </c>
      <c r="B100" s="286" t="s">
        <v>11</v>
      </c>
      <c r="C100" s="623">
        <f>I157+I158</f>
        <v>0</v>
      </c>
      <c r="D100" s="602"/>
      <c r="E100" s="269"/>
      <c r="F100" s="602"/>
      <c r="G100" s="269"/>
      <c r="H100" s="602"/>
      <c r="I100" s="267"/>
    </row>
    <row r="101" spans="1:9" ht="15">
      <c r="A101" s="493" t="s">
        <v>422</v>
      </c>
      <c r="B101" s="282" t="s">
        <v>11</v>
      </c>
      <c r="C101" s="623" t="e">
        <f>I146</f>
        <v>#REF!</v>
      </c>
      <c r="D101" s="602" t="s">
        <v>11</v>
      </c>
      <c r="E101" s="269"/>
      <c r="F101" s="602"/>
      <c r="G101" s="269"/>
      <c r="H101" s="602"/>
      <c r="I101" s="267"/>
    </row>
    <row r="102" spans="1:9" ht="15">
      <c r="A102" s="493" t="s">
        <v>37</v>
      </c>
      <c r="B102" s="282" t="s">
        <v>172</v>
      </c>
      <c r="C102" s="623">
        <f>B162</f>
        <v>172.51499999999999</v>
      </c>
      <c r="D102" s="602"/>
      <c r="E102" s="269"/>
      <c r="F102" s="602"/>
      <c r="G102" s="269"/>
      <c r="H102" s="602"/>
      <c r="I102" s="267"/>
    </row>
    <row r="103" spans="1:9" ht="15">
      <c r="A103" s="493" t="s">
        <v>99</v>
      </c>
      <c r="B103" s="282" t="s">
        <v>11</v>
      </c>
      <c r="C103" s="623">
        <f>PGL_Requirements!G7/1000</f>
        <v>0</v>
      </c>
      <c r="D103" s="620"/>
      <c r="E103" s="269"/>
      <c r="F103" s="602"/>
      <c r="G103" s="269"/>
      <c r="H103" s="602"/>
      <c r="I103" s="267"/>
    </row>
    <row r="104" spans="1:9" ht="15.6" thickBot="1">
      <c r="A104" s="292" t="s">
        <v>110</v>
      </c>
      <c r="B104" s="615" t="s">
        <v>11</v>
      </c>
      <c r="C104" s="623">
        <f>PGL_Supplies!B7/1000</f>
        <v>0</v>
      </c>
      <c r="D104" s="601"/>
      <c r="E104" s="269"/>
      <c r="F104" s="602"/>
      <c r="G104" s="269"/>
      <c r="H104" s="602"/>
      <c r="I104" s="267"/>
    </row>
    <row r="105" spans="1:9" ht="16.2" thickBot="1">
      <c r="A105" s="616" t="s">
        <v>423</v>
      </c>
      <c r="B105" s="617" t="s">
        <v>11</v>
      </c>
      <c r="C105" s="511" t="s">
        <v>11</v>
      </c>
      <c r="D105" s="621" t="s">
        <v>11</v>
      </c>
      <c r="E105" s="618" t="s">
        <v>11</v>
      </c>
      <c r="F105" s="621" t="s">
        <v>11</v>
      </c>
      <c r="G105" s="618" t="s">
        <v>11</v>
      </c>
      <c r="H105" s="621" t="s">
        <v>11</v>
      </c>
      <c r="I105" s="622"/>
    </row>
    <row r="106" spans="1:9" ht="16.2" thickBot="1">
      <c r="A106" s="504" t="s">
        <v>38</v>
      </c>
      <c r="B106" s="505">
        <f>-PGL_Supplies!U7/1000</f>
        <v>0</v>
      </c>
      <c r="C106" s="506">
        <f>-NSG_Supplies!AF7/1000</f>
        <v>0</v>
      </c>
      <c r="D106" s="507"/>
      <c r="E106" s="508"/>
      <c r="F106" s="507"/>
      <c r="G106" s="508"/>
      <c r="H106" s="509"/>
      <c r="I106" s="510"/>
    </row>
    <row r="107" spans="1:9" ht="15">
      <c r="A107" s="493" t="s">
        <v>424</v>
      </c>
      <c r="B107" s="282" t="e">
        <f>B94+B105+B106</f>
        <v>#VALUE!</v>
      </c>
      <c r="C107" s="295" t="e">
        <f>C94+C105+C106</f>
        <v>#VALUE!</v>
      </c>
      <c r="D107" s="266"/>
      <c r="E107" s="268"/>
      <c r="F107" s="266"/>
      <c r="G107" s="268"/>
      <c r="H107" s="269"/>
      <c r="I107" s="260"/>
    </row>
    <row r="108" spans="1:9" ht="15">
      <c r="A108" s="493" t="s">
        <v>425</v>
      </c>
      <c r="B108" s="282">
        <v>0</v>
      </c>
      <c r="C108" s="268"/>
      <c r="D108" s="266"/>
      <c r="E108" s="268"/>
      <c r="F108" s="266"/>
      <c r="G108" s="268"/>
      <c r="H108" s="269"/>
      <c r="I108" s="296"/>
    </row>
    <row r="109" spans="1:9" ht="15">
      <c r="A109" s="493" t="s">
        <v>426</v>
      </c>
      <c r="B109" s="282">
        <f>+B129</f>
        <v>0</v>
      </c>
      <c r="C109" s="268"/>
      <c r="D109" s="266"/>
      <c r="E109" s="268"/>
      <c r="F109" s="297" t="s">
        <v>11</v>
      </c>
      <c r="G109" s="306"/>
      <c r="H109" s="298" t="s">
        <v>11</v>
      </c>
      <c r="I109" s="260"/>
    </row>
    <row r="110" spans="1:9" ht="15.6">
      <c r="A110" s="512" t="s">
        <v>427</v>
      </c>
      <c r="B110" s="300" t="e">
        <f>B107+B108+B109</f>
        <v>#VALUE!</v>
      </c>
      <c r="C110" s="301" t="e">
        <f>C107</f>
        <v>#VALUE!</v>
      </c>
      <c r="D110" s="266"/>
      <c r="E110" s="268"/>
      <c r="F110" s="302"/>
      <c r="G110" s="268"/>
      <c r="H110" s="303" t="s">
        <v>11</v>
      </c>
      <c r="I110" s="304" t="s">
        <v>11</v>
      </c>
    </row>
    <row r="111" spans="1:9" ht="16.2" thickBot="1">
      <c r="A111" s="513" t="s">
        <v>428</v>
      </c>
      <c r="B111" s="306">
        <f>-NSG_Requirements!$L$7/1000</f>
        <v>0</v>
      </c>
      <c r="C111" s="306">
        <f>NSG_Requirements!$L$7/1000</f>
        <v>0</v>
      </c>
      <c r="D111" s="307">
        <f>B111</f>
        <v>0</v>
      </c>
      <c r="E111" s="306">
        <f>C111</f>
        <v>0</v>
      </c>
      <c r="F111" s="307">
        <f>B111</f>
        <v>0</v>
      </c>
      <c r="G111" s="306">
        <f>C111</f>
        <v>0</v>
      </c>
      <c r="H111" s="452">
        <f>B111</f>
        <v>0</v>
      </c>
      <c r="I111" s="308">
        <f>C111</f>
        <v>0</v>
      </c>
    </row>
    <row r="112" spans="1:9" ht="15">
      <c r="A112" s="493" t="s">
        <v>429</v>
      </c>
      <c r="B112" s="306"/>
      <c r="C112" s="306"/>
      <c r="D112" s="307"/>
      <c r="E112" s="306"/>
      <c r="F112" s="307"/>
      <c r="G112" s="306"/>
      <c r="H112" s="514"/>
      <c r="I112" s="515"/>
    </row>
    <row r="113" spans="1:9" ht="15.6">
      <c r="A113" s="425" t="s">
        <v>430</v>
      </c>
      <c r="B113" s="310">
        <f>PGL_Requirements!V7/1000</f>
        <v>0</v>
      </c>
      <c r="C113" s="310">
        <f>NSG_Requirements!Q7/1000</f>
        <v>0</v>
      </c>
      <c r="D113" s="310">
        <f>B113</f>
        <v>0</v>
      </c>
      <c r="E113" s="310">
        <f>+C113</f>
        <v>0</v>
      </c>
      <c r="F113" s="310">
        <f>B113</f>
        <v>0</v>
      </c>
      <c r="G113" s="310">
        <f>+C113</f>
        <v>0</v>
      </c>
      <c r="H113" s="311">
        <f>B113</f>
        <v>0</v>
      </c>
      <c r="I113" s="312">
        <f>+C113</f>
        <v>0</v>
      </c>
    </row>
    <row r="114" spans="1:9" ht="15.6">
      <c r="A114" s="332" t="s">
        <v>431</v>
      </c>
      <c r="B114" s="310">
        <f>PGL_Requirements!AC7/1000</f>
        <v>0</v>
      </c>
      <c r="C114" s="310">
        <f>NSG_Requirements!AA7/1000</f>
        <v>0</v>
      </c>
      <c r="D114" s="310">
        <f>PGL_Requirements!AC7/1000</f>
        <v>0</v>
      </c>
      <c r="E114" s="310">
        <f>NSG_Requirements!AA7/1000</f>
        <v>0</v>
      </c>
      <c r="F114" s="310">
        <f>PGL_Requirements!AC7/1000</f>
        <v>0</v>
      </c>
      <c r="G114" s="310">
        <f>NSG_Requirements!AA7/1000</f>
        <v>0</v>
      </c>
      <c r="H114" s="311">
        <f>+B114</f>
        <v>0</v>
      </c>
      <c r="I114" s="312">
        <f>+C114</f>
        <v>0</v>
      </c>
    </row>
    <row r="115" spans="1:9" ht="15">
      <c r="A115" s="425" t="s">
        <v>432</v>
      </c>
      <c r="B115" s="315">
        <v>0</v>
      </c>
      <c r="C115" s="315">
        <v>0</v>
      </c>
      <c r="D115" s="315">
        <v>0</v>
      </c>
      <c r="E115" s="315">
        <v>0</v>
      </c>
      <c r="F115" s="315">
        <v>0</v>
      </c>
      <c r="G115" s="315">
        <f>C115</f>
        <v>0</v>
      </c>
      <c r="H115" s="320">
        <f>B115</f>
        <v>0</v>
      </c>
      <c r="I115" s="321">
        <f>C115</f>
        <v>0</v>
      </c>
    </row>
    <row r="116" spans="1:9" ht="15">
      <c r="A116" s="425" t="s">
        <v>433</v>
      </c>
      <c r="B116" s="419">
        <f>-PGL_Supplies!Z7/1000</f>
        <v>-40.200000000000003</v>
      </c>
      <c r="C116" s="419">
        <f>-NSG_Supplies!W7/1000</f>
        <v>0</v>
      </c>
      <c r="D116" s="315">
        <f>-PGL_Supplies!Z7/1000</f>
        <v>-40.200000000000003</v>
      </c>
      <c r="E116" s="315">
        <f>-NSG_Supplies!W7/1000</f>
        <v>0</v>
      </c>
      <c r="F116" s="315">
        <f>-PGL_Supplies!Z7/1000</f>
        <v>-40.200000000000003</v>
      </c>
      <c r="G116" s="315">
        <f>-NSG_Supplies!W7/1000</f>
        <v>0</v>
      </c>
      <c r="H116" s="320">
        <f>-PGL_Supplies!Z7/1000</f>
        <v>-40.200000000000003</v>
      </c>
      <c r="I116" s="321">
        <f>-NSG_Supplies!W7/1000</f>
        <v>0</v>
      </c>
    </row>
    <row r="117" spans="1:9" ht="15">
      <c r="A117" s="425" t="s">
        <v>434</v>
      </c>
      <c r="B117" s="315">
        <f>-PGL_Supplies!AA7/1000</f>
        <v>0</v>
      </c>
      <c r="C117" s="315">
        <f>-NSG_Supplies!X7/1000</f>
        <v>0</v>
      </c>
      <c r="D117" s="315">
        <f>-PGL_Supplies!AA7/1000</f>
        <v>0</v>
      </c>
      <c r="E117" s="315">
        <f>-NSG_Supplies!X7/1000</f>
        <v>0</v>
      </c>
      <c r="F117" s="315">
        <f>-PGL_Supplies!AA7/1000</f>
        <v>0</v>
      </c>
      <c r="G117" s="315">
        <f>-NSG_Supplies!X7/1000</f>
        <v>0</v>
      </c>
      <c r="H117" s="320">
        <f>-PGL_Supplies!AA7/1000</f>
        <v>0</v>
      </c>
      <c r="I117" s="321">
        <f>-NSG_Supplies!X7/1000</f>
        <v>0</v>
      </c>
    </row>
    <row r="118" spans="1:9" ht="15.6">
      <c r="A118" s="425" t="s">
        <v>436</v>
      </c>
      <c r="B118" s="420">
        <f>(PGL_Requirements!$Y$7+PGL_Requirements!$Z$7+PGL_Requirements!$AA$7)/1000+(NSG_Requirements!$V$7+NSG_Requirements!$W$7+NSG_Requirements!$X$7)/1000</f>
        <v>0</v>
      </c>
      <c r="C118" s="420">
        <f>-(PGL_Requirements!$Y$7+PGL_Requirements!$Z$7+PGL_Requirements!$AA$7)/1000+(NSG_Requirements!$V$7+NSG_Requirements!$W$7+NSG_Requirements!$X$7)/1000</f>
        <v>0</v>
      </c>
      <c r="D118" s="310">
        <f>+B118</f>
        <v>0</v>
      </c>
      <c r="E118" s="315">
        <f>+C118</f>
        <v>0</v>
      </c>
      <c r="F118" s="310">
        <f>+B118</f>
        <v>0</v>
      </c>
      <c r="G118" s="315">
        <f>+E118</f>
        <v>0</v>
      </c>
      <c r="H118" s="311">
        <f>+B118</f>
        <v>0</v>
      </c>
      <c r="I118" s="312">
        <f>+C118</f>
        <v>0</v>
      </c>
    </row>
    <row r="119" spans="1:9" ht="15">
      <c r="A119" s="425" t="s">
        <v>437</v>
      </c>
      <c r="B119" s="315">
        <f>-PGL_Supplies!AN7/1000</f>
        <v>0</v>
      </c>
      <c r="C119" s="315">
        <f>-NSG_Supplies!AD7/1000</f>
        <v>0</v>
      </c>
      <c r="D119" s="315">
        <f>B119</f>
        <v>0</v>
      </c>
      <c r="E119" s="315">
        <f>C119</f>
        <v>0</v>
      </c>
      <c r="F119" s="315">
        <f>B119</f>
        <v>0</v>
      </c>
      <c r="G119" s="315">
        <f>C119</f>
        <v>0</v>
      </c>
      <c r="H119" s="320">
        <f>B119</f>
        <v>0</v>
      </c>
      <c r="I119" s="321">
        <f>C119</f>
        <v>0</v>
      </c>
    </row>
    <row r="120" spans="1:9" ht="15">
      <c r="A120" s="425" t="s">
        <v>197</v>
      </c>
      <c r="B120" s="315">
        <f>-PGL_Supplies!AJ7/1000</f>
        <v>0</v>
      </c>
      <c r="C120" s="315">
        <f>-NSG_Supplies!AE7/1000</f>
        <v>0</v>
      </c>
      <c r="D120" s="315">
        <f>B120</f>
        <v>0</v>
      </c>
      <c r="E120" s="315">
        <f>C120</f>
        <v>0</v>
      </c>
      <c r="F120" s="315">
        <f>B120</f>
        <v>0</v>
      </c>
      <c r="G120" s="315">
        <f>C120</f>
        <v>0</v>
      </c>
      <c r="H120" s="320">
        <f>B120</f>
        <v>0</v>
      </c>
      <c r="I120" s="321">
        <f>C120</f>
        <v>0</v>
      </c>
    </row>
    <row r="121" spans="1:9" ht="15.6">
      <c r="A121" s="425" t="s">
        <v>435</v>
      </c>
      <c r="B121" s="310">
        <f>PGL_Requirements!AD7/1000</f>
        <v>0</v>
      </c>
      <c r="C121" s="310" t="s">
        <v>11</v>
      </c>
      <c r="D121" s="310">
        <f>+B121</f>
        <v>0</v>
      </c>
      <c r="E121" s="313"/>
      <c r="F121" s="310">
        <f>+D121</f>
        <v>0</v>
      </c>
      <c r="G121" s="313"/>
      <c r="H121" s="311">
        <f>+B121</f>
        <v>0</v>
      </c>
      <c r="I121" s="312" t="str">
        <f>+C121</f>
        <v xml:space="preserve"> </v>
      </c>
    </row>
    <row r="122" spans="1:9" ht="15.6">
      <c r="A122" s="425" t="s">
        <v>438</v>
      </c>
      <c r="B122" s="310">
        <f>PGL_Requirements!Y7/1000</f>
        <v>0</v>
      </c>
      <c r="C122" s="310">
        <f>NSG_Requirements!U7/1000</f>
        <v>0</v>
      </c>
      <c r="D122" s="313"/>
      <c r="E122" s="313"/>
      <c r="F122" s="313"/>
      <c r="G122" s="313"/>
      <c r="H122" s="317"/>
      <c r="I122" s="318"/>
    </row>
    <row r="123" spans="1:9" ht="15">
      <c r="A123" s="425" t="s">
        <v>439</v>
      </c>
      <c r="B123" s="315">
        <f>-PGL_Supplies!X7/1000</f>
        <v>0</v>
      </c>
      <c r="C123" s="315">
        <f>-NSG_Supplies!S7/1000</f>
        <v>-20.591000000000001</v>
      </c>
      <c r="D123" s="313"/>
      <c r="E123" s="313"/>
      <c r="F123" s="313"/>
      <c r="G123" s="313"/>
      <c r="H123" s="317"/>
      <c r="I123" s="318"/>
    </row>
    <row r="124" spans="1:9" ht="16.2" thickBot="1">
      <c r="A124" s="326" t="s">
        <v>11</v>
      </c>
      <c r="B124" s="487" t="s">
        <v>11</v>
      </c>
      <c r="C124" s="516" t="s">
        <v>68</v>
      </c>
      <c r="D124" s="486"/>
      <c r="E124" s="328"/>
      <c r="F124" s="329" t="s">
        <v>202</v>
      </c>
      <c r="G124" s="328"/>
      <c r="H124" s="330"/>
      <c r="I124" s="331"/>
    </row>
    <row r="125" spans="1:9" ht="15">
      <c r="A125" s="425" t="s">
        <v>440</v>
      </c>
      <c r="B125" s="315">
        <f>PGL_Requirements!U7/1000</f>
        <v>40.200000000000003</v>
      </c>
      <c r="F125" s="542" t="s">
        <v>11</v>
      </c>
      <c r="G125" s="543"/>
      <c r="H125" s="610"/>
      <c r="I125" s="336"/>
    </row>
    <row r="126" spans="1:9" ht="15">
      <c r="A126" s="425" t="s">
        <v>397</v>
      </c>
      <c r="B126" s="324">
        <f>PGL_Supplies!R7/1000</f>
        <v>0</v>
      </c>
      <c r="C126" s="315" t="s">
        <v>11</v>
      </c>
      <c r="D126" s="313"/>
      <c r="E126" s="333"/>
      <c r="F126" s="425" t="s">
        <v>460</v>
      </c>
      <c r="G126" s="544"/>
      <c r="H126" s="549"/>
      <c r="I126" s="336"/>
    </row>
    <row r="127" spans="1:9" ht="15">
      <c r="A127" s="425" t="s">
        <v>490</v>
      </c>
      <c r="B127" s="315">
        <f>PGL_Requirements!O7/1000</f>
        <v>6.24</v>
      </c>
      <c r="C127" s="315" t="s">
        <v>11</v>
      </c>
      <c r="D127" s="313"/>
      <c r="E127" s="333"/>
      <c r="F127" s="425" t="s">
        <v>461</v>
      </c>
      <c r="G127" s="544"/>
      <c r="H127" s="317"/>
      <c r="I127" s="336"/>
    </row>
    <row r="128" spans="1:9" ht="15">
      <c r="A128" s="425" t="s">
        <v>430</v>
      </c>
      <c r="B128" s="315">
        <f>PGL_Requirements!I7/1000</f>
        <v>0</v>
      </c>
      <c r="C128" s="315" t="s">
        <v>11</v>
      </c>
      <c r="D128" s="313"/>
      <c r="E128" s="333"/>
      <c r="F128" s="425" t="s">
        <v>462</v>
      </c>
      <c r="G128" s="544"/>
      <c r="H128" s="317"/>
      <c r="I128" s="336"/>
    </row>
    <row r="129" spans="1:9" ht="15">
      <c r="A129" s="425" t="s">
        <v>441</v>
      </c>
      <c r="B129" s="315">
        <f>PGL_Requirements!C7/1000</f>
        <v>0</v>
      </c>
      <c r="C129" s="313"/>
      <c r="D129" s="313"/>
      <c r="E129" s="333"/>
      <c r="F129" s="425" t="s">
        <v>463</v>
      </c>
      <c r="G129" s="544"/>
      <c r="H129" s="317"/>
      <c r="I129" s="336"/>
    </row>
    <row r="130" spans="1:9" ht="15">
      <c r="A130" s="425" t="s">
        <v>442</v>
      </c>
      <c r="B130" s="315">
        <f>PGL_Requirements!AA7/1000</f>
        <v>0</v>
      </c>
      <c r="C130" s="594"/>
      <c r="D130" s="313"/>
      <c r="E130" s="333"/>
      <c r="F130" s="425" t="s">
        <v>464</v>
      </c>
      <c r="G130" s="544"/>
      <c r="H130" s="317"/>
      <c r="I130" s="336"/>
    </row>
    <row r="131" spans="1:9" ht="15">
      <c r="A131" s="417" t="s">
        <v>109</v>
      </c>
      <c r="B131" s="324">
        <f>PGL_Supplies!Z7/1000</f>
        <v>40.200000000000003</v>
      </c>
      <c r="C131" s="313"/>
      <c r="D131" s="313"/>
      <c r="E131" s="333"/>
      <c r="F131" s="370" t="s">
        <v>465</v>
      </c>
      <c r="G131" s="544"/>
      <c r="H131" s="317"/>
      <c r="I131" s="336"/>
    </row>
    <row r="132" spans="1:9" ht="15.6" thickBot="1">
      <c r="A132" s="425" t="s">
        <v>393</v>
      </c>
      <c r="B132" s="324">
        <f>PGL_Supplies!U7/1000</f>
        <v>0</v>
      </c>
      <c r="C132" s="349"/>
      <c r="D132" s="349"/>
      <c r="E132" s="554"/>
      <c r="F132" s="425" t="s">
        <v>466</v>
      </c>
      <c r="G132" s="544"/>
      <c r="H132" s="317"/>
      <c r="I132" s="336"/>
    </row>
    <row r="133" spans="1:9" ht="16.2" thickBot="1">
      <c r="A133" s="559" t="s">
        <v>443</v>
      </c>
      <c r="B133" s="566">
        <f>B126+B127+B130+B131+B132-B125-B128-B129</f>
        <v>6.240000000000002</v>
      </c>
      <c r="C133" s="531"/>
      <c r="D133" s="531"/>
      <c r="E133" s="521"/>
      <c r="F133" s="425" t="s">
        <v>467</v>
      </c>
      <c r="G133" s="544"/>
      <c r="H133" s="317"/>
      <c r="I133" s="336"/>
    </row>
    <row r="134" spans="1:9" ht="16.2" thickBot="1">
      <c r="A134" s="555" t="s">
        <v>11</v>
      </c>
      <c r="B134" s="556" t="s">
        <v>11</v>
      </c>
      <c r="C134" s="557" t="s">
        <v>69</v>
      </c>
      <c r="D134" s="558"/>
      <c r="E134" s="558" t="s">
        <v>11</v>
      </c>
      <c r="F134" s="546" t="s">
        <v>468</v>
      </c>
      <c r="G134" s="545"/>
      <c r="H134" s="317"/>
      <c r="I134" s="336"/>
    </row>
    <row r="135" spans="1:9" ht="15">
      <c r="A135" s="425" t="s">
        <v>430</v>
      </c>
      <c r="B135" s="135">
        <f>PGL_Requirements!J7</f>
        <v>3100</v>
      </c>
      <c r="C135" s="8"/>
      <c r="D135" s="8"/>
      <c r="E135" s="8"/>
      <c r="F135" s="547" t="s">
        <v>469</v>
      </c>
      <c r="G135" s="545"/>
      <c r="H135" s="350"/>
      <c r="I135" s="336"/>
    </row>
    <row r="136" spans="1:9" ht="15">
      <c r="A136" s="425" t="s">
        <v>444</v>
      </c>
      <c r="B136" s="324">
        <f>NSG_Supplies!O7/1011</f>
        <v>0</v>
      </c>
      <c r="C136" s="313"/>
      <c r="D136" s="313"/>
      <c r="E136" s="313"/>
      <c r="F136" s="425" t="s">
        <v>470</v>
      </c>
      <c r="G136" s="544"/>
      <c r="H136" s="352"/>
      <c r="I136" s="336"/>
    </row>
    <row r="137" spans="1:9" ht="15">
      <c r="A137" s="425" t="s">
        <v>445</v>
      </c>
      <c r="B137" s="324">
        <f>PGL_Supplies!AA7/1000</f>
        <v>0</v>
      </c>
      <c r="C137" s="594"/>
      <c r="D137" s="313"/>
      <c r="E137" s="313"/>
      <c r="F137" s="425" t="s">
        <v>471</v>
      </c>
      <c r="G137" s="544"/>
      <c r="H137" s="317"/>
      <c r="I137" s="336"/>
    </row>
    <row r="138" spans="1:9" ht="15">
      <c r="A138" s="425" t="s">
        <v>446</v>
      </c>
      <c r="B138" s="135">
        <f>PGL_Requirements!D7</f>
        <v>0</v>
      </c>
      <c r="C138" s="313"/>
      <c r="D138" s="313"/>
      <c r="E138" s="313"/>
      <c r="F138" s="425" t="s">
        <v>403</v>
      </c>
      <c r="G138" s="544"/>
      <c r="H138" s="352"/>
      <c r="I138" s="336"/>
    </row>
    <row r="139" spans="1:9" ht="15">
      <c r="A139" s="425" t="s">
        <v>447</v>
      </c>
      <c r="B139" s="324">
        <f>PGL_Supplies!D7/1000</f>
        <v>0</v>
      </c>
      <c r="C139" s="313"/>
      <c r="D139" s="313"/>
      <c r="E139" s="313"/>
      <c r="F139" s="370" t="s">
        <v>472</v>
      </c>
      <c r="G139" s="548"/>
      <c r="H139" s="539"/>
      <c r="I139" s="336"/>
    </row>
    <row r="140" spans="1:9" ht="15.6" thickBot="1">
      <c r="A140" s="425" t="s">
        <v>393</v>
      </c>
      <c r="B140" s="324">
        <f>PGL_Supplies!V7/1000</f>
        <v>177.744</v>
      </c>
      <c r="C140" s="349"/>
      <c r="D140" s="349"/>
      <c r="E140" s="349"/>
      <c r="F140" s="370" t="s">
        <v>473</v>
      </c>
      <c r="G140" s="548"/>
      <c r="H140" s="550"/>
      <c r="I140" s="336"/>
    </row>
    <row r="141" spans="1:9" ht="16.2" thickBot="1">
      <c r="A141" s="559" t="s">
        <v>443</v>
      </c>
      <c r="B141" s="561">
        <f>-B135+B136+B137-B138+B139+B140</f>
        <v>-2922.2559999999999</v>
      </c>
      <c r="C141" s="562"/>
      <c r="D141" s="531"/>
      <c r="E141" s="532"/>
      <c r="F141" s="551" t="s">
        <v>224</v>
      </c>
      <c r="G141" s="552"/>
      <c r="H141" s="553"/>
      <c r="I141" s="336"/>
    </row>
    <row r="142" spans="1:9" ht="16.2" thickBot="1">
      <c r="A142" s="555" t="s">
        <v>11</v>
      </c>
      <c r="B142" s="560" t="s">
        <v>11</v>
      </c>
      <c r="C142" s="557" t="s">
        <v>60</v>
      </c>
      <c r="D142" s="558"/>
      <c r="E142" s="558"/>
      <c r="F142" s="528" t="s">
        <v>11</v>
      </c>
      <c r="G142" s="529" t="s">
        <v>474</v>
      </c>
      <c r="H142" s="529" t="s">
        <v>11</v>
      </c>
      <c r="I142" s="360"/>
    </row>
    <row r="143" spans="1:9" ht="15">
      <c r="A143" s="425" t="s">
        <v>72</v>
      </c>
      <c r="B143" s="324">
        <f>PGL_Requirements!P7/1000</f>
        <v>190</v>
      </c>
      <c r="C143" s="313"/>
      <c r="D143" s="313"/>
      <c r="E143" s="313"/>
      <c r="F143" s="568" t="s">
        <v>426</v>
      </c>
      <c r="G143" s="541"/>
      <c r="H143" s="563" t="s">
        <v>11</v>
      </c>
      <c r="I143" s="366">
        <f>NSG_Supplies!AC7/1000</f>
        <v>0</v>
      </c>
    </row>
    <row r="144" spans="1:9" ht="15">
      <c r="A144" s="425" t="s">
        <v>448</v>
      </c>
      <c r="B144" s="324">
        <f>PGL_Supplies!M7/1000</f>
        <v>0</v>
      </c>
      <c r="C144" s="313"/>
      <c r="D144" s="313"/>
      <c r="E144" s="313"/>
      <c r="F144" s="361" t="s">
        <v>475</v>
      </c>
      <c r="G144" s="313"/>
      <c r="H144" s="388" t="s">
        <v>11</v>
      </c>
      <c r="I144" s="366">
        <f>NSG_Supplies!O7/1000</f>
        <v>0</v>
      </c>
    </row>
    <row r="145" spans="1:9" ht="15.6" thickBot="1">
      <c r="A145" s="425" t="s">
        <v>449</v>
      </c>
      <c r="B145" s="324">
        <f>PGL_Requirements!B7/1000</f>
        <v>0</v>
      </c>
      <c r="C145" s="313"/>
      <c r="D145" s="313"/>
      <c r="E145" s="313"/>
      <c r="F145" s="537" t="s">
        <v>476</v>
      </c>
      <c r="G145" s="355"/>
      <c r="H145" s="526" t="s">
        <v>11</v>
      </c>
      <c r="I145" s="407"/>
    </row>
    <row r="146" spans="1:9" ht="15.6" thickBot="1">
      <c r="A146" s="425" t="s">
        <v>450</v>
      </c>
      <c r="B146" s="324">
        <f>PGL_Supplies!H7/1000</f>
        <v>1</v>
      </c>
      <c r="C146" s="313"/>
      <c r="D146" s="313"/>
      <c r="E146" s="313"/>
      <c r="F146" s="565" t="s">
        <v>452</v>
      </c>
      <c r="G146" s="531"/>
      <c r="H146" s="566" t="s">
        <v>11</v>
      </c>
      <c r="I146" s="567" t="e">
        <f>PGL_Requirements!#REF!/1000</f>
        <v>#REF!</v>
      </c>
    </row>
    <row r="147" spans="1:9" ht="16.2" thickBot="1">
      <c r="A147" s="370" t="s">
        <v>427</v>
      </c>
      <c r="B147" s="324" t="s">
        <v>11</v>
      </c>
      <c r="C147" s="313"/>
      <c r="D147" s="313"/>
      <c r="E147" s="313"/>
      <c r="F147" s="358" t="s">
        <v>477</v>
      </c>
      <c r="G147" s="359"/>
      <c r="H147" s="359"/>
      <c r="I147" s="360"/>
    </row>
    <row r="148" spans="1:9" ht="15.6" thickBot="1">
      <c r="A148" s="425" t="s">
        <v>451</v>
      </c>
      <c r="B148" s="324">
        <f>PGL_Requirements!Q7/1000</f>
        <v>2.85</v>
      </c>
      <c r="C148" s="349"/>
      <c r="D148" s="349"/>
      <c r="E148" s="349"/>
      <c r="F148" s="542" t="s">
        <v>478</v>
      </c>
      <c r="G148" s="543"/>
      <c r="H148" s="569" t="s">
        <v>11</v>
      </c>
      <c r="I148" s="570">
        <f>+NSG_Supplies!Z7/1000</f>
        <v>0</v>
      </c>
    </row>
    <row r="149" spans="1:9" ht="16.2" thickBot="1">
      <c r="A149" s="518" t="s">
        <v>452</v>
      </c>
      <c r="B149" s="519">
        <f>B144+B146</f>
        <v>1</v>
      </c>
      <c r="C149" s="520"/>
      <c r="D149" s="520"/>
      <c r="E149" s="521"/>
      <c r="F149" s="425" t="s">
        <v>11</v>
      </c>
      <c r="G149" s="544"/>
      <c r="H149" s="571" t="s">
        <v>11</v>
      </c>
      <c r="I149" s="572">
        <f>NSG_Supplies!AA7/1000</f>
        <v>0</v>
      </c>
    </row>
    <row r="150" spans="1:9" ht="15.6" thickBot="1">
      <c r="A150" s="425" t="s">
        <v>218</v>
      </c>
      <c r="B150" s="522">
        <f>PGL_Deliveries!AE5</f>
        <v>0</v>
      </c>
      <c r="C150" s="523"/>
      <c r="D150" s="523"/>
      <c r="E150" s="524"/>
      <c r="F150" s="565" t="s">
        <v>452</v>
      </c>
      <c r="G150" s="531"/>
      <c r="H150" s="566" t="s">
        <v>11</v>
      </c>
      <c r="I150" s="567" t="e">
        <f>PGL_Requirements!#REF!/1000</f>
        <v>#REF!</v>
      </c>
    </row>
    <row r="151" spans="1:9" ht="16.2" thickBot="1">
      <c r="A151" s="425" t="s">
        <v>216</v>
      </c>
      <c r="B151" s="522">
        <f>PGL_Deliveries!AG5</f>
        <v>0</v>
      </c>
      <c r="C151" s="377"/>
      <c r="D151" s="377"/>
      <c r="E151" s="377"/>
      <c r="F151" s="358" t="s">
        <v>421</v>
      </c>
      <c r="G151" s="359"/>
      <c r="H151" s="359"/>
      <c r="I151" s="360"/>
    </row>
    <row r="152" spans="1:9" ht="16.2" thickBot="1">
      <c r="A152" s="346" t="s">
        <v>11</v>
      </c>
      <c r="B152" s="327"/>
      <c r="C152" s="517" t="s">
        <v>37</v>
      </c>
      <c r="D152" s="347"/>
      <c r="E152" s="483" t="s">
        <v>11</v>
      </c>
      <c r="F152" s="542" t="s">
        <v>479</v>
      </c>
      <c r="G152" s="543"/>
      <c r="H152" s="574"/>
      <c r="I152" s="388">
        <f>PGL_Requirements!T7/1000</f>
        <v>0</v>
      </c>
    </row>
    <row r="153" spans="1:9" ht="15">
      <c r="A153" s="425" t="s">
        <v>453</v>
      </c>
      <c r="B153" s="388">
        <f>PGL_Requirements!N7/1000</f>
        <v>0</v>
      </c>
      <c r="C153" s="313"/>
      <c r="D153" s="313"/>
      <c r="E153" s="380"/>
      <c r="F153" s="538" t="s">
        <v>480</v>
      </c>
      <c r="G153" s="545"/>
      <c r="H153" s="540"/>
      <c r="I153" s="388">
        <f>PGL_Requirements!T7/1000</f>
        <v>0</v>
      </c>
    </row>
    <row r="154" spans="1:9" ht="15">
      <c r="A154" s="425" t="s">
        <v>454</v>
      </c>
      <c r="B154" s="324">
        <f>PGL_Supplies!AE7/1000</f>
        <v>0</v>
      </c>
      <c r="C154" s="381" t="s">
        <v>11</v>
      </c>
      <c r="D154" s="313"/>
      <c r="E154" s="382"/>
      <c r="F154" s="537" t="s">
        <v>481</v>
      </c>
      <c r="G154" s="544"/>
      <c r="H154" s="540"/>
      <c r="I154" s="324">
        <f>PGL_Supplies!AL7/1000</f>
        <v>0</v>
      </c>
    </row>
    <row r="155" spans="1:9" ht="15">
      <c r="A155" s="425" t="s">
        <v>455</v>
      </c>
      <c r="B155" s="388">
        <f>PGL_Requirements!F7/1000</f>
        <v>0</v>
      </c>
      <c r="C155" s="381" t="s">
        <v>11</v>
      </c>
      <c r="D155" s="313"/>
      <c r="E155" s="382"/>
      <c r="F155" s="425" t="s">
        <v>109</v>
      </c>
      <c r="G155" s="573"/>
      <c r="H155" s="540"/>
      <c r="I155" s="324">
        <f>PGL_Supplies!AL8/1000</f>
        <v>0</v>
      </c>
    </row>
    <row r="156" spans="1:9" ht="15.6" thickBot="1">
      <c r="A156" s="425" t="s">
        <v>456</v>
      </c>
      <c r="B156" s="324">
        <f>PGL_Supplies!G7/1000</f>
        <v>0</v>
      </c>
      <c r="C156" s="389" t="s">
        <v>11</v>
      </c>
      <c r="D156" s="313"/>
      <c r="E156" s="382"/>
      <c r="F156" s="370" t="s">
        <v>393</v>
      </c>
      <c r="G156" s="573"/>
      <c r="H156" s="550"/>
      <c r="I156" s="324">
        <f>PGL_Supplies!AL9/1000</f>
        <v>0</v>
      </c>
    </row>
    <row r="157" spans="1:9" ht="15.6">
      <c r="A157" s="425" t="s">
        <v>457</v>
      </c>
      <c r="B157" s="388">
        <f>PGL_Requirements!T7/1000</f>
        <v>0</v>
      </c>
      <c r="C157" s="381" t="s">
        <v>11</v>
      </c>
      <c r="D157" s="313"/>
      <c r="E157" s="382"/>
      <c r="F157" s="575" t="s">
        <v>482</v>
      </c>
      <c r="G157" s="576"/>
      <c r="H157" s="574"/>
      <c r="I157" s="577">
        <v>0</v>
      </c>
    </row>
    <row r="158" spans="1:9" ht="15.6" thickBot="1">
      <c r="A158" s="425" t="s">
        <v>458</v>
      </c>
      <c r="B158" s="324">
        <f>PGL_Supplies!P7/1000</f>
        <v>0</v>
      </c>
      <c r="C158" s="389" t="s">
        <v>11</v>
      </c>
      <c r="D158" s="313"/>
      <c r="E158" s="491"/>
      <c r="F158" s="578" t="s">
        <v>483</v>
      </c>
      <c r="G158" s="392"/>
      <c r="H158" s="579"/>
      <c r="I158" s="580">
        <v>0</v>
      </c>
    </row>
    <row r="159" spans="1:9" ht="16.2" thickBot="1">
      <c r="A159" s="425" t="s">
        <v>109</v>
      </c>
      <c r="B159" s="324">
        <f>PGL_Supplies!AD7/1000</f>
        <v>0</v>
      </c>
      <c r="C159" s="389" t="s">
        <v>11</v>
      </c>
      <c r="D159" s="313"/>
      <c r="E159" s="382"/>
      <c r="F159" s="528" t="s">
        <v>251</v>
      </c>
      <c r="G159" s="529"/>
      <c r="H159" s="530"/>
      <c r="I159" s="360"/>
    </row>
    <row r="160" spans="1:9" ht="15.6" thickBot="1">
      <c r="A160" s="425" t="s">
        <v>393</v>
      </c>
      <c r="B160" s="611">
        <f>PGL_Supplies!Y7/1000</f>
        <v>172.51499999999999</v>
      </c>
      <c r="C160" s="527" t="s">
        <v>11</v>
      </c>
      <c r="D160" s="349"/>
      <c r="E160" s="525"/>
      <c r="F160" s="581" t="s">
        <v>484</v>
      </c>
      <c r="G160" s="541" t="s">
        <v>11</v>
      </c>
      <c r="H160" s="523"/>
      <c r="I160" s="586"/>
    </row>
    <row r="161" spans="1:9" ht="16.2" thickBot="1">
      <c r="A161" s="595" t="s">
        <v>459</v>
      </c>
      <c r="B161" s="613"/>
      <c r="C161" s="533" t="s">
        <v>11</v>
      </c>
      <c r="D161" s="534"/>
      <c r="E161" s="535"/>
      <c r="F161" s="564" t="s">
        <v>485</v>
      </c>
      <c r="G161" s="349"/>
      <c r="H161" s="584"/>
      <c r="I161" s="585" t="s">
        <v>11</v>
      </c>
    </row>
    <row r="162" spans="1:9" ht="16.2" thickBot="1">
      <c r="A162" s="399" t="s">
        <v>452</v>
      </c>
      <c r="B162" s="612">
        <f>B154+B156+B158+B159+B160-B153-B155-B157-B161</f>
        <v>172.51499999999999</v>
      </c>
      <c r="C162" s="400"/>
      <c r="D162" s="401"/>
      <c r="E162" s="536"/>
      <c r="F162" s="582" t="s">
        <v>255</v>
      </c>
      <c r="G162" s="531"/>
      <c r="H162" s="520"/>
      <c r="I162" s="583"/>
    </row>
    <row r="163" spans="1:9" ht="12" thickBot="1">
      <c r="A163" s="596"/>
      <c r="B163" s="597" t="s">
        <v>486</v>
      </c>
      <c r="C163" s="597"/>
      <c r="D163" s="597" t="s">
        <v>487</v>
      </c>
      <c r="E163" s="597"/>
      <c r="F163" s="597"/>
      <c r="G163" s="597"/>
      <c r="H163" s="598" t="s">
        <v>258</v>
      </c>
      <c r="I163" s="599"/>
    </row>
    <row r="164" spans="1:9" ht="12" thickTop="1"/>
    <row r="167" spans="1:9">
      <c r="B167" s="8"/>
    </row>
    <row r="168" spans="1:9">
      <c r="B168" s="8"/>
      <c r="C168" s="8"/>
      <c r="D168" s="8"/>
      <c r="E168" s="8"/>
      <c r="F168" s="8"/>
      <c r="G168" s="8"/>
    </row>
    <row r="169" spans="1:9">
      <c r="B169" s="8"/>
      <c r="C169" s="8"/>
      <c r="D169" s="8"/>
      <c r="E169" s="8"/>
      <c r="F169" s="8"/>
      <c r="G169" s="8"/>
    </row>
    <row r="170" spans="1:9">
      <c r="B170" s="8"/>
      <c r="C170" s="8"/>
      <c r="D170" s="8"/>
      <c r="E170" s="8"/>
      <c r="F170" s="8"/>
      <c r="G170" s="8"/>
    </row>
    <row r="171" spans="1:9">
      <c r="B171" s="8"/>
      <c r="C171" s="8"/>
      <c r="D171" s="8"/>
      <c r="E171" s="8"/>
      <c r="F171" s="8"/>
      <c r="G171" s="8"/>
    </row>
    <row r="172" spans="1:9">
      <c r="B172" s="8"/>
      <c r="C172" s="8"/>
      <c r="D172" s="8"/>
      <c r="E172" s="8"/>
      <c r="F172" s="8"/>
      <c r="G172" s="8"/>
    </row>
    <row r="173" spans="1:9">
      <c r="B173" s="8"/>
      <c r="C173" s="8"/>
      <c r="D173" s="8"/>
      <c r="E173" s="8"/>
      <c r="F173" s="8"/>
      <c r="G173" s="8"/>
    </row>
    <row r="174" spans="1:9">
      <c r="B174" s="8"/>
      <c r="C174" s="8"/>
      <c r="D174" s="8"/>
      <c r="E174" s="8"/>
      <c r="F174" s="8"/>
      <c r="G174" s="8"/>
    </row>
    <row r="175" spans="1:9">
      <c r="B175" s="8"/>
      <c r="C175" s="8"/>
      <c r="D175" s="8"/>
      <c r="E175" s="8"/>
      <c r="F175" s="8"/>
      <c r="G175" s="8"/>
    </row>
    <row r="176" spans="1:9">
      <c r="B176" s="8"/>
      <c r="C176" s="8"/>
      <c r="D176" s="8"/>
      <c r="E176" s="8"/>
      <c r="F176" s="8"/>
      <c r="G176" s="8"/>
    </row>
    <row r="177" spans="2:7">
      <c r="B177" s="8"/>
      <c r="C177" s="8"/>
      <c r="D177" s="8"/>
      <c r="E177" s="8"/>
      <c r="F177" s="8"/>
      <c r="G177" s="8"/>
    </row>
    <row r="178" spans="2:7">
      <c r="B178" s="8"/>
      <c r="C178" s="8"/>
      <c r="D178" s="8"/>
      <c r="E178" s="8"/>
      <c r="F178" s="8"/>
      <c r="G178" s="8"/>
    </row>
    <row r="179" spans="2:7">
      <c r="B179" s="8"/>
      <c r="C179" s="8"/>
      <c r="D179" s="8"/>
      <c r="E179" s="8"/>
      <c r="F179" s="8"/>
      <c r="G179" s="8"/>
    </row>
    <row r="180" spans="2:7">
      <c r="B180" s="8"/>
      <c r="C180" s="8"/>
      <c r="D180" s="8"/>
      <c r="E180" s="8"/>
      <c r="G180" s="8"/>
    </row>
    <row r="181" spans="2:7">
      <c r="B181" s="8"/>
      <c r="C181" s="8"/>
      <c r="D181" s="8"/>
      <c r="E181" s="8"/>
      <c r="G181" s="8"/>
    </row>
    <row r="182" spans="2:7">
      <c r="B182" s="8"/>
      <c r="C182" s="8"/>
      <c r="D182" s="8"/>
      <c r="E182" s="8"/>
    </row>
    <row r="183" spans="2:7">
      <c r="B183" s="8"/>
      <c r="C183" s="8"/>
      <c r="D183" s="8"/>
      <c r="E183" s="8"/>
    </row>
    <row r="184" spans="2:7">
      <c r="B184" s="8"/>
      <c r="C184" s="8"/>
      <c r="D184" s="8"/>
      <c r="E184" s="8"/>
    </row>
    <row r="185" spans="2:7">
      <c r="B185" s="8"/>
      <c r="C185" s="8"/>
      <c r="D185" s="8"/>
      <c r="E185" s="8"/>
    </row>
    <row r="186" spans="2:7">
      <c r="B186" s="8"/>
      <c r="C186" s="8"/>
      <c r="D186" s="8"/>
      <c r="E186" s="8"/>
    </row>
    <row r="187" spans="2:7">
      <c r="B187" s="8"/>
      <c r="C187" s="8"/>
      <c r="D187" s="8"/>
      <c r="E187" s="8"/>
    </row>
    <row r="188" spans="2:7">
      <c r="B188" s="8"/>
      <c r="C188" s="8"/>
      <c r="D188" s="8"/>
      <c r="E188" s="8"/>
    </row>
    <row r="189" spans="2:7">
      <c r="B189" s="8"/>
      <c r="C189" s="8"/>
      <c r="D189" s="8"/>
      <c r="E189" s="8"/>
    </row>
    <row r="190" spans="2:7">
      <c r="B190" s="8"/>
      <c r="C190" s="8"/>
      <c r="D190" s="8"/>
      <c r="E190" s="8"/>
    </row>
    <row r="191" spans="2:7">
      <c r="B191" s="8"/>
      <c r="C191" s="8"/>
      <c r="D191" s="8"/>
      <c r="E191" s="8"/>
    </row>
    <row r="192" spans="2:7">
      <c r="B192" s="8"/>
      <c r="C192" s="8"/>
      <c r="D192" s="8"/>
      <c r="E192" s="8"/>
    </row>
    <row r="193" spans="2:5">
      <c r="B193" s="8"/>
      <c r="C193" s="8"/>
      <c r="D193" s="8"/>
      <c r="E193" s="8"/>
    </row>
    <row r="194" spans="2:5">
      <c r="B194" s="8"/>
      <c r="C194" s="8"/>
      <c r="D194" s="8"/>
      <c r="E194" s="8"/>
    </row>
    <row r="195" spans="2:5">
      <c r="B195" s="8"/>
      <c r="C195" s="8"/>
      <c r="D195" s="8"/>
      <c r="E195" s="8"/>
    </row>
    <row r="196" spans="2:5">
      <c r="B196" s="8"/>
      <c r="C196" s="8"/>
      <c r="D196" s="8"/>
      <c r="E196" s="8"/>
    </row>
    <row r="197" spans="2:5">
      <c r="B197" s="8"/>
      <c r="C197" s="8"/>
      <c r="D197" s="8"/>
      <c r="E197" s="8"/>
    </row>
    <row r="198" spans="2:5">
      <c r="B198" s="8"/>
      <c r="C198" s="8"/>
      <c r="D198" s="8"/>
      <c r="E198" s="8"/>
    </row>
    <row r="199" spans="2:5">
      <c r="B199" s="8"/>
      <c r="C199" s="8"/>
      <c r="D199" s="8"/>
      <c r="E199" s="8"/>
    </row>
    <row r="200" spans="2:5">
      <c r="B200" s="8"/>
      <c r="C200" s="8"/>
      <c r="D200" s="8"/>
      <c r="E200" s="8"/>
    </row>
    <row r="201" spans="2:5">
      <c r="B201" s="8"/>
      <c r="C201" s="8"/>
      <c r="D201" s="8"/>
      <c r="E201" s="8"/>
    </row>
    <row r="202" spans="2:5">
      <c r="B202" s="8"/>
      <c r="C202" s="8"/>
      <c r="D202" s="8"/>
      <c r="E202" s="8"/>
    </row>
    <row r="203" spans="2:5">
      <c r="B203" s="8"/>
      <c r="C203" s="8"/>
      <c r="D203" s="8"/>
      <c r="E203" s="8"/>
    </row>
    <row r="204" spans="2:5">
      <c r="B204" s="8"/>
      <c r="C204" s="8"/>
      <c r="D204" s="8"/>
      <c r="E204" s="8"/>
    </row>
    <row r="205" spans="2:5">
      <c r="B205" s="8"/>
      <c r="C205" s="8"/>
      <c r="D205" s="8"/>
      <c r="E205" s="8"/>
    </row>
    <row r="206" spans="2:5">
      <c r="B206" s="8"/>
      <c r="C206" s="8"/>
      <c r="D206" s="8"/>
      <c r="E206" s="8"/>
    </row>
    <row r="207" spans="2:5">
      <c r="B207" s="8"/>
      <c r="C207" s="8"/>
      <c r="D207" s="8"/>
      <c r="E207" s="8"/>
    </row>
    <row r="208" spans="2:5">
      <c r="B208" s="8"/>
      <c r="C208" s="8"/>
      <c r="D208" s="8"/>
      <c r="E208" s="8"/>
    </row>
    <row r="209" spans="2:5">
      <c r="B209" s="8"/>
      <c r="C209" s="8"/>
      <c r="D209" s="8"/>
      <c r="E209" s="8"/>
    </row>
    <row r="210" spans="2:5">
      <c r="B210" s="8"/>
      <c r="C210" s="8"/>
      <c r="D210" s="8"/>
      <c r="E210" s="8"/>
    </row>
    <row r="211" spans="2:5">
      <c r="B211" s="8"/>
      <c r="C211" s="8"/>
      <c r="D211" s="8"/>
      <c r="E211" s="8"/>
    </row>
    <row r="212" spans="2:5">
      <c r="B212" s="8"/>
      <c r="C212" s="8"/>
      <c r="D212" s="8"/>
      <c r="E212" s="8"/>
    </row>
    <row r="213" spans="2:5">
      <c r="B213" s="8"/>
      <c r="C213" s="8"/>
      <c r="D213" s="8"/>
      <c r="E213" s="8"/>
    </row>
    <row r="214" spans="2:5">
      <c r="B214" s="8"/>
      <c r="C214" s="8"/>
      <c r="D214" s="8"/>
      <c r="E214" s="8"/>
    </row>
    <row r="215" spans="2:5">
      <c r="B215" s="8"/>
      <c r="C215" s="8"/>
      <c r="D215" s="8"/>
      <c r="E215" s="8"/>
    </row>
    <row r="216" spans="2:5">
      <c r="B216" s="8"/>
      <c r="C216" s="8"/>
      <c r="D216" s="8"/>
      <c r="E216" s="8"/>
    </row>
    <row r="217" spans="2:5">
      <c r="B217" s="8"/>
      <c r="C217" s="8"/>
      <c r="D217" s="8"/>
      <c r="E217" s="8"/>
    </row>
    <row r="218" spans="2:5">
      <c r="B218" s="8"/>
      <c r="C218" s="8"/>
      <c r="D218" s="8"/>
      <c r="E218" s="8"/>
    </row>
    <row r="219" spans="2:5">
      <c r="B219" s="8"/>
      <c r="C219" s="8"/>
      <c r="D219" s="8"/>
      <c r="E219" s="8"/>
    </row>
    <row r="220" spans="2:5">
      <c r="B220" s="8"/>
      <c r="C220" s="8"/>
      <c r="D220" s="8"/>
      <c r="E220" s="8"/>
    </row>
    <row r="221" spans="2:5">
      <c r="B221" s="8"/>
      <c r="C221" s="8"/>
      <c r="D221" s="8"/>
      <c r="E221" s="8"/>
    </row>
    <row r="222" spans="2:5">
      <c r="B222" s="8"/>
      <c r="C222" s="8"/>
      <c r="D222" s="8"/>
      <c r="E222" s="8"/>
    </row>
    <row r="223" spans="2:5">
      <c r="B223" s="8"/>
      <c r="C223" s="8"/>
      <c r="D223" s="8"/>
      <c r="E223" s="8"/>
    </row>
    <row r="224" spans="2:5">
      <c r="B224" s="8"/>
      <c r="C224" s="8"/>
      <c r="D224" s="8"/>
      <c r="E224" s="8"/>
    </row>
    <row r="225" spans="2:5">
      <c r="B225" s="8"/>
      <c r="C225" s="8"/>
      <c r="D225" s="8"/>
      <c r="E225" s="8"/>
    </row>
    <row r="226" spans="2:5">
      <c r="B226" s="8"/>
      <c r="C226" s="8"/>
      <c r="D226" s="8"/>
      <c r="E226" s="8"/>
    </row>
    <row r="227" spans="2:5">
      <c r="B227" s="8"/>
      <c r="C227" s="8"/>
      <c r="D227" s="8"/>
      <c r="E227" s="8"/>
    </row>
    <row r="228" spans="2:5">
      <c r="B228" s="8"/>
      <c r="C228" s="8"/>
      <c r="D228" s="8"/>
      <c r="E228" s="8"/>
    </row>
    <row r="229" spans="2:5">
      <c r="B229" s="8"/>
      <c r="C229" s="8"/>
      <c r="D229" s="8"/>
      <c r="E229" s="8"/>
    </row>
    <row r="230" spans="2:5">
      <c r="B230" s="8"/>
      <c r="C230" s="8"/>
      <c r="D230" s="8"/>
      <c r="E230" s="8"/>
    </row>
    <row r="231" spans="2:5">
      <c r="B231" s="8"/>
      <c r="C231" s="8"/>
      <c r="D231" s="8"/>
      <c r="E231" s="8"/>
    </row>
    <row r="232" spans="2:5">
      <c r="B232" s="8"/>
      <c r="C232" s="8"/>
      <c r="D232" s="8"/>
      <c r="E232" s="8"/>
    </row>
    <row r="233" spans="2:5">
      <c r="B233" s="8"/>
      <c r="C233" s="8"/>
      <c r="D233" s="8"/>
      <c r="E233" s="8"/>
    </row>
    <row r="234" spans="2:5">
      <c r="B234" s="8"/>
      <c r="C234" s="8"/>
      <c r="D234" s="8"/>
      <c r="E234" s="8"/>
    </row>
    <row r="235" spans="2:5">
      <c r="B235" s="8"/>
      <c r="C235" s="8"/>
      <c r="D235" s="8"/>
      <c r="E235" s="8"/>
    </row>
    <row r="236" spans="2:5">
      <c r="B236" s="8"/>
      <c r="C236" s="8"/>
      <c r="D236" s="8"/>
      <c r="E236" s="8"/>
    </row>
    <row r="237" spans="2:5">
      <c r="B237" s="8"/>
      <c r="C237" s="8"/>
      <c r="D237" s="8"/>
      <c r="E237" s="8"/>
    </row>
    <row r="238" spans="2:5">
      <c r="C238" s="8"/>
      <c r="D238" s="8"/>
      <c r="E238" s="8"/>
    </row>
    <row r="239" spans="2:5">
      <c r="C239" s="8"/>
      <c r="D239" s="8"/>
      <c r="E239" s="8"/>
    </row>
    <row r="240" spans="2:5">
      <c r="C240" s="8"/>
      <c r="D240" s="8"/>
      <c r="E240" s="8"/>
    </row>
    <row r="241" spans="3:5">
      <c r="C241" s="8"/>
      <c r="D241" s="8"/>
      <c r="E241" s="8"/>
    </row>
    <row r="242" spans="3:5">
      <c r="C242" s="8"/>
      <c r="D242" s="8"/>
      <c r="E242" s="8"/>
    </row>
    <row r="243" spans="3:5">
      <c r="C243" s="8"/>
      <c r="D243" s="8"/>
      <c r="E243" s="8"/>
    </row>
    <row r="244" spans="3:5">
      <c r="C244" s="8"/>
      <c r="D244" s="8"/>
      <c r="E244" s="8"/>
    </row>
    <row r="245" spans="3:5">
      <c r="C245" s="8"/>
      <c r="D245" s="8"/>
      <c r="E245" s="8"/>
    </row>
    <row r="246" spans="3:5">
      <c r="C246" s="8"/>
      <c r="D246" s="8"/>
      <c r="E246" s="8"/>
    </row>
    <row r="247" spans="3:5">
      <c r="C247" s="8"/>
      <c r="D247" s="8"/>
      <c r="E247" s="8"/>
    </row>
    <row r="248" spans="3:5">
      <c r="C248" s="8"/>
      <c r="D248" s="8"/>
      <c r="E248" s="8"/>
    </row>
    <row r="249" spans="3:5">
      <c r="C249" s="8"/>
      <c r="D249" s="8"/>
      <c r="E249" s="8"/>
    </row>
    <row r="250" spans="3:5">
      <c r="C250" s="8"/>
      <c r="D250" s="8"/>
      <c r="E250" s="8"/>
    </row>
    <row r="251" spans="3:5">
      <c r="C251" s="8"/>
      <c r="D251" s="8"/>
      <c r="E251" s="8"/>
    </row>
    <row r="252" spans="3:5">
      <c r="C252" s="8"/>
      <c r="D252" s="8"/>
      <c r="E252" s="8"/>
    </row>
    <row r="253" spans="3:5">
      <c r="C253" s="8"/>
      <c r="D253" s="8"/>
      <c r="E253" s="8"/>
    </row>
    <row r="254" spans="3:5">
      <c r="C254" s="8"/>
      <c r="D254" s="8"/>
      <c r="E254" s="8"/>
    </row>
    <row r="255" spans="3:5">
      <c r="C255" s="8"/>
      <c r="D255" s="8"/>
      <c r="E255" s="8"/>
    </row>
    <row r="256" spans="3:5">
      <c r="C256" s="8"/>
      <c r="D256" s="8"/>
      <c r="E256" s="8"/>
    </row>
    <row r="257" spans="3:5">
      <c r="C257" s="8"/>
      <c r="D257" s="8"/>
      <c r="E257" s="8"/>
    </row>
    <row r="258" spans="3:5">
      <c r="C258" s="8"/>
      <c r="D258" s="8"/>
      <c r="E258" s="8"/>
    </row>
    <row r="259" spans="3:5">
      <c r="C259" s="8"/>
      <c r="D259" s="8"/>
      <c r="E259" s="8"/>
    </row>
    <row r="260" spans="3:5">
      <c r="C260" s="8"/>
      <c r="D260" s="8"/>
      <c r="E260" s="8"/>
    </row>
    <row r="261" spans="3:5">
      <c r="C261" s="8"/>
      <c r="D261" s="8"/>
      <c r="E261" s="8"/>
    </row>
    <row r="262" spans="3:5">
      <c r="C262" s="8"/>
      <c r="D262" s="8"/>
      <c r="E262" s="8"/>
    </row>
    <row r="263" spans="3:5">
      <c r="C263" s="8"/>
      <c r="D263" s="8"/>
      <c r="E263" s="8"/>
    </row>
    <row r="264" spans="3:5">
      <c r="C264" s="8"/>
      <c r="D264" s="8"/>
      <c r="E264" s="8"/>
    </row>
    <row r="265" spans="3:5">
      <c r="C265" s="8"/>
      <c r="D265" s="8"/>
      <c r="E265" s="8"/>
    </row>
    <row r="266" spans="3:5">
      <c r="C266" s="8"/>
      <c r="D266" s="8"/>
      <c r="E266" s="8"/>
    </row>
    <row r="267" spans="3:5">
      <c r="C267" s="8"/>
      <c r="D267" s="8"/>
      <c r="E267" s="8"/>
    </row>
    <row r="268" spans="3:5">
      <c r="C268" s="8"/>
      <c r="D268" s="8"/>
      <c r="E268" s="8"/>
    </row>
    <row r="269" spans="3:5">
      <c r="C269" s="8"/>
      <c r="D269" s="8"/>
      <c r="E269" s="8"/>
    </row>
    <row r="270" spans="3:5">
      <c r="C270" s="8"/>
      <c r="D270" s="8"/>
      <c r="E270" s="8"/>
    </row>
    <row r="271" spans="3:5">
      <c r="C271" s="8"/>
      <c r="D271" s="8"/>
      <c r="E271" s="8"/>
    </row>
    <row r="272" spans="3:5">
      <c r="C272" s="8"/>
      <c r="D272" s="8"/>
      <c r="E272" s="8"/>
    </row>
    <row r="273" spans="3:5">
      <c r="C273" s="8"/>
      <c r="D273" s="8"/>
      <c r="E273" s="8"/>
    </row>
    <row r="274" spans="3:5">
      <c r="C274" s="8"/>
      <c r="D274" s="8"/>
      <c r="E274" s="8"/>
    </row>
    <row r="275" spans="3:5">
      <c r="C275" s="8"/>
      <c r="D275" s="8"/>
      <c r="E275" s="8"/>
    </row>
    <row r="276" spans="3:5">
      <c r="C276" s="8"/>
      <c r="D276" s="8"/>
      <c r="E276" s="8"/>
    </row>
    <row r="277" spans="3:5">
      <c r="C277" s="8"/>
      <c r="D277" s="8"/>
      <c r="E277" s="8"/>
    </row>
    <row r="278" spans="3:5">
      <c r="C278" s="8"/>
      <c r="D278" s="8"/>
      <c r="E278" s="8"/>
    </row>
    <row r="279" spans="3:5">
      <c r="C279" s="8"/>
      <c r="D279" s="8"/>
      <c r="E279" s="8"/>
    </row>
    <row r="280" spans="3:5">
      <c r="C280" s="8"/>
      <c r="D280" s="8"/>
      <c r="E280" s="8"/>
    </row>
    <row r="281" spans="3:5">
      <c r="C281" s="8"/>
      <c r="D281" s="8"/>
      <c r="E281" s="8"/>
    </row>
    <row r="282" spans="3:5">
      <c r="C282" s="8"/>
      <c r="D282" s="8"/>
      <c r="E282" s="8"/>
    </row>
    <row r="283" spans="3:5">
      <c r="C283" s="8"/>
      <c r="D283" s="8"/>
      <c r="E283" s="8"/>
    </row>
    <row r="284" spans="3:5">
      <c r="C284" s="8"/>
      <c r="D284" s="8"/>
    </row>
    <row r="285" spans="3:5">
      <c r="C285" s="8"/>
      <c r="D285" s="8"/>
    </row>
    <row r="286" spans="3:5">
      <c r="C286" s="8"/>
      <c r="D286" s="8"/>
    </row>
    <row r="287" spans="3:5">
      <c r="C287" s="8"/>
      <c r="D287" s="8"/>
    </row>
    <row r="288" spans="3:5">
      <c r="C288" s="8"/>
      <c r="D288" s="8"/>
    </row>
    <row r="289" spans="3:4">
      <c r="C289" s="8"/>
      <c r="D289" s="8"/>
    </row>
    <row r="290" spans="3:4">
      <c r="C290" s="8"/>
      <c r="D290" s="8"/>
    </row>
    <row r="291" spans="3:4">
      <c r="C291" s="8"/>
      <c r="D291" s="8"/>
    </row>
    <row r="292" spans="3:4">
      <c r="C292" s="8"/>
      <c r="D292" s="8"/>
    </row>
    <row r="293" spans="3:4">
      <c r="C293" s="8"/>
      <c r="D293" s="8"/>
    </row>
    <row r="294" spans="3:4">
      <c r="C294" s="8"/>
      <c r="D294" s="8"/>
    </row>
    <row r="295" spans="3:4">
      <c r="C295" s="8"/>
      <c r="D295" s="8"/>
    </row>
    <row r="296" spans="3:4">
      <c r="C296" s="8"/>
      <c r="D296" s="8"/>
    </row>
    <row r="297" spans="3:4">
      <c r="C297" s="8"/>
      <c r="D297" s="8"/>
    </row>
    <row r="298" spans="3:4">
      <c r="C298" s="8"/>
      <c r="D298" s="8"/>
    </row>
    <row r="299" spans="3:4">
      <c r="C299" s="8"/>
      <c r="D299" s="8"/>
    </row>
    <row r="300" spans="3:4">
      <c r="C300" s="8"/>
      <c r="D300" s="8"/>
    </row>
    <row r="301" spans="3:4">
      <c r="C301" s="8"/>
      <c r="D301" s="8"/>
    </row>
    <row r="302" spans="3:4">
      <c r="C302" s="8"/>
      <c r="D302" s="8"/>
    </row>
    <row r="303" spans="3:4">
      <c r="C303" s="8"/>
      <c r="D303" s="8"/>
    </row>
    <row r="304" spans="3:4">
      <c r="C304" s="8"/>
      <c r="D304" s="8"/>
    </row>
    <row r="305" spans="3:4">
      <c r="C305" s="8"/>
      <c r="D305" s="8"/>
    </row>
    <row r="306" spans="3:4">
      <c r="C306" s="8"/>
      <c r="D306" s="8"/>
    </row>
    <row r="307" spans="3:4">
      <c r="C307" s="8"/>
      <c r="D307" s="8"/>
    </row>
    <row r="308" spans="3:4">
      <c r="C308" s="8"/>
      <c r="D308" s="8"/>
    </row>
    <row r="309" spans="3:4">
      <c r="C309" s="8"/>
      <c r="D309" s="8"/>
    </row>
    <row r="310" spans="3:4">
      <c r="C310" s="8"/>
      <c r="D310" s="8"/>
    </row>
    <row r="311" spans="3:4">
      <c r="C311" s="8"/>
      <c r="D311" s="8"/>
    </row>
    <row r="312" spans="3:4">
      <c r="C312" s="8"/>
      <c r="D312" s="8"/>
    </row>
    <row r="313" spans="3:4">
      <c r="C313" s="8"/>
      <c r="D313" s="8"/>
    </row>
    <row r="314" spans="3:4">
      <c r="C314" s="8"/>
      <c r="D314" s="8"/>
    </row>
    <row r="315" spans="3:4">
      <c r="C315" s="8"/>
      <c r="D315" s="8"/>
    </row>
    <row r="316" spans="3:4">
      <c r="C316" s="8"/>
      <c r="D316" s="8"/>
    </row>
    <row r="317" spans="3:4">
      <c r="C317" s="8"/>
      <c r="D317" s="8"/>
    </row>
    <row r="318" spans="3:4">
      <c r="C318" s="8"/>
      <c r="D318" s="8"/>
    </row>
    <row r="319" spans="3:4">
      <c r="C319" s="8"/>
      <c r="D319" s="8"/>
    </row>
    <row r="320" spans="3:4">
      <c r="C320" s="8"/>
      <c r="D320" s="8"/>
    </row>
    <row r="321" spans="3:4">
      <c r="C321" s="8"/>
      <c r="D321" s="8"/>
    </row>
    <row r="322" spans="3:4">
      <c r="C322" s="8"/>
      <c r="D322" s="8"/>
    </row>
    <row r="323" spans="3:4">
      <c r="C323" s="8"/>
      <c r="D323" s="8"/>
    </row>
    <row r="324" spans="3:4">
      <c r="C324" s="8"/>
      <c r="D324" s="8"/>
    </row>
    <row r="325" spans="3:4">
      <c r="C325" s="8"/>
      <c r="D325" s="8"/>
    </row>
    <row r="326" spans="3:4">
      <c r="C326" s="8"/>
      <c r="D326" s="8"/>
    </row>
    <row r="327" spans="3:4">
      <c r="C327" s="8"/>
      <c r="D327" s="8"/>
    </row>
    <row r="328" spans="3:4">
      <c r="C328" s="8"/>
      <c r="D328" s="8"/>
    </row>
    <row r="329" spans="3:4">
      <c r="C329" s="8"/>
      <c r="D329" s="8"/>
    </row>
    <row r="330" spans="3:4">
      <c r="C330" s="8"/>
      <c r="D330" s="8"/>
    </row>
    <row r="331" spans="3:4">
      <c r="C331" s="8"/>
      <c r="D331" s="8"/>
    </row>
    <row r="332" spans="3:4">
      <c r="C332" s="8"/>
      <c r="D332" s="8"/>
    </row>
    <row r="333" spans="3:4">
      <c r="C333" s="8"/>
      <c r="D333" s="8"/>
    </row>
    <row r="334" spans="3:4">
      <c r="C334" s="8"/>
      <c r="D334" s="8"/>
    </row>
    <row r="335" spans="3:4">
      <c r="C335" s="8"/>
      <c r="D335" s="8"/>
    </row>
    <row r="336" spans="3:4">
      <c r="C336" s="8"/>
      <c r="D336" s="8"/>
    </row>
    <row r="337" spans="3:4">
      <c r="C337" s="8"/>
      <c r="D337" s="8"/>
    </row>
    <row r="338" spans="3:4">
      <c r="C338" s="8"/>
      <c r="D338" s="8"/>
    </row>
    <row r="339" spans="3:4">
      <c r="C339" s="8"/>
      <c r="D339" s="8"/>
    </row>
    <row r="340" spans="3:4">
      <c r="C340" s="8"/>
      <c r="D340" s="8"/>
    </row>
    <row r="341" spans="3:4">
      <c r="C341" s="8"/>
      <c r="D341" s="8"/>
    </row>
    <row r="342" spans="3:4">
      <c r="C342" s="8"/>
      <c r="D342" s="8"/>
    </row>
    <row r="343" spans="3:4">
      <c r="C343" s="8"/>
      <c r="D343" s="8"/>
    </row>
    <row r="344" spans="3:4">
      <c r="C344" s="8"/>
      <c r="D344" s="8"/>
    </row>
    <row r="345" spans="3:4">
      <c r="C345" s="8"/>
      <c r="D345" s="8"/>
    </row>
    <row r="346" spans="3:4">
      <c r="C346" s="8"/>
      <c r="D346" s="8"/>
    </row>
    <row r="347" spans="3:4">
      <c r="C347" s="8"/>
      <c r="D347" s="8"/>
    </row>
    <row r="348" spans="3:4">
      <c r="C348" s="8"/>
      <c r="D348" s="8"/>
    </row>
    <row r="349" spans="3:4">
      <c r="C349" s="8"/>
      <c r="D349" s="8"/>
    </row>
    <row r="350" spans="3:4">
      <c r="C350" s="8"/>
      <c r="D350" s="8"/>
    </row>
    <row r="351" spans="3:4">
      <c r="C351" s="8"/>
      <c r="D351" s="8"/>
    </row>
    <row r="352" spans="3:4">
      <c r="C352" s="8"/>
      <c r="D352" s="8"/>
    </row>
    <row r="353" spans="3:4">
      <c r="C353" s="8"/>
      <c r="D353" s="8"/>
    </row>
    <row r="354" spans="3:4">
      <c r="C354" s="8"/>
      <c r="D354" s="8"/>
    </row>
    <row r="355" spans="3:4">
      <c r="C355" s="8"/>
      <c r="D355" s="8"/>
    </row>
    <row r="356" spans="3:4">
      <c r="C356" s="8"/>
      <c r="D356" s="8"/>
    </row>
    <row r="357" spans="3:4">
      <c r="C357" s="8"/>
      <c r="D357" s="8"/>
    </row>
    <row r="358" spans="3:4">
      <c r="C358" s="8"/>
      <c r="D358" s="8"/>
    </row>
    <row r="359" spans="3:4">
      <c r="C359" s="8"/>
      <c r="D359" s="8"/>
    </row>
    <row r="360" spans="3:4">
      <c r="C360" s="8"/>
      <c r="D360" s="8"/>
    </row>
    <row r="361" spans="3:4">
      <c r="C361" s="8"/>
      <c r="D361" s="8"/>
    </row>
    <row r="362" spans="3:4">
      <c r="C362" s="8"/>
      <c r="D362" s="8"/>
    </row>
    <row r="363" spans="3:4">
      <c r="C363" s="8"/>
      <c r="D363" s="8"/>
    </row>
    <row r="364" spans="3:4">
      <c r="C364" s="8"/>
      <c r="D364" s="8"/>
    </row>
    <row r="365" spans="3:4">
      <c r="C365" s="8"/>
      <c r="D365" s="8"/>
    </row>
    <row r="366" spans="3:4">
      <c r="C366" s="8"/>
      <c r="D366" s="8"/>
    </row>
    <row r="367" spans="3:4">
      <c r="C367" s="8"/>
      <c r="D367" s="8"/>
    </row>
    <row r="368" spans="3:4">
      <c r="C368" s="8"/>
      <c r="D368" s="8"/>
    </row>
    <row r="369" spans="3:4">
      <c r="C369" s="8"/>
      <c r="D369" s="8"/>
    </row>
    <row r="370" spans="3:4">
      <c r="C370" s="8"/>
      <c r="D370" s="8"/>
    </row>
    <row r="371" spans="3:4">
      <c r="C371" s="8"/>
      <c r="D371" s="8"/>
    </row>
    <row r="372" spans="3:4">
      <c r="C372" s="8"/>
      <c r="D372" s="8"/>
    </row>
    <row r="373" spans="3:4">
      <c r="C373" s="8"/>
      <c r="D373" s="8"/>
    </row>
    <row r="374" spans="3:4">
      <c r="C374" s="8"/>
      <c r="D374" s="8"/>
    </row>
    <row r="375" spans="3:4">
      <c r="C375" s="8"/>
      <c r="D375" s="8"/>
    </row>
    <row r="376" spans="3:4">
      <c r="C376" s="8"/>
      <c r="D376" s="8"/>
    </row>
    <row r="377" spans="3:4">
      <c r="C377" s="8"/>
      <c r="D377" s="8"/>
    </row>
    <row r="378" spans="3:4">
      <c r="C378" s="8"/>
      <c r="D378" s="8"/>
    </row>
    <row r="379" spans="3:4">
      <c r="C379" s="8"/>
      <c r="D379" s="8"/>
    </row>
    <row r="380" spans="3:4">
      <c r="C380" s="8"/>
      <c r="D380" s="8"/>
    </row>
    <row r="381" spans="3:4">
      <c r="C381" s="8"/>
      <c r="D381" s="8"/>
    </row>
    <row r="382" spans="3:4">
      <c r="C382" s="8"/>
      <c r="D382" s="8"/>
    </row>
    <row r="383" spans="3:4">
      <c r="C383" s="8"/>
      <c r="D383" s="8"/>
    </row>
    <row r="384" spans="3:4">
      <c r="C384" s="8"/>
      <c r="D384" s="8"/>
    </row>
    <row r="385" spans="3:4">
      <c r="C385" s="8"/>
      <c r="D385" s="8"/>
    </row>
    <row r="386" spans="3:4">
      <c r="C386" s="8"/>
      <c r="D386" s="8"/>
    </row>
    <row r="387" spans="3:4">
      <c r="C387" s="8"/>
      <c r="D387" s="8"/>
    </row>
    <row r="388" spans="3:4">
      <c r="C388" s="8"/>
      <c r="D388" s="8"/>
    </row>
    <row r="389" spans="3:4">
      <c r="C389" s="8"/>
      <c r="D389" s="8"/>
    </row>
    <row r="390" spans="3:4">
      <c r="C390" s="8"/>
      <c r="D390" s="8"/>
    </row>
    <row r="391" spans="3:4">
      <c r="C391" s="8"/>
      <c r="D391" s="8"/>
    </row>
    <row r="392" spans="3:4">
      <c r="C392" s="8"/>
      <c r="D392" s="8"/>
    </row>
    <row r="393" spans="3:4">
      <c r="C393" s="8"/>
      <c r="D393" s="8"/>
    </row>
    <row r="394" spans="3:4">
      <c r="C394" s="8"/>
      <c r="D394" s="8"/>
    </row>
    <row r="395" spans="3:4">
      <c r="C395" s="8"/>
      <c r="D395" s="8"/>
    </row>
    <row r="396" spans="3:4">
      <c r="C396" s="8"/>
      <c r="D396" s="8"/>
    </row>
    <row r="397" spans="3:4">
      <c r="C397" s="8"/>
      <c r="D397" s="8"/>
    </row>
    <row r="398" spans="3:4">
      <c r="C398" s="8"/>
      <c r="D398" s="8"/>
    </row>
    <row r="399" spans="3:4">
      <c r="C399" s="8"/>
      <c r="D399" s="8"/>
    </row>
    <row r="400" spans="3:4">
      <c r="C400" s="8"/>
      <c r="D400" s="8"/>
    </row>
    <row r="401" spans="3:4">
      <c r="C401" s="8"/>
      <c r="D401" s="8"/>
    </row>
    <row r="402" spans="3:4">
      <c r="C402" s="8"/>
      <c r="D402" s="8"/>
    </row>
    <row r="403" spans="3:4">
      <c r="C403" s="8"/>
      <c r="D403" s="8"/>
    </row>
    <row r="404" spans="3:4">
      <c r="C404" s="8"/>
      <c r="D404" s="8"/>
    </row>
    <row r="405" spans="3:4">
      <c r="C405" s="8"/>
      <c r="D405" s="8"/>
    </row>
    <row r="406" spans="3:4">
      <c r="C406" s="8"/>
      <c r="D406" s="8"/>
    </row>
    <row r="407" spans="3:4">
      <c r="C407" s="8"/>
      <c r="D407" s="8"/>
    </row>
    <row r="408" spans="3:4">
      <c r="C408" s="8"/>
      <c r="D408" s="8"/>
    </row>
    <row r="409" spans="3:4">
      <c r="C409" s="8"/>
      <c r="D409" s="8"/>
    </row>
    <row r="410" spans="3:4">
      <c r="C410" s="8"/>
      <c r="D410" s="8"/>
    </row>
    <row r="411" spans="3:4">
      <c r="C411" s="8"/>
      <c r="D411" s="8"/>
    </row>
    <row r="412" spans="3:4">
      <c r="C412" s="8"/>
      <c r="D412" s="8"/>
    </row>
    <row r="413" spans="3:4">
      <c r="C413" s="8"/>
      <c r="D413" s="8"/>
    </row>
    <row r="414" spans="3:4">
      <c r="C414" s="8"/>
      <c r="D414" s="8"/>
    </row>
    <row r="415" spans="3:4">
      <c r="C415" s="8"/>
      <c r="D415" s="8"/>
    </row>
    <row r="416" spans="3:4">
      <c r="C416" s="8"/>
      <c r="D416" s="8"/>
    </row>
    <row r="417" spans="3:4">
      <c r="C417" s="8"/>
      <c r="D417" s="8"/>
    </row>
    <row r="418" spans="3:4">
      <c r="C418" s="8"/>
      <c r="D418" s="8"/>
    </row>
    <row r="419" spans="3:4">
      <c r="C419" s="8"/>
      <c r="D419" s="8"/>
    </row>
    <row r="420" spans="3:4">
      <c r="C420" s="8"/>
      <c r="D420" s="8"/>
    </row>
    <row r="421" spans="3:4">
      <c r="C421" s="8"/>
      <c r="D421" s="8"/>
    </row>
    <row r="422" spans="3:4">
      <c r="C422" s="8"/>
      <c r="D422" s="8"/>
    </row>
    <row r="423" spans="3:4">
      <c r="C423" s="8"/>
      <c r="D423" s="8"/>
    </row>
    <row r="424" spans="3:4">
      <c r="C424" s="8"/>
      <c r="D424" s="8"/>
    </row>
    <row r="425" spans="3:4">
      <c r="C425" s="8"/>
      <c r="D425" s="8"/>
    </row>
    <row r="426" spans="3:4">
      <c r="C426" s="8"/>
      <c r="D426" s="8"/>
    </row>
    <row r="427" spans="3:4">
      <c r="C427" s="8"/>
      <c r="D427" s="8"/>
    </row>
    <row r="428" spans="3:4">
      <c r="C428" s="8"/>
      <c r="D428" s="8"/>
    </row>
    <row r="429" spans="3:4">
      <c r="C429" s="8"/>
      <c r="D429" s="8"/>
    </row>
    <row r="430" spans="3:4">
      <c r="C430" s="8"/>
      <c r="D430" s="8"/>
    </row>
    <row r="431" spans="3:4">
      <c r="C431" s="8"/>
      <c r="D431" s="8"/>
    </row>
    <row r="432" spans="3:4">
      <c r="C432" s="8"/>
      <c r="D432" s="8"/>
    </row>
    <row r="433" spans="3:4">
      <c r="C433" s="8"/>
      <c r="D433" s="8"/>
    </row>
    <row r="434" spans="3:4">
      <c r="C434" s="8"/>
      <c r="D434" s="8"/>
    </row>
    <row r="435" spans="3:4">
      <c r="C435" s="8"/>
      <c r="D435" s="8"/>
    </row>
    <row r="436" spans="3:4">
      <c r="C436" s="8"/>
      <c r="D436" s="8"/>
    </row>
    <row r="437" spans="3:4">
      <c r="C437" s="8"/>
      <c r="D437" s="8"/>
    </row>
    <row r="438" spans="3:4">
      <c r="C438" s="8"/>
      <c r="D438" s="8"/>
    </row>
    <row r="439" spans="3:4">
      <c r="C439" s="8"/>
      <c r="D439" s="8"/>
    </row>
    <row r="440" spans="3:4">
      <c r="C440" s="8"/>
      <c r="D440" s="8"/>
    </row>
    <row r="441" spans="3:4">
      <c r="C441" s="8"/>
      <c r="D441" s="8"/>
    </row>
    <row r="442" spans="3:4">
      <c r="C442" s="8"/>
      <c r="D442" s="8"/>
    </row>
    <row r="443" spans="3:4">
      <c r="C443" s="8"/>
      <c r="D443" s="8"/>
    </row>
    <row r="444" spans="3:4">
      <c r="C444" s="8"/>
      <c r="D444" s="8"/>
    </row>
    <row r="445" spans="3:4">
      <c r="C445" s="8"/>
      <c r="D445" s="8"/>
    </row>
    <row r="446" spans="3:4">
      <c r="C446" s="8"/>
      <c r="D446" s="8"/>
    </row>
    <row r="447" spans="3:4">
      <c r="C447" s="8"/>
      <c r="D447" s="8"/>
    </row>
    <row r="448" spans="3:4">
      <c r="C448" s="8"/>
      <c r="D448" s="8"/>
    </row>
    <row r="449" spans="3:4">
      <c r="C449" s="8"/>
      <c r="D449" s="8"/>
    </row>
    <row r="450" spans="3:4">
      <c r="C450" s="8"/>
      <c r="D450" s="8"/>
    </row>
    <row r="451" spans="3:4">
      <c r="C451" s="8"/>
      <c r="D451" s="8"/>
    </row>
    <row r="452" spans="3:4">
      <c r="C452" s="8"/>
      <c r="D452" s="8"/>
    </row>
    <row r="453" spans="3:4">
      <c r="C453" s="8"/>
      <c r="D453" s="8"/>
    </row>
    <row r="454" spans="3:4">
      <c r="C454" s="8"/>
      <c r="D454" s="8"/>
    </row>
    <row r="455" spans="3:4">
      <c r="C455" s="8"/>
      <c r="D455" s="8"/>
    </row>
    <row r="456" spans="3:4">
      <c r="C456" s="8"/>
      <c r="D456" s="8"/>
    </row>
    <row r="457" spans="3:4">
      <c r="C457" s="8"/>
      <c r="D457" s="8"/>
    </row>
    <row r="458" spans="3:4">
      <c r="C458" s="8"/>
      <c r="D458" s="8"/>
    </row>
    <row r="459" spans="3:4">
      <c r="C459" s="8"/>
      <c r="D459" s="8"/>
    </row>
    <row r="460" spans="3:4">
      <c r="C460" s="8"/>
      <c r="D460" s="8"/>
    </row>
    <row r="461" spans="3:4">
      <c r="C461" s="8"/>
      <c r="D461" s="8"/>
    </row>
    <row r="462" spans="3:4">
      <c r="C462" s="8"/>
      <c r="D462" s="8"/>
    </row>
    <row r="463" spans="3:4">
      <c r="C463" s="8"/>
      <c r="D463" s="8"/>
    </row>
    <row r="464" spans="3:4">
      <c r="C464" s="8"/>
      <c r="D464" s="8"/>
    </row>
    <row r="465" spans="3:4">
      <c r="C465" s="8"/>
      <c r="D465" s="8"/>
    </row>
    <row r="466" spans="3:4">
      <c r="C466" s="8"/>
      <c r="D466" s="8"/>
    </row>
    <row r="467" spans="3:4">
      <c r="C467" s="8"/>
      <c r="D467" s="8"/>
    </row>
    <row r="468" spans="3:4">
      <c r="C468" s="8"/>
      <c r="D468" s="8"/>
    </row>
    <row r="469" spans="3:4">
      <c r="C469" s="8"/>
      <c r="D469" s="8"/>
    </row>
    <row r="470" spans="3:4">
      <c r="C470" s="8"/>
      <c r="D470" s="8"/>
    </row>
    <row r="471" spans="3:4">
      <c r="C471" s="8"/>
      <c r="D471" s="8"/>
    </row>
    <row r="472" spans="3:4">
      <c r="C472" s="8"/>
      <c r="D472" s="8"/>
    </row>
    <row r="473" spans="3:4">
      <c r="C473" s="8"/>
      <c r="D473" s="8"/>
    </row>
    <row r="474" spans="3:4">
      <c r="C474" s="8"/>
      <c r="D474" s="8"/>
    </row>
    <row r="475" spans="3:4">
      <c r="C475" s="8"/>
      <c r="D475" s="8"/>
    </row>
    <row r="476" spans="3:4">
      <c r="C476" s="8"/>
      <c r="D476" s="8"/>
    </row>
    <row r="477" spans="3:4">
      <c r="C477" s="8"/>
      <c r="D477" s="8"/>
    </row>
    <row r="478" spans="3:4">
      <c r="C478" s="8"/>
      <c r="D478" s="8"/>
    </row>
    <row r="479" spans="3:4">
      <c r="C479" s="8"/>
      <c r="D479" s="8"/>
    </row>
    <row r="480" spans="3:4">
      <c r="C480" s="8"/>
      <c r="D480" s="8"/>
    </row>
    <row r="481" spans="3:4">
      <c r="C481" s="8"/>
      <c r="D481" s="8"/>
    </row>
    <row r="482" spans="3:4">
      <c r="C482" s="8"/>
      <c r="D482" s="8"/>
    </row>
    <row r="483" spans="3:4">
      <c r="C483" s="8"/>
      <c r="D483" s="8"/>
    </row>
  </sheetData>
  <customSheetViews>
    <customSheetView guid="{66C35B70-1DF5-11D4-B46C-0004ACEC7D4A}" fitToPage="1" showRuler="0">
      <pageMargins left="0.25" right="0.25" top="1" bottom="0.25" header="0.25" footer="0.25"/>
      <printOptions horizontalCentered="1"/>
      <pageSetup paperSize="5" scale="33" orientation="portrait" horizontalDpi="4294967292" verticalDpi="4294967292" r:id="rId1"/>
      <headerFooter alignWithMargins="0">
        <oddFooter>&amp;R&amp;10Printed: &amp;D &amp;T</oddFooter>
      </headerFooter>
    </customSheetView>
  </customSheetViews>
  <printOptions horizontalCentered="1"/>
  <pageMargins left="0.25" right="0.25" top="1" bottom="0.25" header="0.25" footer="0.25"/>
  <pageSetup paperSize="5" scale="33" orientation="portrait" horizontalDpi="4294967292" verticalDpi="4294967292" r:id="rId2"/>
  <headerFooter alignWithMargins="0">
    <oddFooter>&amp;R&amp;10Printed: &amp;D &amp;T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2:J32"/>
  <sheetViews>
    <sheetView zoomScale="75" workbookViewId="0"/>
  </sheetViews>
  <sheetFormatPr defaultColWidth="8.54296875" defaultRowHeight="15"/>
  <cols>
    <col min="1" max="1" width="5.90625" customWidth="1"/>
    <col min="2" max="2" width="4.08984375" customWidth="1"/>
    <col min="3" max="3" width="11.1796875" customWidth="1"/>
    <col min="4" max="4" width="13" customWidth="1"/>
    <col min="5" max="5" width="10.36328125" customWidth="1"/>
    <col min="6" max="6" width="11.1796875" customWidth="1"/>
    <col min="7" max="7" width="13" customWidth="1"/>
    <col min="10" max="10" width="2.36328125" customWidth="1"/>
  </cols>
  <sheetData>
    <row r="2" spans="1:10" ht="30">
      <c r="A2" s="196" t="s">
        <v>259</v>
      </c>
      <c r="B2" s="196" t="s">
        <v>259</v>
      </c>
      <c r="C2" s="196" t="s">
        <v>259</v>
      </c>
      <c r="D2" s="196" t="s">
        <v>259</v>
      </c>
      <c r="E2" s="196" t="s">
        <v>259</v>
      </c>
      <c r="F2" s="196" t="s">
        <v>259</v>
      </c>
      <c r="G2" s="196" t="s">
        <v>259</v>
      </c>
      <c r="H2" s="196" t="s">
        <v>259</v>
      </c>
      <c r="I2" s="196" t="s">
        <v>259</v>
      </c>
      <c r="J2" s="6"/>
    </row>
    <row r="14" spans="1:10" ht="30">
      <c r="A14" s="196" t="s">
        <v>266</v>
      </c>
      <c r="B14" s="196" t="s">
        <v>266</v>
      </c>
      <c r="C14" s="196" t="s">
        <v>266</v>
      </c>
      <c r="D14" s="196" t="s">
        <v>266</v>
      </c>
      <c r="E14" s="196" t="s">
        <v>266</v>
      </c>
      <c r="F14" s="196" t="s">
        <v>266</v>
      </c>
      <c r="G14" s="196" t="s">
        <v>266</v>
      </c>
      <c r="H14" s="196" t="s">
        <v>266</v>
      </c>
      <c r="I14" s="196" t="s">
        <v>266</v>
      </c>
      <c r="J14" s="6"/>
    </row>
    <row r="32" spans="1:9">
      <c r="A32" t="s">
        <v>11</v>
      </c>
      <c r="B32" t="s">
        <v>11</v>
      </c>
      <c r="C32" t="s">
        <v>11</v>
      </c>
      <c r="D32" t="s">
        <v>11</v>
      </c>
      <c r="E32" t="s">
        <v>11</v>
      </c>
      <c r="F32" t="s">
        <v>11</v>
      </c>
      <c r="G32" t="s">
        <v>11</v>
      </c>
      <c r="H32" t="s">
        <v>11</v>
      </c>
      <c r="I32" t="s">
        <v>11</v>
      </c>
    </row>
  </sheetData>
  <customSheetViews>
    <customSheetView guid="{66C35B70-1DF5-11D4-B46C-0004ACEC7D4A}" scale="75" fitToPage="1" showRuler="0">
      <pageMargins left="0.75" right="0.75" top="1" bottom="1" header="0.5" footer="0.5"/>
      <pageSetup scale="76" orientation="portrait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65" orientation="portrait" horizontalDpi="4294967292" verticalDpi="4294967292" r:id="rId2"/>
  <headerFooter alignWithMargins="0">
    <oddFooter>&amp;RPrinted: &amp;D &amp;T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J51"/>
  <sheetViews>
    <sheetView zoomScale="75" workbookViewId="0"/>
  </sheetViews>
  <sheetFormatPr defaultColWidth="8.54296875" defaultRowHeight="15"/>
  <cols>
    <col min="1" max="1" width="5.90625" customWidth="1"/>
    <col min="2" max="2" width="4.08984375" customWidth="1"/>
    <col min="3" max="3" width="11.1796875" customWidth="1"/>
    <col min="4" max="4" width="13" customWidth="1"/>
    <col min="5" max="5" width="10.36328125" customWidth="1"/>
    <col min="6" max="6" width="11.1796875" customWidth="1"/>
    <col min="7" max="7" width="13" customWidth="1"/>
    <col min="10" max="10" width="2.36328125" customWidth="1"/>
  </cols>
  <sheetData>
    <row r="1" spans="1:10">
      <c r="A1" t="s">
        <v>11</v>
      </c>
    </row>
    <row r="2" spans="1:10" ht="30">
      <c r="A2" s="196" t="s">
        <v>259</v>
      </c>
      <c r="B2" s="6"/>
      <c r="C2" s="6"/>
      <c r="D2" s="6"/>
      <c r="E2" s="6"/>
      <c r="F2" s="6"/>
      <c r="G2" s="6"/>
      <c r="H2" s="6"/>
      <c r="I2" s="6"/>
      <c r="J2" s="6"/>
    </row>
    <row r="5" spans="1:10" ht="15.6">
      <c r="C5" s="197" t="s">
        <v>260</v>
      </c>
      <c r="D5" s="125" t="s">
        <v>382</v>
      </c>
      <c r="F5" s="197" t="s">
        <v>261</v>
      </c>
      <c r="G5" s="125" t="s">
        <v>383</v>
      </c>
    </row>
    <row r="6" spans="1:10">
      <c r="D6" s="164" t="s">
        <v>262</v>
      </c>
      <c r="G6" s="164" t="s">
        <v>263</v>
      </c>
    </row>
    <row r="7" spans="1:10">
      <c r="D7" s="164" t="s">
        <v>263</v>
      </c>
    </row>
    <row r="8" spans="1:10">
      <c r="G8" s="125" t="s">
        <v>384</v>
      </c>
    </row>
    <row r="9" spans="1:10">
      <c r="D9" s="125" t="s">
        <v>386</v>
      </c>
      <c r="G9" s="125" t="s">
        <v>385</v>
      </c>
    </row>
    <row r="10" spans="1:10">
      <c r="D10" s="125" t="s">
        <v>387</v>
      </c>
    </row>
    <row r="11" spans="1:10" ht="15.6">
      <c r="D11" s="197" t="s">
        <v>264</v>
      </c>
    </row>
    <row r="12" spans="1:10" ht="15.6">
      <c r="D12" s="197" t="s">
        <v>265</v>
      </c>
    </row>
    <row r="14" spans="1:10" ht="30">
      <c r="A14" s="196" t="s">
        <v>266</v>
      </c>
      <c r="B14" s="6"/>
      <c r="C14" s="6"/>
      <c r="D14" s="6"/>
      <c r="E14" s="6"/>
      <c r="F14" s="6"/>
      <c r="G14" s="6"/>
      <c r="H14" s="6"/>
      <c r="I14" s="6"/>
      <c r="J14" s="6"/>
    </row>
    <row r="16" spans="1:10">
      <c r="B16" s="6" t="s">
        <v>267</v>
      </c>
      <c r="C16" s="6"/>
      <c r="D16" s="6"/>
      <c r="E16" s="6"/>
      <c r="F16" s="6"/>
      <c r="G16" s="6"/>
      <c r="H16" s="6"/>
      <c r="I16" s="6"/>
    </row>
    <row r="17" spans="2:9" ht="15.6">
      <c r="B17" s="6" t="s">
        <v>268</v>
      </c>
      <c r="C17" s="195"/>
      <c r="D17" s="6"/>
      <c r="E17" s="6"/>
      <c r="F17" s="6"/>
      <c r="G17" s="6"/>
      <c r="H17" s="6"/>
      <c r="I17" s="6"/>
    </row>
    <row r="18" spans="2:9" ht="15.6">
      <c r="B18" s="195" t="s">
        <v>269</v>
      </c>
      <c r="C18" s="195"/>
      <c r="D18" s="6"/>
      <c r="E18" s="6"/>
      <c r="F18" s="6"/>
      <c r="G18" s="6"/>
      <c r="H18" s="6"/>
      <c r="I18" s="6"/>
    </row>
    <row r="19" spans="2:9" ht="15.6" thickBot="1"/>
    <row r="20" spans="2:9" ht="21" thickBot="1">
      <c r="B20" s="194" t="s">
        <v>391</v>
      </c>
      <c r="C20" s="193"/>
      <c r="D20" s="193"/>
      <c r="E20" s="193"/>
      <c r="F20" s="193"/>
      <c r="G20" s="193"/>
      <c r="H20" s="193"/>
      <c r="I20" s="192"/>
    </row>
    <row r="22" spans="2:9">
      <c r="B22" s="164" t="s">
        <v>270</v>
      </c>
      <c r="D22" s="166">
        <f ca="1">NOW()</f>
        <v>37018.153027430555</v>
      </c>
      <c r="F22" s="164" t="s">
        <v>271</v>
      </c>
      <c r="G22" s="191">
        <f ca="1">NOW()</f>
        <v>37018.153027430555</v>
      </c>
    </row>
    <row r="24" spans="2:9">
      <c r="B24" s="164" t="s">
        <v>272</v>
      </c>
      <c r="D24" s="229" t="s">
        <v>407</v>
      </c>
      <c r="E24" t="s">
        <v>11</v>
      </c>
      <c r="F24" s="164" t="s">
        <v>273</v>
      </c>
      <c r="G24" s="165" t="s">
        <v>274</v>
      </c>
    </row>
    <row r="25" spans="2:9" ht="15.6" thickBot="1"/>
    <row r="26" spans="2:9" ht="15.6" thickBot="1">
      <c r="B26" s="209" t="s">
        <v>11</v>
      </c>
      <c r="C26" s="164" t="s">
        <v>275</v>
      </c>
    </row>
    <row r="27" spans="2:9" ht="15.6" thickBot="1">
      <c r="B27" s="209" t="s">
        <v>11</v>
      </c>
      <c r="C27" s="164" t="s">
        <v>276</v>
      </c>
    </row>
    <row r="28" spans="2:9" ht="15.6" thickBot="1">
      <c r="B28" s="209" t="s">
        <v>408</v>
      </c>
      <c r="C28" s="125" t="s">
        <v>388</v>
      </c>
    </row>
    <row r="29" spans="2:9">
      <c r="B29" t="s">
        <v>11</v>
      </c>
      <c r="C29" s="164" t="s">
        <v>389</v>
      </c>
    </row>
    <row r="30" spans="2:9">
      <c r="C30" s="164" t="s">
        <v>11</v>
      </c>
    </row>
    <row r="32" spans="2:9">
      <c r="B32" s="164" t="s">
        <v>277</v>
      </c>
      <c r="E32" s="449">
        <v>35915</v>
      </c>
    </row>
    <row r="34" spans="2:8" ht="15.6">
      <c r="B34" s="164" t="s">
        <v>278</v>
      </c>
      <c r="E34" s="190">
        <v>0</v>
      </c>
      <c r="F34" t="s">
        <v>279</v>
      </c>
    </row>
    <row r="36" spans="2:8" ht="15.6">
      <c r="B36" s="164" t="s">
        <v>280</v>
      </c>
      <c r="E36" s="190">
        <v>0</v>
      </c>
      <c r="F36" t="s">
        <v>279</v>
      </c>
    </row>
    <row r="38" spans="2:8" ht="15.6">
      <c r="B38" t="s">
        <v>281</v>
      </c>
      <c r="E38" s="166">
        <f>+E32+1</f>
        <v>35916</v>
      </c>
      <c r="F38" s="190">
        <v>0</v>
      </c>
      <c r="G38" t="s">
        <v>279</v>
      </c>
    </row>
    <row r="39" spans="2:8" ht="15.6">
      <c r="E39" s="166">
        <f>+E38+1</f>
        <v>35917</v>
      </c>
      <c r="F39" s="190">
        <v>0</v>
      </c>
      <c r="G39" t="s">
        <v>279</v>
      </c>
    </row>
    <row r="40" spans="2:8" ht="15.6">
      <c r="E40" s="166">
        <f>+E39+1</f>
        <v>35918</v>
      </c>
      <c r="F40" s="190">
        <v>0</v>
      </c>
      <c r="G40" t="s">
        <v>279</v>
      </c>
    </row>
    <row r="41" spans="2:8" ht="15.6">
      <c r="E41" s="166">
        <f>+E40+1</f>
        <v>35919</v>
      </c>
      <c r="F41" s="190">
        <v>0</v>
      </c>
      <c r="G41" t="s">
        <v>279</v>
      </c>
    </row>
    <row r="42" spans="2:8" ht="15.6">
      <c r="E42" s="166">
        <f>+E41+1</f>
        <v>35920</v>
      </c>
      <c r="F42" s="190">
        <v>0</v>
      </c>
      <c r="G42" t="s">
        <v>279</v>
      </c>
    </row>
    <row r="44" spans="2:8">
      <c r="B44" s="164" t="s">
        <v>282</v>
      </c>
      <c r="D44" s="105"/>
      <c r="E44" s="105"/>
      <c r="F44" s="105"/>
      <c r="G44" s="105"/>
      <c r="H44" s="105"/>
    </row>
    <row r="45" spans="2:8">
      <c r="D45" s="105"/>
      <c r="E45" s="105"/>
      <c r="F45" s="105"/>
      <c r="G45" s="105"/>
      <c r="H45" s="105"/>
    </row>
    <row r="47" spans="2:8">
      <c r="B47" s="187" t="s">
        <v>283</v>
      </c>
      <c r="C47" s="187" t="s">
        <v>11</v>
      </c>
      <c r="D47" s="189"/>
    </row>
    <row r="48" spans="2:8">
      <c r="B48" s="188"/>
      <c r="C48" s="187" t="s">
        <v>11</v>
      </c>
      <c r="D48" s="189"/>
    </row>
    <row r="49" spans="2:4">
      <c r="B49" s="188"/>
      <c r="C49" s="442" t="s">
        <v>390</v>
      </c>
      <c r="D49" s="189"/>
    </row>
    <row r="50" spans="2:4">
      <c r="B50" s="188"/>
      <c r="C50" s="187" t="s">
        <v>284</v>
      </c>
    </row>
    <row r="51" spans="2:4">
      <c r="B51" s="188"/>
      <c r="C51" s="187" t="s">
        <v>285</v>
      </c>
    </row>
  </sheetData>
  <customSheetViews>
    <customSheetView guid="{66C35B70-1DF5-11D4-B46C-0004ACEC7D4A}" scale="75" fitToPage="1" showRuler="0">
      <pageMargins left="0.75" right="0.75" top="1" bottom="1" header="0.5" footer="0.5"/>
      <pageSetup scale="76" orientation="portrait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76" orientation="portrait" horizontalDpi="4294967292" verticalDpi="4294967292" r:id="rId2"/>
  <headerFooter alignWithMargins="0">
    <oddFooter>&amp;RPrinted: &amp;D &amp;T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14">
    <pageSetUpPr fitToPage="1"/>
  </sheetPr>
  <dimension ref="A1:DE60"/>
  <sheetViews>
    <sheetView zoomScale="75" workbookViewId="0"/>
  </sheetViews>
  <sheetFormatPr defaultColWidth="12.6328125" defaultRowHeight="15.6"/>
  <cols>
    <col min="1" max="1" width="13.6328125" style="14" customWidth="1"/>
    <col min="2" max="2" width="12.6328125" style="46" customWidth="1"/>
    <col min="3" max="4" width="12.6328125" style="14" customWidth="1"/>
    <col min="5" max="5" width="8.1796875" style="14" customWidth="1"/>
    <col min="6" max="6" width="13.6328125" style="47" customWidth="1"/>
    <col min="7" max="7" width="8.1796875" style="14" customWidth="1"/>
    <col min="8" max="8" width="12.6328125" style="48" customWidth="1"/>
    <col min="9" max="9" width="6.81640625" style="14" customWidth="1"/>
    <col min="10" max="16384" width="12.6328125" style="14"/>
  </cols>
  <sheetData>
    <row r="1" spans="1:109" ht="15">
      <c r="A1" s="13" t="s">
        <v>2</v>
      </c>
      <c r="B1" s="14"/>
      <c r="C1" s="15"/>
      <c r="D1" s="116" t="s">
        <v>11</v>
      </c>
      <c r="E1" s="15"/>
      <c r="F1" s="16"/>
      <c r="G1" s="15"/>
      <c r="H1" s="17"/>
      <c r="I1" s="15"/>
    </row>
    <row r="2" spans="1:109" ht="15">
      <c r="A2" s="15"/>
      <c r="B2" s="18"/>
      <c r="C2" s="15"/>
      <c r="D2" s="15"/>
      <c r="E2" s="15"/>
      <c r="F2" s="16"/>
      <c r="G2" s="15"/>
      <c r="H2" s="17"/>
      <c r="I2" s="15"/>
    </row>
    <row r="3" spans="1:109" ht="15">
      <c r="A3" s="19" t="s">
        <v>13</v>
      </c>
      <c r="B3" s="20" t="s">
        <v>11</v>
      </c>
      <c r="C3" s="15"/>
      <c r="D3" s="15"/>
      <c r="E3" s="15"/>
      <c r="F3" s="16"/>
      <c r="G3" s="15"/>
      <c r="H3" s="17"/>
      <c r="I3" s="15"/>
    </row>
    <row r="4" spans="1:109" ht="15">
      <c r="A4" s="15"/>
      <c r="B4" s="20"/>
      <c r="C4" s="15"/>
      <c r="D4" s="90" t="s">
        <v>286</v>
      </c>
      <c r="E4" s="90"/>
      <c r="F4" s="90" t="s">
        <v>287</v>
      </c>
      <c r="G4" s="90"/>
      <c r="H4" s="93"/>
      <c r="I4" s="92" t="s">
        <v>288</v>
      </c>
    </row>
    <row r="5" spans="1:109" ht="15">
      <c r="A5" s="18" t="str">
        <f>CHOOSE(WEEKDAY(B5),"Sunday","Monday","Tuesday","Wednesday","Thursday","Friday","Saturday")</f>
        <v>Sunday</v>
      </c>
      <c r="B5" s="21">
        <f>Weather_Input!A5</f>
        <v>37017</v>
      </c>
      <c r="C5" s="15"/>
      <c r="D5" s="22" t="s">
        <v>289</v>
      </c>
      <c r="E5" s="23">
        <f>Weather_Input!B5</f>
        <v>75</v>
      </c>
      <c r="F5" s="24" t="s">
        <v>290</v>
      </c>
      <c r="G5" s="25">
        <f>Weather_Input!H5</f>
        <v>0</v>
      </c>
      <c r="H5" s="26" t="s">
        <v>291</v>
      </c>
      <c r="I5" s="27">
        <f ca="1">G5-(VLOOKUP(B5,DD_Normal_Data,CELL("Col",B6),FALSE))</f>
        <v>-10</v>
      </c>
    </row>
    <row r="6" spans="1:109" ht="15">
      <c r="A6" s="18"/>
      <c r="B6" s="21"/>
      <c r="C6" s="15"/>
      <c r="D6" s="22" t="s">
        <v>176</v>
      </c>
      <c r="E6" s="23">
        <f>Weather_Input!C5</f>
        <v>62</v>
      </c>
      <c r="F6" s="24" t="s">
        <v>292</v>
      </c>
      <c r="G6" s="25">
        <f>Weather_Input!F5</f>
        <v>17</v>
      </c>
      <c r="H6" s="26" t="s">
        <v>293</v>
      </c>
      <c r="I6" s="27">
        <f ca="1">G6-(VLOOKUP(B5,DD_Normal_Data,CELL("Col",C7),FALSE))</f>
        <v>-47</v>
      </c>
      <c r="J6" s="28"/>
      <c r="DE6" s="14" t="s">
        <v>16</v>
      </c>
    </row>
    <row r="7" spans="1:109" ht="15">
      <c r="A7" s="18"/>
      <c r="B7" s="21"/>
      <c r="C7" s="15"/>
      <c r="D7" s="22" t="s">
        <v>294</v>
      </c>
      <c r="E7" s="29">
        <f>IF(Weather_Input!E5="N/A",(Weather_Input!C5+Weather_Input!B5)/2,Weather_Input!E5)</f>
        <v>68.5</v>
      </c>
      <c r="F7" s="24" t="s">
        <v>295</v>
      </c>
      <c r="G7" s="25">
        <f>Weather_Input!G5</f>
        <v>6424</v>
      </c>
      <c r="H7" s="26" t="s">
        <v>295</v>
      </c>
      <c r="I7" s="123">
        <f ca="1">G7-(VLOOKUP(B5,DD_Normal_Data,CELL("Col",D4),FALSE))</f>
        <v>209</v>
      </c>
      <c r="J7" s="123"/>
    </row>
    <row r="8" spans="1:109" ht="15">
      <c r="A8" s="18"/>
      <c r="B8" s="20"/>
      <c r="C8" s="15"/>
      <c r="D8" s="32" t="str">
        <f>IF(Weather_Input!I5=""," ",Weather_Input!I5)</f>
        <v>PARTLY CLOUDY. A CHANCE OF RAIN AND T'STORMS DURING THE NIGHT.</v>
      </c>
      <c r="E8" s="31"/>
      <c r="F8" s="23"/>
      <c r="G8" s="25"/>
      <c r="H8" s="26"/>
      <c r="I8" s="27"/>
    </row>
    <row r="9" spans="1:109" ht="15">
      <c r="A9" s="18"/>
      <c r="B9" s="21"/>
      <c r="C9" s="15"/>
      <c r="D9" s="32" t="str">
        <f>IF(Weather_Input!J5=""," ",Weather_Input!J5)</f>
        <v xml:space="preserve"> </v>
      </c>
      <c r="E9" s="33"/>
      <c r="F9" s="25"/>
      <c r="G9" s="25"/>
      <c r="H9" s="26"/>
      <c r="I9" s="27"/>
    </row>
    <row r="10" spans="1:109" ht="15">
      <c r="A10" s="18" t="str">
        <f>CHOOSE(WEEKDAY(B10),"Sunday","Monday","Tuesday","Wednesday","Thursday","Friday","Saturday")</f>
        <v>Monday</v>
      </c>
      <c r="B10" s="21">
        <f>Weather_Input!A6</f>
        <v>37018</v>
      </c>
      <c r="C10" s="15"/>
      <c r="D10" s="153" t="s">
        <v>289</v>
      </c>
      <c r="E10" s="23">
        <f>Weather_Input!B6</f>
        <v>72</v>
      </c>
      <c r="F10" s="24" t="s">
        <v>290</v>
      </c>
      <c r="G10" s="25">
        <f>IF(E12&lt;65,65-(Weather_Input!B6+Weather_Input!C6)/2,0)</f>
        <v>3.5</v>
      </c>
      <c r="H10" s="26" t="s">
        <v>291</v>
      </c>
      <c r="I10" s="27">
        <f ca="1">G10-(VLOOKUP(B10,DD_Normal_Data,CELL("Col",B11),FALSE))</f>
        <v>-5.5</v>
      </c>
    </row>
    <row r="11" spans="1:109" ht="15">
      <c r="A11" s="18"/>
      <c r="B11" s="21"/>
      <c r="C11" s="15"/>
      <c r="D11" s="22" t="s">
        <v>176</v>
      </c>
      <c r="E11" s="23">
        <f>Weather_Input!C6</f>
        <v>51</v>
      </c>
      <c r="F11" s="24" t="s">
        <v>292</v>
      </c>
      <c r="G11" s="25">
        <f>IF(DAY(B10)=1,G10,G6+G10)</f>
        <v>20.5</v>
      </c>
      <c r="H11" s="30" t="s">
        <v>293</v>
      </c>
      <c r="I11" s="27">
        <f ca="1">G11-(VLOOKUP(B10,DD_Normal_Data,CELL("Col",C12),FALSE))</f>
        <v>-52.5</v>
      </c>
      <c r="DE11" s="14" t="s">
        <v>296</v>
      </c>
    </row>
    <row r="12" spans="1:109" ht="15">
      <c r="A12" s="18"/>
      <c r="B12" s="20"/>
      <c r="C12" s="15"/>
      <c r="D12" s="22" t="s">
        <v>294</v>
      </c>
      <c r="E12" s="23">
        <f>(Weather_Input!C6+Weather_Input!B6)/2</f>
        <v>61.5</v>
      </c>
      <c r="F12" s="24" t="s">
        <v>295</v>
      </c>
      <c r="G12" s="25">
        <f>IF(AND(DAY(B10)=1,MONTH(B10)=8),G10,G7+G10)</f>
        <v>6427.5</v>
      </c>
      <c r="H12" s="26" t="s">
        <v>295</v>
      </c>
      <c r="I12" s="27">
        <f ca="1">G12-(VLOOKUP(B10,DD_Normal_Data,CELL("Col",D9),FALSE))</f>
        <v>203.5</v>
      </c>
    </row>
    <row r="13" spans="1:109" ht="15">
      <c r="A13" s="18"/>
      <c r="B13" s="21"/>
      <c r="C13" s="15"/>
      <c r="D13" s="32" t="str">
        <f>IF(Weather_Input!I6=""," ",Weather_Input!I6)</f>
        <v>A CHANCE OF SHOWERS AND T'STORMS.</v>
      </c>
      <c r="E13" s="23"/>
      <c r="F13" s="23"/>
      <c r="G13" s="25"/>
      <c r="H13" s="26"/>
      <c r="I13" s="27"/>
    </row>
    <row r="14" spans="1:109" ht="15">
      <c r="A14" s="18"/>
      <c r="B14" s="21"/>
      <c r="C14" s="15"/>
      <c r="D14" s="32" t="str">
        <f>IF(Weather_Input!J6=""," ",Weather_Input!J6)</f>
        <v xml:space="preserve"> </v>
      </c>
      <c r="E14" s="23"/>
      <c r="F14" s="25"/>
      <c r="G14" s="25"/>
      <c r="H14" s="26"/>
      <c r="I14" s="27"/>
    </row>
    <row r="15" spans="1:109" ht="15">
      <c r="A15" s="18" t="str">
        <f>CHOOSE(WEEKDAY(B15),"Sunday","Monday","Tuesday","Wednesday","Thursday","Friday","Saturday")</f>
        <v>Tuesday</v>
      </c>
      <c r="B15" s="21">
        <f>Weather_Input!A7</f>
        <v>37019</v>
      </c>
      <c r="C15" s="15"/>
      <c r="D15" s="22" t="s">
        <v>289</v>
      </c>
      <c r="E15" s="23">
        <f>Weather_Input!B7</f>
        <v>65</v>
      </c>
      <c r="F15" s="24" t="s">
        <v>290</v>
      </c>
      <c r="G15" s="25">
        <f>IF(E17&lt;65,65-(Weather_Input!B7+Weather_Input!C7)/2,0)</f>
        <v>10</v>
      </c>
      <c r="H15" s="26" t="s">
        <v>291</v>
      </c>
      <c r="I15" s="27">
        <f ca="1">G15-(VLOOKUP(B15,DD_Normal_Data,CELL("Col",B16),FALSE))</f>
        <v>1</v>
      </c>
    </row>
    <row r="16" spans="1:109" ht="15">
      <c r="A16" s="18"/>
      <c r="B16" s="20"/>
      <c r="C16" s="15"/>
      <c r="D16" s="22" t="s">
        <v>176</v>
      </c>
      <c r="E16" s="23">
        <f>Weather_Input!C7</f>
        <v>45</v>
      </c>
      <c r="F16" s="24" t="s">
        <v>292</v>
      </c>
      <c r="G16" s="25">
        <f>IF(DAY(B15)=1,G15,G11+G15)</f>
        <v>30.5</v>
      </c>
      <c r="H16" s="30" t="s">
        <v>293</v>
      </c>
      <c r="I16" s="27">
        <f ca="1">G16-(VLOOKUP(B15,DD_Normal_Data,CELL("Col",C17),FALSE))</f>
        <v>-51.5</v>
      </c>
      <c r="DE16" s="14" t="s">
        <v>34</v>
      </c>
    </row>
    <row r="17" spans="1:109" ht="15">
      <c r="A17" s="18"/>
      <c r="B17" s="21"/>
      <c r="C17" s="15"/>
      <c r="D17" s="22" t="s">
        <v>294</v>
      </c>
      <c r="E17" s="23">
        <f>(Weather_Input!C7+Weather_Input!B7)/2</f>
        <v>55</v>
      </c>
      <c r="F17" s="24" t="s">
        <v>295</v>
      </c>
      <c r="G17" s="25">
        <f>IF(AND(DAY(B15)=1,MONTH(B15)=8),G15,G12+G15)</f>
        <v>6437.5</v>
      </c>
      <c r="H17" s="26" t="s">
        <v>295</v>
      </c>
      <c r="I17" s="27">
        <f ca="1">G17-(VLOOKUP(B15,DD_Normal_Data,CELL("Col",D14),FALSE))</f>
        <v>204.5</v>
      </c>
    </row>
    <row r="18" spans="1:109" ht="15">
      <c r="A18" s="18"/>
      <c r="B18" s="20"/>
      <c r="C18" s="15"/>
      <c r="D18" s="32" t="str">
        <f>IF(Weather_Input!I7=""," ",Weather_Input!I7)</f>
        <v>A CHANCE OF SHOWERS AND T'STORMS.</v>
      </c>
      <c r="E18" s="23"/>
      <c r="F18" s="23"/>
      <c r="G18" s="25"/>
      <c r="H18" s="26"/>
      <c r="I18" s="27"/>
    </row>
    <row r="19" spans="1:109" ht="15">
      <c r="A19" s="18"/>
      <c r="B19" s="21"/>
      <c r="C19" s="15"/>
      <c r="D19" s="32" t="str">
        <f>IF(Weather_Input!J7=""," ",Weather_Input!J7)</f>
        <v xml:space="preserve"> </v>
      </c>
      <c r="E19" s="23"/>
      <c r="F19" s="23"/>
      <c r="G19" s="25"/>
      <c r="H19" s="26"/>
      <c r="I19" s="27"/>
    </row>
    <row r="20" spans="1:109" ht="15">
      <c r="A20" s="18" t="str">
        <f>CHOOSE(WEEKDAY(B20),"Sunday","Monday","Tuesday","Wednesday","Thursday","Friday","Saturday")</f>
        <v>Wednesday</v>
      </c>
      <c r="B20" s="21">
        <f>Weather_Input!A8</f>
        <v>37020</v>
      </c>
      <c r="C20" s="15"/>
      <c r="D20" s="22" t="s">
        <v>289</v>
      </c>
      <c r="E20" s="23">
        <f>Weather_Input!B8</f>
        <v>62</v>
      </c>
      <c r="F20" s="24" t="s">
        <v>290</v>
      </c>
      <c r="G20" s="25">
        <f>IF(E22&lt;65,65-(Weather_Input!B8+Weather_Input!C8)/2,0)</f>
        <v>9.5</v>
      </c>
      <c r="H20" s="26" t="s">
        <v>291</v>
      </c>
      <c r="I20" s="27">
        <f ca="1">G20-(VLOOKUP(B20,DD_Normal_Data,CELL("Col",B21),FALSE))</f>
        <v>0.5</v>
      </c>
    </row>
    <row r="21" spans="1:109" ht="15">
      <c r="A21" s="18"/>
      <c r="B21" s="21"/>
      <c r="C21" s="15"/>
      <c r="D21" s="22" t="s">
        <v>176</v>
      </c>
      <c r="E21" s="23">
        <f>Weather_Input!C8</f>
        <v>49</v>
      </c>
      <c r="F21" s="24" t="s">
        <v>292</v>
      </c>
      <c r="G21" s="25">
        <f>IF(DAY(B20)=1,G20,G16+G20)</f>
        <v>40</v>
      </c>
      <c r="H21" s="30" t="s">
        <v>293</v>
      </c>
      <c r="I21" s="27">
        <f ca="1">G21-(VLOOKUP(B20,DD_Normal_Data,CELL("Col",C22),FALSE))</f>
        <v>-51</v>
      </c>
      <c r="DE21" s="14" t="s">
        <v>297</v>
      </c>
    </row>
    <row r="22" spans="1:109" ht="15">
      <c r="A22" s="18"/>
      <c r="B22" s="21"/>
      <c r="C22" s="15"/>
      <c r="D22" s="22" t="s">
        <v>294</v>
      </c>
      <c r="E22" s="23">
        <f>(Weather_Input!C8+Weather_Input!B8)/2</f>
        <v>55.5</v>
      </c>
      <c r="F22" s="24" t="s">
        <v>295</v>
      </c>
      <c r="G22" s="25">
        <f>IF(AND(DAY(B20)=1,MONTH(B20)=8),G20,G17+G20)</f>
        <v>6447</v>
      </c>
      <c r="H22" s="26" t="s">
        <v>295</v>
      </c>
      <c r="I22" s="27">
        <f ca="1">G22-(VLOOKUP(B20,DD_Normal_Data,CELL("Col",D19),FALSE))</f>
        <v>205</v>
      </c>
    </row>
    <row r="23" spans="1:109" ht="15">
      <c r="A23" s="18"/>
      <c r="B23" s="21"/>
      <c r="C23" s="15"/>
      <c r="D23" s="32" t="str">
        <f>IF(Weather_Input!I8=""," ",Weather_Input!I8)</f>
        <v>A CHANCE OF SHOWERS AND T'STORMS.</v>
      </c>
      <c r="E23" s="25"/>
      <c r="F23" s="23"/>
      <c r="G23" s="25"/>
      <c r="H23" s="26"/>
      <c r="I23" s="27"/>
    </row>
    <row r="24" spans="1:109" ht="15">
      <c r="A24" s="18"/>
      <c r="B24" s="20"/>
      <c r="C24" s="15"/>
      <c r="D24" s="32" t="str">
        <f>IF(Weather_Input!J8=""," ",Weather_Input!J8)</f>
        <v xml:space="preserve"> </v>
      </c>
      <c r="E24" s="25"/>
      <c r="F24" s="23"/>
      <c r="G24" s="25"/>
      <c r="H24" s="26"/>
      <c r="I24" s="27"/>
    </row>
    <row r="25" spans="1:109" ht="15">
      <c r="A25" s="18" t="str">
        <f>CHOOSE(WEEKDAY(B25),"Sunday","Monday","Tuesday","Wednesday","Thursday","Friday","Saturday")</f>
        <v>Thursday</v>
      </c>
      <c r="B25" s="21">
        <f>Weather_Input!A9</f>
        <v>37021</v>
      </c>
      <c r="C25" s="15"/>
      <c r="D25" s="22" t="s">
        <v>289</v>
      </c>
      <c r="E25" s="23">
        <f>Weather_Input!B9</f>
        <v>69</v>
      </c>
      <c r="F25" s="24" t="s">
        <v>290</v>
      </c>
      <c r="G25" s="25">
        <f>IF(E27&lt;65,65-(Weather_Input!B9+Weather_Input!C9)/2,0)</f>
        <v>3.5</v>
      </c>
      <c r="H25" s="26" t="s">
        <v>291</v>
      </c>
      <c r="I25" s="27">
        <f ca="1">G25-(VLOOKUP(B25,DD_Normal_Data,CELL("Col",B26),FALSE))</f>
        <v>-4.5</v>
      </c>
    </row>
    <row r="26" spans="1:109" ht="15">
      <c r="A26" s="18"/>
      <c r="B26" s="21"/>
      <c r="C26" s="15"/>
      <c r="D26" s="22" t="s">
        <v>176</v>
      </c>
      <c r="E26" s="23">
        <f>Weather_Input!C9</f>
        <v>54</v>
      </c>
      <c r="F26" s="24" t="s">
        <v>292</v>
      </c>
      <c r="G26" s="25">
        <f>IF(DAY(B25)=1,G25,G21+G25)</f>
        <v>43.5</v>
      </c>
      <c r="H26" s="30" t="s">
        <v>293</v>
      </c>
      <c r="I26" s="27">
        <f ca="1">G26-(VLOOKUP(B25,DD_Normal_Data,CELL("Col",C27),FALSE))</f>
        <v>-55.5</v>
      </c>
      <c r="DE26" s="14" t="s">
        <v>298</v>
      </c>
    </row>
    <row r="27" spans="1:109" ht="15">
      <c r="A27" s="18"/>
      <c r="B27" s="20"/>
      <c r="C27" s="15"/>
      <c r="D27" s="22" t="s">
        <v>294</v>
      </c>
      <c r="E27" s="23">
        <f>(Weather_Input!C9+Weather_Input!B9)/2</f>
        <v>61.5</v>
      </c>
      <c r="F27" s="24" t="s">
        <v>295</v>
      </c>
      <c r="G27" s="25">
        <f>IF(AND(DAY(B25)=1,MONTH(B25)=8),G25,G22+G25)</f>
        <v>6450.5</v>
      </c>
      <c r="H27" s="26" t="s">
        <v>295</v>
      </c>
      <c r="I27" s="27">
        <f ca="1">G27-(VLOOKUP(B25,DD_Normal_Data,CELL("Col",D24),FALSE))</f>
        <v>200.5</v>
      </c>
    </row>
    <row r="28" spans="1:109" ht="15">
      <c r="A28" s="18"/>
      <c r="B28" s="20"/>
      <c r="C28" s="15"/>
      <c r="D28" s="32" t="str">
        <f>IF(Weather_Input!I9=""," ",Weather_Input!I9)</f>
        <v>A CHANCE OF SHOWERS AND T'STORMS.</v>
      </c>
      <c r="E28" s="25"/>
      <c r="F28" s="23"/>
      <c r="G28" s="25"/>
      <c r="H28" s="26"/>
      <c r="I28" s="27"/>
    </row>
    <row r="29" spans="1:109" ht="15">
      <c r="A29" s="18"/>
      <c r="B29" s="20"/>
      <c r="C29" s="15"/>
      <c r="D29" s="32" t="str">
        <f>IF(Weather_Input!J9=""," ",Weather_Input!J9)</f>
        <v xml:space="preserve"> </v>
      </c>
      <c r="E29" s="25"/>
      <c r="F29" s="25"/>
      <c r="G29" s="25"/>
      <c r="H29" s="26"/>
      <c r="I29" s="27"/>
    </row>
    <row r="30" spans="1:109" ht="15">
      <c r="A30" s="18" t="str">
        <f>CHOOSE(WEEKDAY(B30),"Sunday","Monday","Tuesday","Wednesday","Thursday","Friday","Saturday")</f>
        <v>Friday</v>
      </c>
      <c r="B30" s="21">
        <f>Weather_Input!A10</f>
        <v>37022</v>
      </c>
      <c r="C30" s="15"/>
      <c r="D30" s="22" t="s">
        <v>289</v>
      </c>
      <c r="E30" s="23">
        <f>Weather_Input!B10</f>
        <v>69</v>
      </c>
      <c r="F30" s="24" t="s">
        <v>290</v>
      </c>
      <c r="G30" s="25">
        <f>IF(E32&lt;65,65-(Weather_Input!B10+Weather_Input!C10)/2,0)</f>
        <v>3.5</v>
      </c>
      <c r="H30" s="26" t="s">
        <v>291</v>
      </c>
      <c r="I30" s="27">
        <f ca="1">G30-(VLOOKUP(B30,DD_Normal_Data,CELL("Col",B31),FALSE))</f>
        <v>-4.5</v>
      </c>
    </row>
    <row r="31" spans="1:109" ht="15">
      <c r="A31" s="15"/>
      <c r="B31" s="15"/>
      <c r="C31" s="15"/>
      <c r="D31" s="22" t="s">
        <v>176</v>
      </c>
      <c r="E31" s="23">
        <f>Weather_Input!C10</f>
        <v>54</v>
      </c>
      <c r="F31" s="24" t="s">
        <v>292</v>
      </c>
      <c r="G31" s="25">
        <f>IF(DAY(B30)=1,G30,G26+G30)</f>
        <v>47</v>
      </c>
      <c r="H31" s="30" t="s">
        <v>293</v>
      </c>
      <c r="I31" s="27">
        <f ca="1">G31-(VLOOKUP(B30,DD_Normal_Data,CELL("Col",C32),FALSE))</f>
        <v>-60</v>
      </c>
      <c r="DE31" s="14" t="s">
        <v>33</v>
      </c>
    </row>
    <row r="32" spans="1:109" ht="15">
      <c r="A32" s="15"/>
      <c r="B32" s="15"/>
      <c r="C32" s="15"/>
      <c r="D32" s="22" t="s">
        <v>294</v>
      </c>
      <c r="E32" s="23">
        <f>(Weather_Input!C10+Weather_Input!B10)/2</f>
        <v>61.5</v>
      </c>
      <c r="F32" s="24" t="s">
        <v>295</v>
      </c>
      <c r="G32" s="25">
        <f>IF(AND(DAY(B30)=1,MONTH(B30)=8),G30,G27+G30)</f>
        <v>6454</v>
      </c>
      <c r="H32" s="26" t="s">
        <v>295</v>
      </c>
      <c r="I32" s="27">
        <f ca="1">G32-(VLOOKUP(B30,DD_Normal_Data,CELL("Col",D29),FALSE))</f>
        <v>196</v>
      </c>
    </row>
    <row r="33" spans="1:9" ht="15">
      <c r="A33" s="15"/>
      <c r="B33" s="34"/>
      <c r="C33" s="15"/>
      <c r="D33" s="32" t="str">
        <f>IF(Weather_Input!I10=""," ",Weather_Input!I10)</f>
        <v>A CHANCE OF SHOWERS AND T'STORMS.</v>
      </c>
      <c r="E33" s="15"/>
      <c r="F33" s="35"/>
      <c r="G33" s="15"/>
      <c r="H33" s="17"/>
      <c r="I33" s="15"/>
    </row>
    <row r="34" spans="1:9" thickBot="1">
      <c r="A34" s="36"/>
      <c r="B34" s="37"/>
      <c r="C34" s="36"/>
      <c r="D34" s="151" t="str">
        <f>IF(Weather_Input!J10=""," ",Weather_Input!J10)</f>
        <v xml:space="preserve"> </v>
      </c>
      <c r="E34" s="36"/>
      <c r="F34" s="38"/>
      <c r="G34" s="36"/>
      <c r="H34" s="39"/>
      <c r="I34" s="37"/>
    </row>
    <row r="35" spans="1:9" ht="15">
      <c r="A35" s="19" t="s">
        <v>299</v>
      </c>
      <c r="B35" s="18" t="s">
        <v>163</v>
      </c>
      <c r="C35" s="15"/>
      <c r="D35" s="15"/>
      <c r="E35" s="15"/>
      <c r="F35" s="16"/>
      <c r="G35" s="40"/>
      <c r="H35" s="40"/>
      <c r="I35" s="15"/>
    </row>
    <row r="36" spans="1:9" ht="15">
      <c r="A36" s="84" t="s">
        <v>55</v>
      </c>
      <c r="B36" s="91">
        <f>B5</f>
        <v>37017</v>
      </c>
      <c r="C36" s="91">
        <f>B10</f>
        <v>37018</v>
      </c>
      <c r="D36" s="91">
        <f>B15</f>
        <v>37019</v>
      </c>
      <c r="E36" s="91">
        <f xml:space="preserve">       B20</f>
        <v>37020</v>
      </c>
      <c r="F36" s="91">
        <f>B25</f>
        <v>37021</v>
      </c>
      <c r="G36" s="91">
        <f>B30</f>
        <v>37022</v>
      </c>
      <c r="H36" s="14"/>
      <c r="I36" s="15"/>
    </row>
    <row r="37" spans="1:9" ht="15">
      <c r="A37" s="15" t="s">
        <v>56</v>
      </c>
      <c r="B37" s="41">
        <f ca="1">(VLOOKUP(B36,PGL_Sendouts,(CELL("COL",PGL_Deliveries!C6))))/1000</f>
        <v>230</v>
      </c>
      <c r="C37" s="41">
        <f ca="1">(VLOOKUP(C36,PGL_Sendouts,(CELL("COL",PGL_Deliveries!C7))))/1000</f>
        <v>255</v>
      </c>
      <c r="D37" s="41">
        <f ca="1">(VLOOKUP(D36,PGL_Sendouts,(CELL("COL",PGL_Deliveries!C8))))/1000</f>
        <v>290</v>
      </c>
      <c r="E37" s="41">
        <f ca="1">(VLOOKUP(E36,PGL_Sendouts,(CELL("COL",PGL_Deliveries!C9))))/1000</f>
        <v>285</v>
      </c>
      <c r="F37" s="41">
        <f ca="1">(VLOOKUP(F36,PGL_Sendouts,(CELL("COL",PGL_Deliveries!C10))))/1000</f>
        <v>255</v>
      </c>
      <c r="G37" s="41">
        <f ca="1">(VLOOKUP(G36,PGL_Sendouts,(CELL("COL",PGL_Deliveries!C10))))/1000</f>
        <v>235</v>
      </c>
      <c r="H37" s="14"/>
      <c r="I37" s="15"/>
    </row>
    <row r="38" spans="1:9" ht="15">
      <c r="A38" s="15" t="s">
        <v>300</v>
      </c>
      <c r="B38" s="41">
        <f>PGL_6_Day_Report!D30</f>
        <v>485.435</v>
      </c>
      <c r="C38" s="41">
        <f>PGL_6_Day_Report!E30</f>
        <v>458.08</v>
      </c>
      <c r="D38" s="41">
        <f>PGL_6_Day_Report!F30</f>
        <v>483.08</v>
      </c>
      <c r="E38" s="41">
        <f>PGL_6_Day_Report!G30</f>
        <v>478.08</v>
      </c>
      <c r="F38" s="41">
        <f>PGL_6_Day_Report!H30</f>
        <v>448.08</v>
      </c>
      <c r="G38" s="41">
        <f>PGL_6_Day_Report!I30</f>
        <v>428.08</v>
      </c>
      <c r="H38" s="14"/>
      <c r="I38" s="15"/>
    </row>
    <row r="39" spans="1:9" ht="15">
      <c r="A39" s="42" t="s">
        <v>109</v>
      </c>
      <c r="B39" s="41">
        <f>SUM(PGL_Supplies!Z7:AE7)/1000</f>
        <v>284.11900000000003</v>
      </c>
      <c r="C39" s="41">
        <f>SUM(PGL_Supplies!Z8:AE8)/1000</f>
        <v>284.11900000000003</v>
      </c>
      <c r="D39" s="41">
        <f>SUM(PGL_Supplies!Z9:AE9)/1000</f>
        <v>340.11900000000003</v>
      </c>
      <c r="E39" s="41">
        <f>SUM(PGL_Supplies!Z10:AE10)/1000</f>
        <v>340.11900000000003</v>
      </c>
      <c r="F39" s="41">
        <f>SUM(PGL_Supplies!Z11:AE11)/1000</f>
        <v>340.11900000000003</v>
      </c>
      <c r="G39" s="41">
        <f>SUM(PGL_Supplies!Z12:AE12)/1000</f>
        <v>340.11900000000003</v>
      </c>
      <c r="H39" s="14"/>
      <c r="I39" s="15"/>
    </row>
    <row r="40" spans="1:9" ht="15">
      <c r="A40" s="42" t="s">
        <v>301</v>
      </c>
      <c r="B40" s="41">
        <f>(PGL_Supplies!N7+PGL_Supplies!O7+PGL_Supplies!P7+PGL_Supplies!R7+PGL_Supplies!S7)/1000</f>
        <v>0</v>
      </c>
      <c r="C40" s="41">
        <f>(PGL_Supplies!N8+PGL_Supplies!O8+PGL_Supplies!P8+PGL_Supplies!R8+PGL_Supplies!S8)/1000</f>
        <v>0</v>
      </c>
      <c r="D40" s="41">
        <f>(PGL_Supplies!N9+PGL_Supplies!O9+PGL_Supplies!P9+PGL_Supplies!R9+PGL_Supplies!S9)/1000</f>
        <v>0</v>
      </c>
      <c r="E40" s="41">
        <f>(PGL_Supplies!N10+PGL_Supplies!O10+PGL_Supplies!P10+PGL_Supplies!R10+PGL_Supplies!S10)/1000</f>
        <v>0</v>
      </c>
      <c r="F40" s="41">
        <f>(PGL_Supplies!N11+PGL_Supplies!O11+PGL_Supplies!P11+PGL_Supplies!R11+PGL_Supplies!S11)/1000</f>
        <v>0</v>
      </c>
      <c r="G40" s="41">
        <f>(PGL_Supplies!N12+PGL_Supplies!O12+PGL_Supplies!P12+PGL_Supplies!R12+PGL_Supplies!S12)/1000</f>
        <v>0</v>
      </c>
      <c r="H40" s="14"/>
      <c r="I40" s="15"/>
    </row>
    <row r="41" spans="1:9" ht="15">
      <c r="A41" s="45" t="s">
        <v>302</v>
      </c>
      <c r="B41" s="41">
        <f>SUM(PGL_Requirements!R7:U7)/1000</f>
        <v>40.83</v>
      </c>
      <c r="C41" s="41">
        <f>SUM(PGL_Requirements!R7:U7)/1000</f>
        <v>40.83</v>
      </c>
      <c r="D41" s="41">
        <f>SUM(PGL_Requirements!R7:U7)/1000</f>
        <v>40.83</v>
      </c>
      <c r="E41" s="41">
        <f>SUM(PGL_Requirements!R7:U7)/1000</f>
        <v>40.83</v>
      </c>
      <c r="F41" s="41">
        <f>SUM(PGL_Requirements!R7:U7)/1000</f>
        <v>40.83</v>
      </c>
      <c r="G41" s="41">
        <f>SUM(PGL_Requirements!R7:U7)/1000</f>
        <v>40.83</v>
      </c>
      <c r="H41" s="14"/>
      <c r="I41" s="15"/>
    </row>
    <row r="42" spans="1:9" ht="15">
      <c r="A42" s="15" t="s">
        <v>132</v>
      </c>
      <c r="B42" s="41">
        <f>PGL_Supplies!V7/1000</f>
        <v>177.744</v>
      </c>
      <c r="C42" s="41">
        <f>PGL_Supplies!V8/1000</f>
        <v>177.744</v>
      </c>
      <c r="D42" s="41">
        <f>PGL_Supplies!V9/1000</f>
        <v>177.744</v>
      </c>
      <c r="E42" s="41">
        <f>PGL_Supplies!V10/1000</f>
        <v>177.744</v>
      </c>
      <c r="F42" s="41">
        <f>PGL_Supplies!V11/1000</f>
        <v>177.744</v>
      </c>
      <c r="G42" s="41">
        <f>PGL_Supplies!V12/1000</f>
        <v>177.744</v>
      </c>
      <c r="H42" s="14"/>
      <c r="I42" s="15"/>
    </row>
    <row r="43" spans="1:9" ht="15">
      <c r="B43" s="43"/>
      <c r="C43" s="43"/>
      <c r="D43" s="43"/>
      <c r="E43" s="44"/>
      <c r="F43" s="43"/>
      <c r="G43" s="43"/>
      <c r="H43" s="14"/>
      <c r="I43" s="15"/>
    </row>
    <row r="44" spans="1:9" ht="15">
      <c r="A44" s="84" t="s">
        <v>83</v>
      </c>
      <c r="B44" s="91">
        <f t="shared" ref="B44:G44" si="0">B36</f>
        <v>37017</v>
      </c>
      <c r="C44" s="91">
        <f t="shared" si="0"/>
        <v>37018</v>
      </c>
      <c r="D44" s="91">
        <f t="shared" si="0"/>
        <v>37019</v>
      </c>
      <c r="E44" s="91">
        <f t="shared" si="0"/>
        <v>37020</v>
      </c>
      <c r="F44" s="91">
        <f t="shared" si="0"/>
        <v>37021</v>
      </c>
      <c r="G44" s="91">
        <f t="shared" si="0"/>
        <v>37022</v>
      </c>
      <c r="H44" s="14"/>
      <c r="I44" s="15"/>
    </row>
    <row r="45" spans="1:9" ht="15">
      <c r="A45" s="15" t="s">
        <v>56</v>
      </c>
      <c r="B45" s="41">
        <f ca="1">NSG_6_Day_Report!D6</f>
        <v>44</v>
      </c>
      <c r="C45" s="41">
        <f ca="1">NSG_6_Day_Report!E6</f>
        <v>48</v>
      </c>
      <c r="D45" s="41">
        <f ca="1">NSG_6_Day_Report!F6</f>
        <v>55</v>
      </c>
      <c r="E45" s="41">
        <f ca="1">NSG_6_Day_Report!G6</f>
        <v>54</v>
      </c>
      <c r="F45" s="41">
        <f ca="1">NSG_6_Day_Report!H6</f>
        <v>48</v>
      </c>
      <c r="G45" s="41">
        <f ca="1">NSG_6_Day_Report!I6</f>
        <v>45</v>
      </c>
      <c r="H45" s="14"/>
      <c r="I45" s="15"/>
    </row>
    <row r="46" spans="1:9" ht="15">
      <c r="A46" s="42" t="s">
        <v>300</v>
      </c>
      <c r="B46" s="41">
        <f ca="1">NSG_6_Day_Report!D19</f>
        <v>64</v>
      </c>
      <c r="C46" s="41">
        <f ca="1">NSG_6_Day_Report!E19</f>
        <v>68</v>
      </c>
      <c r="D46" s="41">
        <f ca="1">NSG_6_Day_Report!F19</f>
        <v>75</v>
      </c>
      <c r="E46" s="41">
        <f ca="1">NSG_6_Day_Report!G19</f>
        <v>74</v>
      </c>
      <c r="F46" s="41">
        <f ca="1">NSG_6_Day_Report!H19</f>
        <v>68</v>
      </c>
      <c r="G46" s="41">
        <f ca="1">NSG_6_Day_Report!I19</f>
        <v>65</v>
      </c>
      <c r="H46" s="14"/>
      <c r="I46" s="15"/>
    </row>
    <row r="47" spans="1:9" ht="15">
      <c r="A47" s="42" t="s">
        <v>109</v>
      </c>
      <c r="B47" s="41">
        <f>SUM(NSG_Supplies!P7:R7)/1000</f>
        <v>51.536000000000001</v>
      </c>
      <c r="C47" s="41">
        <f>SUM(NSG_Supplies!P8:R8)/1000</f>
        <v>51.536000000000001</v>
      </c>
      <c r="D47" s="41">
        <f>SUM(NSG_Supplies!P9:R9)/1000</f>
        <v>51.536000000000001</v>
      </c>
      <c r="E47" s="41">
        <f>SUM(NSG_Supplies!P10:R10)/1000</f>
        <v>51.536000000000001</v>
      </c>
      <c r="F47" s="41">
        <f>SUM(NSG_Supplies!P11:R11)/1000</f>
        <v>51.536000000000001</v>
      </c>
      <c r="G47" s="41">
        <f>SUM(NSG_Supplies!P12:R12)/1000</f>
        <v>51.536000000000001</v>
      </c>
      <c r="H47" s="14"/>
      <c r="I47" s="15"/>
    </row>
    <row r="48" spans="1:9" ht="15">
      <c r="A48" s="42" t="s">
        <v>301</v>
      </c>
      <c r="B48" s="41">
        <f>SUM(NSG_Supplies!I7:M7)/1000</f>
        <v>0</v>
      </c>
      <c r="C48" s="41">
        <f>SUM(NSG_Supplies!I8:M8)/1000</f>
        <v>0</v>
      </c>
      <c r="D48" s="41">
        <f>SUM(NSG_Supplies!I9:M9)/1000</f>
        <v>0</v>
      </c>
      <c r="E48" s="41">
        <f>SUM(NSG_Supplies!I10:M10)/1000</f>
        <v>0</v>
      </c>
      <c r="F48" s="41">
        <f>SUM(NSG_Supplies!I11:M11)/1000</f>
        <v>0</v>
      </c>
      <c r="G48" s="41">
        <f>SUM(NSG_Supplies!I12:M12)/1000</f>
        <v>0</v>
      </c>
      <c r="H48" s="14"/>
      <c r="I48" s="15"/>
    </row>
    <row r="49" spans="1:9" ht="15">
      <c r="A49" s="45" t="s">
        <v>302</v>
      </c>
      <c r="B49" s="41">
        <f>SUM(NSG_Requirements!L7:R7)/1000</f>
        <v>0</v>
      </c>
      <c r="C49" s="41">
        <f>SUM(NSG_Requirements!L8:R8)/1000</f>
        <v>0</v>
      </c>
      <c r="D49" s="41">
        <f>SUM(NSG_Requirements!L9:R9)/1000</f>
        <v>0</v>
      </c>
      <c r="E49" s="41">
        <f>SUM(NSG_Requirements!L10:R10)/1000</f>
        <v>0</v>
      </c>
      <c r="F49" s="41">
        <f>SUM(NSG_Requirements!L11:R11)/1000</f>
        <v>0</v>
      </c>
      <c r="G49" s="41">
        <f>SUM(NSG_Requirements!L12:R12)/1000</f>
        <v>0</v>
      </c>
      <c r="H49" s="14"/>
      <c r="I49" s="15"/>
    </row>
    <row r="50" spans="1:9" ht="15">
      <c r="A50" s="15" t="s">
        <v>132</v>
      </c>
      <c r="B50" s="41">
        <f>NSG_Supplies!S7/1000</f>
        <v>20.591000000000001</v>
      </c>
      <c r="C50" s="41">
        <f>NSG_Supplies!S8/1000</f>
        <v>20.591000000000001</v>
      </c>
      <c r="D50" s="41">
        <f>NSG_Supplies!S9/1000</f>
        <v>20.591000000000001</v>
      </c>
      <c r="E50" s="41">
        <f>NSG_Supplies!S10/1000</f>
        <v>20.591000000000001</v>
      </c>
      <c r="F50" s="41">
        <f>NSG_Supplies!S11/1000</f>
        <v>20.591000000000001</v>
      </c>
      <c r="G50" s="41">
        <f>NSG_Supplies!S12/1000</f>
        <v>20.591000000000001</v>
      </c>
      <c r="H50" s="14"/>
      <c r="I50" s="15"/>
    </row>
    <row r="51" spans="1:9" ht="15">
      <c r="B51" s="43"/>
      <c r="C51" s="43"/>
      <c r="D51" s="43"/>
      <c r="E51" s="44"/>
      <c r="F51" s="43"/>
      <c r="G51" s="43"/>
      <c r="H51" s="14"/>
      <c r="I51" s="15"/>
    </row>
    <row r="52" spans="1:9" ht="15">
      <c r="A52" s="84" t="s">
        <v>303</v>
      </c>
      <c r="B52" s="91">
        <f t="shared" ref="B52:G52" si="1">B36</f>
        <v>37017</v>
      </c>
      <c r="C52" s="91">
        <f t="shared" si="1"/>
        <v>37018</v>
      </c>
      <c r="D52" s="91">
        <f t="shared" si="1"/>
        <v>37019</v>
      </c>
      <c r="E52" s="91">
        <f t="shared" si="1"/>
        <v>37020</v>
      </c>
      <c r="F52" s="91">
        <f t="shared" si="1"/>
        <v>37021</v>
      </c>
      <c r="G52" s="91">
        <f t="shared" si="1"/>
        <v>37022</v>
      </c>
      <c r="H52" s="14"/>
      <c r="I52" s="15"/>
    </row>
    <row r="53" spans="1:9" ht="15">
      <c r="A53" s="94" t="s">
        <v>304</v>
      </c>
      <c r="B53" s="41">
        <f>PGL_Requirements!P7/1000</f>
        <v>190</v>
      </c>
      <c r="C53" s="41">
        <f>PGL_Requirements!P8/1000</f>
        <v>150</v>
      </c>
      <c r="D53" s="41">
        <f>PGL_Requirements!P9/1000</f>
        <v>150</v>
      </c>
      <c r="E53" s="41">
        <f>PGL_Requirements!P10/1000</f>
        <v>150</v>
      </c>
      <c r="F53" s="41">
        <f>PGL_Requirements!P11/1000</f>
        <v>150</v>
      </c>
      <c r="G53" s="41">
        <f>PGL_Requirements!P12/1000</f>
        <v>150</v>
      </c>
      <c r="H53" s="14"/>
      <c r="I53" s="15"/>
    </row>
    <row r="54" spans="1:9" ht="15">
      <c r="A54" s="15" t="s">
        <v>305</v>
      </c>
      <c r="B54" s="41">
        <f>PGL_Supplies!M7/1000</f>
        <v>0</v>
      </c>
      <c r="C54" s="41">
        <f>PGL_Supplies!M8/1000</f>
        <v>0</v>
      </c>
      <c r="D54" s="41">
        <f>PGL_Supplies!M9/1000</f>
        <v>0</v>
      </c>
      <c r="E54" s="41">
        <f>PGL_Supplies!M10/1000</f>
        <v>0</v>
      </c>
      <c r="F54" s="41">
        <f>PGL_Supplies!M11/1000</f>
        <v>0</v>
      </c>
      <c r="G54" s="41">
        <f>PGL_Supplies!M12/1000</f>
        <v>0</v>
      </c>
      <c r="H54" s="14"/>
      <c r="I54" s="15"/>
    </row>
    <row r="56" spans="1:9">
      <c r="A56" s="1108" t="s">
        <v>737</v>
      </c>
    </row>
    <row r="57" spans="1:9">
      <c r="A57" s="158" t="s">
        <v>306</v>
      </c>
    </row>
    <row r="58" spans="1:9">
      <c r="A58" s="158" t="s">
        <v>307</v>
      </c>
      <c r="G58" s="159"/>
    </row>
    <row r="59" spans="1:9">
      <c r="A59" s="158" t="s">
        <v>308</v>
      </c>
    </row>
    <row r="60" spans="1:9">
      <c r="A60" s="158" t="s">
        <v>309</v>
      </c>
    </row>
  </sheetData>
  <customSheetViews>
    <customSheetView guid="{66C35B70-1DF5-11D4-B46C-0004ACEC7D4A}" scale="75" fitToPage="1" showRuler="0">
      <pageMargins left="0.8" right="0.25" top="0.25" bottom="0.25" header="0.5" footer="0.5"/>
      <pageSetup scale="10" orientation="portrait" horizontalDpi="4294967292" r:id="rId1"/>
      <headerFooter alignWithMargins="0">
        <oddFooter>&amp;R&amp;9Date Printed: &amp;D &amp;T</oddFooter>
      </headerFooter>
    </customSheetView>
  </customSheetViews>
  <pageMargins left="0.8" right="0.25" top="0.25" bottom="0.25" header="0.5" footer="0.5"/>
  <pageSetup scale="10" orientation="portrait" horizontalDpi="4294967292" r:id="rId2"/>
  <headerFooter alignWithMargins="0">
    <oddFooter>&amp;R&amp;9Date Printed: &amp;D &amp;T</oddFooter>
  </headerFooter>
  <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H37"/>
  <sheetViews>
    <sheetView zoomScale="75" workbookViewId="0"/>
  </sheetViews>
  <sheetFormatPr defaultRowHeight="15"/>
  <cols>
    <col min="1" max="1" width="15.81640625" customWidth="1"/>
    <col min="2" max="2" width="10.36328125" customWidth="1"/>
    <col min="3" max="4" width="10.1796875" customWidth="1"/>
    <col min="5" max="5" width="11" customWidth="1"/>
    <col min="6" max="6" width="10.81640625" customWidth="1"/>
  </cols>
  <sheetData>
    <row r="1" spans="1:8" ht="15.6">
      <c r="A1" s="460" t="s">
        <v>11</v>
      </c>
      <c r="B1" s="97"/>
      <c r="C1" s="97" t="s">
        <v>11</v>
      </c>
      <c r="D1" s="97"/>
      <c r="E1" s="97"/>
      <c r="F1" s="6"/>
    </row>
    <row r="2" spans="1:8" ht="15.6">
      <c r="A2" t="s">
        <v>11</v>
      </c>
      <c r="C2" s="96"/>
      <c r="D2" s="96"/>
      <c r="E2" s="96"/>
      <c r="F2" s="1140"/>
    </row>
    <row r="3" spans="1:8" ht="16.2" thickBot="1">
      <c r="A3" s="98" t="s">
        <v>310</v>
      </c>
    </row>
    <row r="4" spans="1:8">
      <c r="A4" s="99"/>
      <c r="B4" s="1141" t="str">
        <f>Six_Day_Summary!A10</f>
        <v>Monday</v>
      </c>
      <c r="C4" s="1142" t="str">
        <f>Six_Day_Summary!A15</f>
        <v>Tuesday</v>
      </c>
      <c r="D4" s="1142" t="str">
        <f>Six_Day_Summary!A20</f>
        <v>Wednesday</v>
      </c>
      <c r="E4" s="1142" t="str">
        <f>Six_Day_Summary!A25</f>
        <v>Thursday</v>
      </c>
      <c r="F4" s="1143" t="str">
        <f>Six_Day_Summary!A30</f>
        <v>Friday</v>
      </c>
      <c r="G4" s="100"/>
    </row>
    <row r="5" spans="1:8">
      <c r="A5" s="103" t="s">
        <v>311</v>
      </c>
      <c r="B5" s="1144">
        <f>Weather_Input!A6</f>
        <v>37018</v>
      </c>
      <c r="C5" s="1145">
        <f>Weather_Input!A7</f>
        <v>37019</v>
      </c>
      <c r="D5" s="1145">
        <f>Weather_Input!A8</f>
        <v>37020</v>
      </c>
      <c r="E5" s="1145">
        <f>Weather_Input!A9</f>
        <v>37021</v>
      </c>
      <c r="F5" s="1146">
        <f>Weather_Input!A10</f>
        <v>37022</v>
      </c>
      <c r="G5" s="100"/>
    </row>
    <row r="6" spans="1:8">
      <c r="A6" s="100" t="s">
        <v>312</v>
      </c>
      <c r="B6" s="1147">
        <f>PGL_Supplies!AC8/1000+PGL_Supplies!L8/1000-PGL_Requirements!O8/1000-PGL_Requirements!T8/1000+B8</f>
        <v>60.064</v>
      </c>
      <c r="C6" s="1147">
        <f>PGL_Supplies!AC9/1000+PGL_Supplies!L9/1000-PGL_Requirements!O9/1000+C15-PGL_Requirements!T9/1000</f>
        <v>116.06399999999999</v>
      </c>
      <c r="D6" s="1147">
        <f>PGL_Supplies!AC10/1000+PGL_Supplies!L10/1000-PGL_Requirements!O10/1000+D15-PGL_Requirements!T10/1000</f>
        <v>116.06399999999999</v>
      </c>
      <c r="E6" s="1147">
        <f>PGL_Supplies!AC11/1000+PGL_Supplies!L11/1000-PGL_Requirements!O11/1000+E15-PGL_Requirements!T11/1000</f>
        <v>116.06399999999999</v>
      </c>
      <c r="F6" s="1148">
        <f>PGL_Supplies!AC12/1000+PGL_Supplies!L12/1000-PGL_Requirements!O12/1000+F15-PGL_Requirements!T12/1000</f>
        <v>116.06399999999999</v>
      </c>
      <c r="G6" s="100"/>
      <c r="H6" t="s">
        <v>11</v>
      </c>
    </row>
    <row r="7" spans="1:8">
      <c r="A7" s="100" t="s">
        <v>313</v>
      </c>
      <c r="B7" s="1147">
        <f>PGL_Supplies!N8/1000</f>
        <v>0</v>
      </c>
      <c r="C7" s="1147">
        <f>PGL_Supplies!N9/1000</f>
        <v>0</v>
      </c>
      <c r="D7" s="1147">
        <f>PGL_Supplies!N10/1000</f>
        <v>0</v>
      </c>
      <c r="E7" s="1147">
        <f>PGL_Supplies!N11/1000</f>
        <v>0</v>
      </c>
      <c r="F7" s="1149">
        <f>PGL_Supplies!N12/1000</f>
        <v>0</v>
      </c>
      <c r="G7" s="100"/>
    </row>
    <row r="8" spans="1:8">
      <c r="A8" s="100" t="s">
        <v>314</v>
      </c>
      <c r="B8" s="1147">
        <f>PGL_Supplies!O8/1000</f>
        <v>0</v>
      </c>
      <c r="C8" s="1147">
        <f>PGL_Supplies!O9/1000</f>
        <v>0</v>
      </c>
      <c r="D8" s="1147">
        <f>PGL_Supplies!O10/1000</f>
        <v>0</v>
      </c>
      <c r="E8" s="1147">
        <f>PGL_Supplies!O11/1000</f>
        <v>0</v>
      </c>
      <c r="F8" s="1149">
        <f>PGL_Supplies!O12/1000</f>
        <v>0</v>
      </c>
      <c r="G8" s="100"/>
    </row>
    <row r="9" spans="1:8">
      <c r="A9" s="100" t="s">
        <v>315</v>
      </c>
      <c r="B9" s="1147">
        <v>0</v>
      </c>
      <c r="C9" s="1147">
        <v>0</v>
      </c>
      <c r="D9" s="1147">
        <v>0</v>
      </c>
      <c r="E9" s="1147">
        <v>0</v>
      </c>
      <c r="F9" s="1149">
        <v>0</v>
      </c>
      <c r="G9" s="100"/>
    </row>
    <row r="10" spans="1:8">
      <c r="A10" s="101"/>
      <c r="B10" s="1150"/>
      <c r="C10" s="1150"/>
      <c r="D10" s="1150"/>
      <c r="E10" s="1150"/>
      <c r="F10" s="1151"/>
      <c r="G10" s="100"/>
    </row>
    <row r="11" spans="1:8">
      <c r="A11" s="100" t="s">
        <v>316</v>
      </c>
      <c r="B11" s="1147">
        <v>0</v>
      </c>
      <c r="C11" s="1147">
        <v>0</v>
      </c>
      <c r="D11" s="1147">
        <v>0</v>
      </c>
      <c r="E11" s="1147">
        <v>0</v>
      </c>
      <c r="F11" s="1149">
        <v>0</v>
      </c>
      <c r="G11" s="100"/>
      <c r="H11" s="122" t="s">
        <v>11</v>
      </c>
    </row>
    <row r="12" spans="1:8">
      <c r="A12" s="100" t="s">
        <v>317</v>
      </c>
      <c r="B12" s="1147">
        <f>PGL_Requirements!S8/1000</f>
        <v>0</v>
      </c>
      <c r="C12" s="1147">
        <f>PGL_Requirements!S9/1000</f>
        <v>0</v>
      </c>
      <c r="D12" s="1147">
        <f>PGL_Requirements!S10/1000</f>
        <v>0</v>
      </c>
      <c r="E12" s="1147">
        <f>PGL_Requirements!S11/1000</f>
        <v>0</v>
      </c>
      <c r="F12" s="1149">
        <f>PGL_Requirements!S12/1000</f>
        <v>0</v>
      </c>
      <c r="G12" s="100"/>
    </row>
    <row r="13" spans="1:8">
      <c r="A13" s="100" t="s">
        <v>318</v>
      </c>
      <c r="B13" s="1147">
        <v>0</v>
      </c>
      <c r="C13" s="1147">
        <v>0</v>
      </c>
      <c r="D13" s="1147">
        <v>0</v>
      </c>
      <c r="E13" s="1147">
        <v>0</v>
      </c>
      <c r="F13" s="1149">
        <v>0</v>
      </c>
      <c r="G13" s="100"/>
    </row>
    <row r="14" spans="1:8">
      <c r="A14" s="100" t="s">
        <v>189</v>
      </c>
      <c r="B14" s="1147">
        <v>0</v>
      </c>
      <c r="C14" s="1153"/>
      <c r="D14" s="1153"/>
      <c r="E14" s="1153"/>
      <c r="F14" s="1149"/>
      <c r="G14" s="100"/>
    </row>
    <row r="15" spans="1:8">
      <c r="A15" s="100" t="s">
        <v>720</v>
      </c>
      <c r="B15" s="1152">
        <v>0</v>
      </c>
      <c r="C15" s="1152">
        <v>0</v>
      </c>
      <c r="D15" s="1152">
        <v>0</v>
      </c>
      <c r="E15" s="1152">
        <v>0</v>
      </c>
      <c r="F15" s="1189">
        <v>0</v>
      </c>
      <c r="G15" s="122"/>
    </row>
    <row r="16" spans="1:8">
      <c r="A16" s="100" t="s">
        <v>319</v>
      </c>
      <c r="B16" s="1152">
        <v>0</v>
      </c>
      <c r="C16" s="1153"/>
      <c r="D16" s="1153"/>
      <c r="E16" s="1153"/>
      <c r="F16" s="1149"/>
      <c r="G16" s="100"/>
    </row>
    <row r="17" spans="1:7" ht="15.6" thickBot="1">
      <c r="A17" s="102" t="s">
        <v>791</v>
      </c>
      <c r="B17" s="1154">
        <v>50</v>
      </c>
      <c r="C17" s="1155"/>
      <c r="D17" s="1155"/>
      <c r="E17" s="1155"/>
      <c r="F17" s="1156"/>
      <c r="G17" s="100"/>
    </row>
    <row r="20" spans="1:7" ht="16.2" thickBot="1">
      <c r="A20" s="106" t="s">
        <v>320</v>
      </c>
      <c r="B20" s="105"/>
      <c r="C20" s="105"/>
      <c r="D20" s="105"/>
      <c r="E20" s="105"/>
      <c r="F20" s="105"/>
    </row>
    <row r="21" spans="1:7">
      <c r="A21" s="99"/>
      <c r="B21" s="1157" t="str">
        <f t="shared" ref="B21:F22" si="0">B4</f>
        <v>Monday</v>
      </c>
      <c r="C21" s="1157" t="str">
        <f t="shared" si="0"/>
        <v>Tuesday</v>
      </c>
      <c r="D21" s="1157" t="str">
        <f t="shared" si="0"/>
        <v>Wednesday</v>
      </c>
      <c r="E21" s="1157" t="str">
        <f t="shared" si="0"/>
        <v>Thursday</v>
      </c>
      <c r="F21" s="1158" t="str">
        <f t="shared" si="0"/>
        <v>Friday</v>
      </c>
      <c r="G21" s="100"/>
    </row>
    <row r="22" spans="1:7">
      <c r="A22" s="107" t="s">
        <v>311</v>
      </c>
      <c r="B22" s="1159">
        <f t="shared" si="0"/>
        <v>37018</v>
      </c>
      <c r="C22" s="1159">
        <f t="shared" si="0"/>
        <v>37019</v>
      </c>
      <c r="D22" s="1159">
        <f t="shared" si="0"/>
        <v>37020</v>
      </c>
      <c r="E22" s="1159">
        <f t="shared" si="0"/>
        <v>37021</v>
      </c>
      <c r="F22" s="1160">
        <f t="shared" si="0"/>
        <v>37022</v>
      </c>
      <c r="G22" s="100"/>
    </row>
    <row r="23" spans="1:7">
      <c r="A23" s="100" t="s">
        <v>312</v>
      </c>
      <c r="B23" s="1153">
        <f>NSG_Supplies!R8/1000+NSG_Supplies!F8/1000-NSG_Requirements!H8/1000</f>
        <v>31.536000000000001</v>
      </c>
      <c r="C23" s="1153">
        <f>NSG_Supplies!R9/1000+NSG_Supplies!F9/1000-NSG_Requirements!H9/1000</f>
        <v>31.536000000000001</v>
      </c>
      <c r="D23" s="1153">
        <f>NSG_Supplies!R10/1000+NSG_Supplies!F10/1000-NSG_Requirements!H10/1000</f>
        <v>31.536000000000001</v>
      </c>
      <c r="E23" s="1153">
        <f>NSG_Supplies!R12/1000+NSG_Supplies!F11/1000-NSG_Requirements!H11/1000</f>
        <v>31.536000000000001</v>
      </c>
      <c r="F23" s="1148">
        <f>NSG_Supplies!R12/1000+NSG_Supplies!F12/1000-NSG_Requirements!H12/1000</f>
        <v>31.536000000000001</v>
      </c>
      <c r="G23" s="100"/>
    </row>
    <row r="24" spans="1:7">
      <c r="A24" s="100" t="s">
        <v>321</v>
      </c>
      <c r="B24" s="1153">
        <f>NSG_Supplies!H8/1000</f>
        <v>0</v>
      </c>
      <c r="C24" s="1153">
        <f>NSG_Supplies!H9/1000</f>
        <v>0</v>
      </c>
      <c r="D24" s="1153">
        <f>NSG_Supplies!H10/1000</f>
        <v>0</v>
      </c>
      <c r="E24" s="1153">
        <f>NSG_Supplies!H11/1000</f>
        <v>0</v>
      </c>
      <c r="F24" s="1149">
        <f>NSG_Supplies!H12/1000</f>
        <v>0</v>
      </c>
      <c r="G24" s="100"/>
    </row>
    <row r="25" spans="1:7">
      <c r="A25" s="100" t="s">
        <v>313</v>
      </c>
      <c r="B25" s="1153">
        <f>NSG_Supplies!I8/1000</f>
        <v>0</v>
      </c>
      <c r="C25" s="1153">
        <f>NSG_Supplies!I9/1000</f>
        <v>0</v>
      </c>
      <c r="D25" s="1153">
        <f>NSG_Supplies!I10/1000</f>
        <v>0</v>
      </c>
      <c r="E25" s="1153">
        <f>NSG_Supplies!I11/1000</f>
        <v>0</v>
      </c>
      <c r="F25" s="1149">
        <f>NSG_Supplies!I12/1000</f>
        <v>0</v>
      </c>
      <c r="G25" s="100"/>
    </row>
    <row r="26" spans="1:7">
      <c r="A26" s="104" t="s">
        <v>314</v>
      </c>
      <c r="B26" s="1153">
        <f>NSG_Supplies!J8/1000</f>
        <v>0</v>
      </c>
      <c r="C26" s="1153">
        <f>NSG_Supplies!J9/1000</f>
        <v>0</v>
      </c>
      <c r="D26" s="1153">
        <f>NSG_Supplies!J10/1000</f>
        <v>0</v>
      </c>
      <c r="E26" s="1153">
        <f>NSG_Supplies!J11/1000</f>
        <v>0</v>
      </c>
      <c r="F26" s="1149">
        <f>NSG_Supplies!J12/1000</f>
        <v>0</v>
      </c>
      <c r="G26" s="100"/>
    </row>
    <row r="27" spans="1:7">
      <c r="A27" s="100" t="s">
        <v>315</v>
      </c>
      <c r="B27" s="1153">
        <f>NSG_Supplies!K8/1000</f>
        <v>0</v>
      </c>
      <c r="C27" s="1153">
        <f>NSG_Supplies!K9/1000</f>
        <v>0</v>
      </c>
      <c r="D27" s="1153">
        <f>NSG_Supplies!K10/1000</f>
        <v>0</v>
      </c>
      <c r="E27" s="1153">
        <f>NSG_Supplies!K11/1000</f>
        <v>0</v>
      </c>
      <c r="F27" s="1149">
        <f>NSG_Supplies!K12/1000</f>
        <v>0</v>
      </c>
      <c r="G27" s="100"/>
    </row>
    <row r="28" spans="1:7">
      <c r="A28" s="100" t="s">
        <v>322</v>
      </c>
      <c r="B28" s="1153" t="s">
        <v>11</v>
      </c>
      <c r="C28" s="1153"/>
      <c r="D28" s="1153"/>
      <c r="E28" s="1153"/>
      <c r="F28" s="1149"/>
      <c r="G28" s="100"/>
    </row>
    <row r="29" spans="1:7">
      <c r="A29" s="101"/>
      <c r="B29" s="1150"/>
      <c r="C29" s="1150"/>
      <c r="D29" s="1150"/>
      <c r="E29" s="1150"/>
      <c r="F29" s="1151"/>
      <c r="G29" s="100"/>
    </row>
    <row r="30" spans="1:7">
      <c r="A30" s="100" t="s">
        <v>316</v>
      </c>
      <c r="B30" s="1153">
        <f>NSG_Requirements!P8/1000</f>
        <v>0</v>
      </c>
      <c r="C30" s="1153">
        <f>NSG_Requirements!P9/1000</f>
        <v>0</v>
      </c>
      <c r="D30" s="1153">
        <f>NSG_Requirements!P10/1000</f>
        <v>0</v>
      </c>
      <c r="E30" s="1153">
        <f>NSG_Requirements!P11/1000</f>
        <v>0</v>
      </c>
      <c r="F30" s="1149">
        <f>NSG_Supplies!K12/1000</f>
        <v>0</v>
      </c>
      <c r="G30" s="100"/>
    </row>
    <row r="31" spans="1:7">
      <c r="A31" s="100" t="s">
        <v>317</v>
      </c>
      <c r="B31" s="1153">
        <f>NSG_Requirements!R8/1000</f>
        <v>0</v>
      </c>
      <c r="C31" s="1153">
        <f>NSG_Requirements!R9/1000</f>
        <v>0</v>
      </c>
      <c r="D31" s="1153">
        <f>NSG_Requirements!R10/1000</f>
        <v>0</v>
      </c>
      <c r="E31" s="1153">
        <f>NSG_Requirements!R11/1000</f>
        <v>0</v>
      </c>
      <c r="F31" s="1149">
        <f>NSG_Supplies!M12/1000</f>
        <v>0</v>
      </c>
      <c r="G31" s="100"/>
    </row>
    <row r="32" spans="1:7">
      <c r="A32" s="100" t="s">
        <v>318</v>
      </c>
      <c r="B32" s="1153">
        <f>NSG_Requirements!Q8/1000</f>
        <v>0</v>
      </c>
      <c r="C32" s="1153">
        <f>NSG_Requirements!Q9/1000</f>
        <v>0</v>
      </c>
      <c r="D32" s="1153">
        <f>NSG_Requirements!Q10/1000</f>
        <v>0</v>
      </c>
      <c r="E32" s="1153">
        <f>NSG_Requirements!Q11/1000</f>
        <v>0</v>
      </c>
      <c r="F32" s="1149">
        <f>NSG_Requirements!Q12/1000</f>
        <v>0</v>
      </c>
      <c r="G32" s="100"/>
    </row>
    <row r="33" spans="1:7" ht="15.6" thickBot="1">
      <c r="A33" s="102" t="s">
        <v>323</v>
      </c>
      <c r="B33" s="1155">
        <f>NSG_Requirements!L8/1000</f>
        <v>0</v>
      </c>
      <c r="C33" s="1155">
        <f>NSG_Requirements!L9/1000</f>
        <v>0</v>
      </c>
      <c r="D33" s="1155">
        <f>NSG_Requirements!L10/1000</f>
        <v>0</v>
      </c>
      <c r="E33" s="1155">
        <f>NSG_Requirements!L11/1000</f>
        <v>0</v>
      </c>
      <c r="F33" s="1156">
        <f>NSG_Requirements!L12/1000</f>
        <v>0</v>
      </c>
      <c r="G33" s="100"/>
    </row>
    <row r="37" spans="1:7">
      <c r="A37" s="125"/>
      <c r="B37" s="125"/>
      <c r="C37" s="125"/>
      <c r="D37" s="125"/>
      <c r="E37" s="125"/>
      <c r="F37" s="125"/>
    </row>
  </sheetData>
  <customSheetViews>
    <customSheetView guid="{66C35B70-1DF5-11D4-B46C-0004ACEC7D4A}" scale="75" fitToPage="1" showRuler="0">
      <pageMargins left="0.75" right="0.75" top="1" bottom="1" header="0.5" footer="0.5"/>
      <pageSetup scale="88" orientation="portrait" horizontalDpi="4294967292" r:id="rId1"/>
      <headerFooter alignWithMargins="0"/>
    </customSheetView>
  </customSheetViews>
  <pageMargins left="0.75" right="0.75" top="1" bottom="1" header="0.5" footer="0.5"/>
  <pageSetup scale="86" orientation="portrait" horizontalDpi="4294967292" r:id="rId2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pageSetUpPr fitToPage="1"/>
  </sheetPr>
  <dimension ref="A1:K54"/>
  <sheetViews>
    <sheetView workbookViewId="0"/>
  </sheetViews>
  <sheetFormatPr defaultRowHeight="15"/>
  <cols>
    <col min="2" max="2" width="20.81640625" customWidth="1"/>
    <col min="3" max="5" width="8.81640625" customWidth="1"/>
    <col min="6" max="6" width="22.81640625" customWidth="1"/>
    <col min="7" max="7" width="11.453125" bestFit="1" customWidth="1"/>
  </cols>
  <sheetData>
    <row r="1" spans="1:11" ht="23.4" thickBot="1">
      <c r="A1" s="455"/>
      <c r="B1" s="810" t="s">
        <v>381</v>
      </c>
      <c r="C1" s="909">
        <f>Weather_Input!A6</f>
        <v>37018</v>
      </c>
      <c r="D1" s="910" t="s">
        <v>372</v>
      </c>
      <c r="E1" s="811"/>
      <c r="F1" s="1079"/>
      <c r="G1" s="430"/>
      <c r="H1" s="430"/>
      <c r="I1" s="1080"/>
    </row>
    <row r="2" spans="1:11" ht="15.75" customHeight="1" thickBot="1">
      <c r="A2" s="433"/>
      <c r="B2" s="1077" t="s">
        <v>646</v>
      </c>
      <c r="E2" s="161"/>
      <c r="I2" s="161"/>
    </row>
    <row r="3" spans="1:11" ht="15.75" customHeight="1" thickTop="1">
      <c r="B3" s="172" t="s">
        <v>109</v>
      </c>
      <c r="C3" s="904">
        <f>NSG_Supplies!Q8/1000</f>
        <v>20</v>
      </c>
      <c r="E3" s="161"/>
      <c r="F3" s="790" t="s">
        <v>166</v>
      </c>
      <c r="G3" s="789"/>
      <c r="H3" s="804" t="s">
        <v>573</v>
      </c>
      <c r="I3" s="803" t="s">
        <v>572</v>
      </c>
    </row>
    <row r="4" spans="1:11" ht="15.75" customHeight="1" thickBot="1">
      <c r="A4" t="s">
        <v>11</v>
      </c>
      <c r="B4" s="100" t="s">
        <v>647</v>
      </c>
      <c r="C4" s="1137">
        <f>NSG_Supplies!E8/1000</f>
        <v>0</v>
      </c>
      <c r="D4" s="135">
        <f>NSG_Requirements!J8/1000</f>
        <v>20</v>
      </c>
      <c r="E4" s="802"/>
      <c r="F4" s="172" t="s">
        <v>546</v>
      </c>
      <c r="G4" s="60"/>
      <c r="H4" s="154">
        <f>PGL_Requirements!P8/1000</f>
        <v>150</v>
      </c>
      <c r="I4" s="176">
        <f>AVERAGE(H4/1.025)</f>
        <v>146.34146341463415</v>
      </c>
      <c r="J4" t="s">
        <v>11</v>
      </c>
    </row>
    <row r="5" spans="1:11" ht="15.75" customHeight="1" thickTop="1" thickBot="1">
      <c r="B5" s="437" t="s">
        <v>648</v>
      </c>
      <c r="C5" s="448">
        <f>C3+C4-D4</f>
        <v>0</v>
      </c>
      <c r="D5" s="438"/>
      <c r="E5" s="440">
        <f>AVERAGE(C5/24)</f>
        <v>0</v>
      </c>
      <c r="F5" s="170" t="s">
        <v>448</v>
      </c>
      <c r="G5" s="210">
        <f>PGL_Supplies!M8/1000</f>
        <v>0</v>
      </c>
      <c r="H5" s="168"/>
      <c r="I5" s="1020">
        <f>AVERAGE(G5/1.025)</f>
        <v>0</v>
      </c>
      <c r="K5" t="s">
        <v>11</v>
      </c>
    </row>
    <row r="6" spans="1:11" ht="15.75" customHeight="1" thickTop="1" thickBot="1">
      <c r="B6" s="907" t="s">
        <v>392</v>
      </c>
      <c r="C6" s="908"/>
      <c r="D6" s="122"/>
      <c r="E6" s="801"/>
      <c r="F6" t="s">
        <v>780</v>
      </c>
      <c r="G6" s="908">
        <f>AVERAGE(H4/24)</f>
        <v>6.25</v>
      </c>
      <c r="H6" s="430"/>
      <c r="I6" s="1080"/>
    </row>
    <row r="7" spans="1:11" ht="15.75" customHeight="1">
      <c r="B7" s="172" t="s">
        <v>373</v>
      </c>
      <c r="C7" s="154">
        <f>NSG_Supplies!L8/1000</f>
        <v>0</v>
      </c>
      <c r="D7" s="60"/>
      <c r="E7" s="450"/>
      <c r="F7" s="1077" t="s">
        <v>626</v>
      </c>
      <c r="G7" s="1078"/>
      <c r="H7" s="60"/>
      <c r="I7" s="161"/>
    </row>
    <row r="8" spans="1:11" ht="15.75" customHeight="1">
      <c r="B8" s="172" t="s">
        <v>527</v>
      </c>
      <c r="C8" s="154">
        <f>PGL_Requirements!V8/1000</f>
        <v>0</v>
      </c>
      <c r="D8" s="60"/>
      <c r="E8" s="450"/>
      <c r="F8" s="172" t="s">
        <v>625</v>
      </c>
      <c r="G8" s="154">
        <f>PGL_Supplies!T8/1000</f>
        <v>23.643999999999998</v>
      </c>
      <c r="H8" s="60"/>
      <c r="I8" s="161"/>
    </row>
    <row r="9" spans="1:11" ht="15.75" customHeight="1" thickBot="1">
      <c r="B9" s="172" t="s">
        <v>770</v>
      </c>
      <c r="C9" s="154">
        <f>NSG_Requirements!B8/1000</f>
        <v>0</v>
      </c>
      <c r="D9" s="60"/>
      <c r="E9" s="450"/>
      <c r="F9" s="1" t="s">
        <v>716</v>
      </c>
      <c r="G9" s="154">
        <f>PGL_Supplies!U8/1000</f>
        <v>0</v>
      </c>
      <c r="I9" s="161"/>
    </row>
    <row r="10" spans="1:11" ht="15.75" customHeight="1" thickTop="1" thickBot="1">
      <c r="B10" s="437" t="s">
        <v>551</v>
      </c>
      <c r="C10" s="448">
        <f>C7+C8-C9</f>
        <v>0</v>
      </c>
      <c r="D10" s="438"/>
      <c r="E10" s="440">
        <f>AVERAGE(C10/24)</f>
        <v>0</v>
      </c>
      <c r="F10" s="172" t="s">
        <v>445</v>
      </c>
      <c r="G10" s="154">
        <f>PGL_Supplies!AB8/1000</f>
        <v>183.85499999999999</v>
      </c>
      <c r="H10" s="154" t="s">
        <v>11</v>
      </c>
      <c r="I10" s="161"/>
    </row>
    <row r="11" spans="1:11" ht="15.75" customHeight="1" thickTop="1">
      <c r="A11" t="s">
        <v>11</v>
      </c>
      <c r="B11" s="1129" t="s">
        <v>753</v>
      </c>
      <c r="C11" s="154">
        <f>PGL_Supplies!Y8/1000</f>
        <v>172.51499999999999</v>
      </c>
      <c r="D11" s="789"/>
      <c r="E11" s="1130"/>
      <c r="F11" s="435" t="s">
        <v>378</v>
      </c>
      <c r="G11" s="447">
        <f>G8+G10</f>
        <v>207.499</v>
      </c>
      <c r="H11" s="434"/>
      <c r="I11" s="436"/>
    </row>
    <row r="12" spans="1:11" ht="15.75" customHeight="1">
      <c r="B12" s="249" t="s">
        <v>790</v>
      </c>
      <c r="C12" s="154">
        <v>0</v>
      </c>
      <c r="D12" s="122"/>
      <c r="E12" s="161"/>
      <c r="F12" s="173" t="s">
        <v>530</v>
      </c>
      <c r="G12" s="154">
        <f>PGL_Supplies!E8/1000</f>
        <v>0</v>
      </c>
      <c r="H12" s="60"/>
      <c r="I12" s="450"/>
    </row>
    <row r="13" spans="1:11" ht="15.75" customHeight="1" thickBot="1">
      <c r="B13" s="249" t="s">
        <v>754</v>
      </c>
      <c r="C13" s="122"/>
      <c r="D13" s="154">
        <f>PGL_Requirements!J8/1000</f>
        <v>0</v>
      </c>
      <c r="E13" s="161"/>
      <c r="F13" s="173" t="s">
        <v>531</v>
      </c>
      <c r="G13" s="60"/>
      <c r="H13" s="154">
        <f>PGL_Requirements!E8/1000</f>
        <v>0</v>
      </c>
      <c r="I13" s="161"/>
    </row>
    <row r="14" spans="1:11" ht="15.75" customHeight="1" thickTop="1" thickBot="1">
      <c r="B14" s="1131" t="s">
        <v>761</v>
      </c>
      <c r="C14" s="448">
        <f>C11-C12</f>
        <v>172.51499999999999</v>
      </c>
      <c r="D14" s="438"/>
      <c r="E14" s="440">
        <f>AVERAGE(C14/24)</f>
        <v>7.1881249999999994</v>
      </c>
      <c r="F14" s="782" t="s">
        <v>549</v>
      </c>
      <c r="G14" s="448">
        <v>0</v>
      </c>
      <c r="H14" s="438"/>
      <c r="I14" s="440">
        <f>AVERAGE(G14/24)</f>
        <v>0</v>
      </c>
    </row>
    <row r="15" spans="1:11" ht="15.75" customHeight="1" thickTop="1" thickBot="1">
      <c r="B15" s="172" t="s">
        <v>759</v>
      </c>
      <c r="C15" s="154">
        <f>PGL_Supplies!Z8/1000</f>
        <v>40.200000000000003</v>
      </c>
      <c r="D15" s="60"/>
      <c r="E15" s="161"/>
      <c r="F15" s="782" t="s">
        <v>558</v>
      </c>
      <c r="G15" s="447">
        <f>SUM(G11)-G16</f>
        <v>187.499</v>
      </c>
      <c r="H15" s="438" t="s">
        <v>11</v>
      </c>
      <c r="I15" s="440">
        <f>AVERAGE(G15/24)</f>
        <v>7.8124583333333328</v>
      </c>
    </row>
    <row r="16" spans="1:11" ht="15.75" customHeight="1" thickTop="1" thickBot="1">
      <c r="B16" s="172" t="s">
        <v>712</v>
      </c>
      <c r="C16" s="154">
        <f>PGL_Supplies!R8/1000</f>
        <v>0</v>
      </c>
      <c r="D16" s="154">
        <f>PGL_Requirements!U8/1000</f>
        <v>40.200000000000003</v>
      </c>
      <c r="E16" s="161"/>
      <c r="F16" s="782" t="s">
        <v>569</v>
      </c>
      <c r="G16" s="448">
        <f>PGL_Requirements!H8/1000</f>
        <v>20</v>
      </c>
      <c r="H16" s="448" t="s">
        <v>11</v>
      </c>
      <c r="I16" s="440">
        <f>AVERAGE(G16/24)</f>
        <v>0.83333333333333337</v>
      </c>
    </row>
    <row r="17" spans="1:9" ht="15.75" customHeight="1" thickTop="1" thickBot="1">
      <c r="B17" s="435" t="s">
        <v>378</v>
      </c>
      <c r="C17" s="447">
        <f>SUM(C15:C16)-SUM(D15:D16)</f>
        <v>0</v>
      </c>
      <c r="D17" s="434"/>
      <c r="E17" s="436"/>
      <c r="F17" s="1090" t="s">
        <v>717</v>
      </c>
      <c r="G17" s="1180">
        <v>0</v>
      </c>
      <c r="H17" s="1089"/>
      <c r="I17" s="1181">
        <f>AVERAGE(G17/24)</f>
        <v>0</v>
      </c>
    </row>
    <row r="18" spans="1:9" ht="15.75" customHeight="1">
      <c r="B18" s="172" t="s">
        <v>374</v>
      </c>
      <c r="C18" s="154">
        <f>PGL_Supplies!C8/1000</f>
        <v>0</v>
      </c>
      <c r="D18" s="60"/>
      <c r="E18" s="161"/>
      <c r="F18" s="1088" t="s">
        <v>547</v>
      </c>
      <c r="G18" s="60" t="s">
        <v>11</v>
      </c>
      <c r="H18" s="60"/>
      <c r="I18" s="161"/>
    </row>
    <row r="19" spans="1:9" ht="15.75" customHeight="1" thickBot="1">
      <c r="B19" s="172" t="s">
        <v>375</v>
      </c>
      <c r="C19" s="60"/>
      <c r="D19" s="154">
        <f>PGL_Requirements!C8/1000</f>
        <v>0</v>
      </c>
      <c r="E19" s="161"/>
      <c r="F19" s="170" t="s">
        <v>548</v>
      </c>
      <c r="G19" s="168"/>
      <c r="H19" s="210">
        <f>PGL_Requirements!I8/1000</f>
        <v>0</v>
      </c>
      <c r="I19" s="443"/>
    </row>
    <row r="20" spans="1:9" ht="15.75" customHeight="1" thickTop="1" thickBot="1">
      <c r="B20" s="437" t="s">
        <v>553</v>
      </c>
      <c r="C20" s="448">
        <f>C17+C18-D19</f>
        <v>0</v>
      </c>
      <c r="D20" s="441" t="s">
        <v>11</v>
      </c>
      <c r="E20" s="440">
        <f>AVERAGE(C20/24)</f>
        <v>0</v>
      </c>
      <c r="F20" s="439" t="s">
        <v>183</v>
      </c>
      <c r="G20" s="60">
        <v>0</v>
      </c>
      <c r="H20" s="154" t="s">
        <v>11</v>
      </c>
      <c r="I20" s="161"/>
    </row>
    <row r="21" spans="1:9" ht="15.75" customHeight="1" thickTop="1">
      <c r="B21" s="172" t="s">
        <v>760</v>
      </c>
      <c r="C21" s="154">
        <f>PGL_Supplies!AA8/1000</f>
        <v>0</v>
      </c>
      <c r="D21" s="154" t="s">
        <v>11</v>
      </c>
      <c r="E21" s="161"/>
      <c r="F21" s="172" t="s">
        <v>109</v>
      </c>
      <c r="G21" s="154">
        <f>PGL_Supplies!AD8/1000</f>
        <v>0</v>
      </c>
      <c r="H21" s="154" t="s">
        <v>11</v>
      </c>
      <c r="I21" s="161"/>
    </row>
    <row r="22" spans="1:9" ht="15.75" customHeight="1">
      <c r="B22" s="435" t="s">
        <v>378</v>
      </c>
      <c r="C22" s="447">
        <f>SUM(C21:C21)-SUM(D21)</f>
        <v>0</v>
      </c>
      <c r="D22" s="434"/>
      <c r="E22" s="436"/>
      <c r="F22" s="435" t="s">
        <v>378</v>
      </c>
      <c r="G22" s="447">
        <f>G21</f>
        <v>0</v>
      </c>
      <c r="H22" s="434"/>
      <c r="I22" s="436"/>
    </row>
    <row r="23" spans="1:9" ht="15.75" customHeight="1">
      <c r="B23" s="172" t="s">
        <v>376</v>
      </c>
      <c r="C23" s="154">
        <f>PGL_Supplies!D8/1000</f>
        <v>0</v>
      </c>
      <c r="D23" s="60"/>
      <c r="E23" s="161"/>
      <c r="F23" s="172" t="s">
        <v>379</v>
      </c>
      <c r="G23" s="154">
        <f>PGL_Supplies!G8/1000</f>
        <v>0</v>
      </c>
      <c r="H23" s="60"/>
      <c r="I23" s="161"/>
    </row>
    <row r="24" spans="1:9" ht="15.75" customHeight="1" thickBot="1">
      <c r="B24" s="172" t="s">
        <v>377</v>
      </c>
      <c r="C24" s="60">
        <v>0</v>
      </c>
      <c r="D24" s="154">
        <f>PGL_Requirements!D8/1000</f>
        <v>0</v>
      </c>
      <c r="E24" s="161"/>
      <c r="F24" s="172" t="s">
        <v>380</v>
      </c>
      <c r="G24" s="60"/>
      <c r="H24" s="154">
        <f>PGL_Requirements!F8/1000</f>
        <v>0</v>
      </c>
      <c r="I24" s="161"/>
    </row>
    <row r="25" spans="1:9" ht="15.75" customHeight="1" thickTop="1" thickBot="1">
      <c r="B25" s="437" t="s">
        <v>552</v>
      </c>
      <c r="C25" s="448">
        <f>C22+C23-D24</f>
        <v>0</v>
      </c>
      <c r="D25" s="438"/>
      <c r="E25" s="440">
        <f>AVERAGE(C25/24)</f>
        <v>0</v>
      </c>
      <c r="F25" s="551" t="s">
        <v>550</v>
      </c>
      <c r="G25" s="905">
        <f>G22+G23-H24+G20</f>
        <v>0</v>
      </c>
      <c r="H25" s="430"/>
      <c r="I25" s="906">
        <f>AVERAGE(G25/24)</f>
        <v>0</v>
      </c>
    </row>
    <row r="26" spans="1:9" ht="15.75" customHeight="1" thickTop="1">
      <c r="B26" t="s">
        <v>714</v>
      </c>
    </row>
    <row r="27" spans="1:9" ht="15.75" customHeight="1">
      <c r="B27" t="s">
        <v>713</v>
      </c>
    </row>
    <row r="28" spans="1:9" ht="15.75" customHeight="1">
      <c r="A28" t="s">
        <v>11</v>
      </c>
    </row>
    <row r="29" spans="1:9" ht="15.75" customHeight="1"/>
    <row r="30" spans="1:9" ht="15.75" customHeight="1"/>
    <row r="31" spans="1:9" ht="15.75" customHeight="1"/>
    <row r="32" spans="1:9" ht="15.75" customHeight="1"/>
    <row r="33" spans="11:11" ht="15.75" customHeight="1"/>
    <row r="34" spans="11:11" ht="15.75" customHeight="1"/>
    <row r="35" spans="11:11" ht="15.75" customHeight="1"/>
    <row r="36" spans="11:11" ht="15.75" customHeight="1"/>
    <row r="37" spans="11:11" ht="15.75" customHeight="1"/>
    <row r="38" spans="11:11" ht="15.75" customHeight="1"/>
    <row r="42" spans="11:11">
      <c r="K42" t="s">
        <v>649</v>
      </c>
    </row>
    <row r="54" spans="1:1">
      <c r="A54" t="s">
        <v>11</v>
      </c>
    </row>
  </sheetData>
  <customSheetViews>
    <customSheetView guid="{66C35B70-1DF5-11D4-B46C-0004ACEC7D4A}" fitToPage="1" showRuler="0">
      <pageMargins left="0.75" right="0.75" top="1" bottom="1" header="0.5" footer="0.5"/>
      <pageSetup scale="51" orientation="landscape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53" orientation="landscape" horizontalDpi="4294967292" verticalDpi="4294967292" r:id="rId2"/>
  <headerFooter alignWithMargins="0">
    <oddFooter>&amp;RPrinted: &amp;D &amp;T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>
    <pageSetUpPr fitToPage="1"/>
  </sheetPr>
  <dimension ref="A1:V55"/>
  <sheetViews>
    <sheetView workbookViewId="0">
      <selection activeCell="C39" sqref="C39"/>
    </sheetView>
  </sheetViews>
  <sheetFormatPr defaultColWidth="8.90625" defaultRowHeight="10.199999999999999"/>
  <cols>
    <col min="1" max="1" width="8.6328125" style="1045" customWidth="1"/>
    <col min="2" max="2" width="8.08984375" style="1045" customWidth="1"/>
    <col min="3" max="3" width="7.90625" style="1045" customWidth="1"/>
    <col min="4" max="4" width="5.90625" style="1045" customWidth="1"/>
    <col min="5" max="5" width="4.453125" style="1045" customWidth="1"/>
    <col min="6" max="6" width="5.1796875" style="1045" customWidth="1"/>
    <col min="7" max="7" width="9" style="1045" customWidth="1"/>
    <col min="8" max="11" width="8.90625" style="1045"/>
    <col min="12" max="12" width="14.90625" style="1045" customWidth="1"/>
    <col min="13" max="13" width="5.6328125" style="1045" customWidth="1"/>
    <col min="14" max="16384" width="8.90625" style="1045"/>
  </cols>
  <sheetData>
    <row r="1" spans="1:22" ht="20.399999999999999">
      <c r="A1" s="939"/>
      <c r="B1" s="935"/>
      <c r="C1" s="946" t="s">
        <v>653</v>
      </c>
      <c r="D1" s="943"/>
      <c r="E1" s="943" t="s">
        <v>654</v>
      </c>
      <c r="F1" s="943"/>
      <c r="G1" s="1043" t="s">
        <v>324</v>
      </c>
      <c r="H1" s="1044">
        <f>Weather_Input!A6</f>
        <v>37018</v>
      </c>
      <c r="I1" s="932"/>
      <c r="J1" s="934"/>
      <c r="K1" s="934"/>
    </row>
    <row r="2" spans="1:22" ht="16.5" customHeight="1">
      <c r="A2" s="952" t="s">
        <v>681</v>
      </c>
      <c r="C2" s="1046">
        <v>383</v>
      </c>
      <c r="F2" s="1047">
        <v>385</v>
      </c>
      <c r="H2" s="934"/>
      <c r="I2" s="932" t="s">
        <v>683</v>
      </c>
      <c r="J2" s="954">
        <f>NSG_Supplies!Q8/1000</f>
        <v>20</v>
      </c>
    </row>
    <row r="3" spans="1:22" ht="16.5" customHeight="1">
      <c r="A3" s="1048">
        <f>PGL_Supplies!J8/1000</f>
        <v>0</v>
      </c>
      <c r="C3" s="1045" t="s">
        <v>11</v>
      </c>
      <c r="G3" s="932"/>
      <c r="H3" s="934"/>
    </row>
    <row r="4" spans="1:22" ht="16.5" customHeight="1">
      <c r="A4" s="942" t="s">
        <v>655</v>
      </c>
      <c r="G4" s="960"/>
      <c r="H4" s="934"/>
      <c r="I4" s="932"/>
      <c r="J4" s="932" t="s">
        <v>679</v>
      </c>
      <c r="K4" s="954">
        <f>Billy_Sheet!C5</f>
        <v>0</v>
      </c>
      <c r="N4" s="954"/>
    </row>
    <row r="5" spans="1:22" ht="16.5" customHeight="1">
      <c r="A5" s="1049">
        <f>PGL_Supplies!K7/1000</f>
        <v>0</v>
      </c>
      <c r="B5" s="1050"/>
      <c r="G5" s="935"/>
      <c r="H5" s="954"/>
      <c r="U5" s="934"/>
      <c r="V5" s="934"/>
    </row>
    <row r="6" spans="1:22" ht="16.5" customHeight="1">
      <c r="A6" s="941" t="s">
        <v>651</v>
      </c>
      <c r="G6" s="935"/>
      <c r="H6" s="954"/>
      <c r="U6" s="934"/>
      <c r="V6" s="954"/>
    </row>
    <row r="7" spans="1:22" ht="18.75" customHeight="1">
      <c r="A7" s="954">
        <f>Billy_Sheet!G14</f>
        <v>0</v>
      </c>
      <c r="G7" s="935"/>
      <c r="H7" s="933"/>
      <c r="U7" s="934"/>
      <c r="V7" s="933"/>
    </row>
    <row r="8" spans="1:22" ht="14.4" customHeight="1">
      <c r="A8" s="932" t="s">
        <v>74</v>
      </c>
      <c r="G8" s="935"/>
      <c r="H8" s="932" t="s">
        <v>178</v>
      </c>
      <c r="I8" s="932"/>
      <c r="K8" s="932"/>
      <c r="L8" s="932"/>
      <c r="N8" s="932"/>
      <c r="O8" s="932"/>
      <c r="U8" s="934"/>
      <c r="V8" s="954"/>
    </row>
    <row r="9" spans="1:22" ht="14.4" customHeight="1">
      <c r="A9" s="954">
        <f>PGL_Supplies!I8/1000</f>
        <v>15</v>
      </c>
      <c r="H9" s="954">
        <v>0</v>
      </c>
      <c r="I9" s="1051"/>
      <c r="K9" s="932" t="s">
        <v>685</v>
      </c>
      <c r="L9" s="954">
        <f>NSG_Deliveries!C6/1000</f>
        <v>48</v>
      </c>
      <c r="N9" s="932"/>
      <c r="O9" s="954"/>
      <c r="U9" s="934"/>
      <c r="V9" s="954"/>
    </row>
    <row r="10" spans="1:22" ht="18" customHeight="1">
      <c r="A10" s="932" t="s">
        <v>68</v>
      </c>
      <c r="H10" s="961" t="s">
        <v>684</v>
      </c>
      <c r="U10" s="934"/>
      <c r="V10" s="954"/>
    </row>
    <row r="11" spans="1:22" ht="14.4" customHeight="1">
      <c r="A11" s="954">
        <f>Billy_Sheet!C20</f>
        <v>0</v>
      </c>
      <c r="B11" s="1051"/>
      <c r="H11" s="954">
        <f>NSG_Supplies!U8/1000</f>
        <v>0</v>
      </c>
      <c r="K11" s="935" t="s">
        <v>686</v>
      </c>
      <c r="L11" s="960">
        <f>SUM(K4+K17+K19+H11+H9-L9)</f>
        <v>-16.463999999999999</v>
      </c>
      <c r="N11" s="935"/>
      <c r="O11" s="960"/>
      <c r="U11" s="934"/>
      <c r="V11" s="948"/>
    </row>
    <row r="12" spans="1:22" ht="14.4" customHeight="1">
      <c r="A12" s="932" t="s">
        <v>747</v>
      </c>
      <c r="H12" s="954"/>
      <c r="U12" s="934"/>
      <c r="V12" s="954"/>
    </row>
    <row r="13" spans="1:22" ht="14.4" customHeight="1">
      <c r="A13" s="1049">
        <f>PGL_Supplies!Y8/1000</f>
        <v>172.51499999999999</v>
      </c>
      <c r="H13" s="954"/>
      <c r="U13" s="934"/>
      <c r="V13" s="954"/>
    </row>
    <row r="14" spans="1:22" ht="14.4" customHeight="1">
      <c r="H14" s="954"/>
      <c r="U14" s="934"/>
      <c r="V14" s="954"/>
    </row>
    <row r="15" spans="1:22" ht="15.6" customHeight="1">
      <c r="B15" s="1045" t="s">
        <v>11</v>
      </c>
      <c r="C15" s="1052">
        <v>385</v>
      </c>
      <c r="F15" s="1052">
        <v>385</v>
      </c>
      <c r="H15" s="960"/>
      <c r="U15" s="944"/>
      <c r="V15" s="960"/>
    </row>
    <row r="16" spans="1:22" ht="42.75" customHeight="1">
      <c r="A16" s="945"/>
      <c r="B16" s="960"/>
      <c r="C16" s="1053"/>
      <c r="D16" s="1054"/>
      <c r="E16" s="1054"/>
      <c r="F16" s="1053"/>
    </row>
    <row r="17" spans="1:17" ht="38.25" customHeight="1">
      <c r="B17" s="1054"/>
      <c r="C17" s="1054"/>
      <c r="D17" s="1055"/>
      <c r="E17" s="1054"/>
      <c r="F17" s="1054"/>
      <c r="G17" s="1054"/>
      <c r="J17" s="932" t="s">
        <v>326</v>
      </c>
      <c r="K17" s="954">
        <f>NSG_Supplies!L8/1000</f>
        <v>0</v>
      </c>
      <c r="N17" s="954"/>
    </row>
    <row r="18" spans="1:17" ht="15" customHeight="1">
      <c r="A18" s="940"/>
      <c r="C18" s="1052">
        <v>492</v>
      </c>
      <c r="D18" s="1054"/>
      <c r="E18" s="1054"/>
      <c r="F18" s="1047">
        <v>786</v>
      </c>
    </row>
    <row r="19" spans="1:17">
      <c r="A19" s="941" t="s">
        <v>652</v>
      </c>
      <c r="C19" s="1045" t="s">
        <v>11</v>
      </c>
      <c r="J19" s="932" t="s">
        <v>680</v>
      </c>
      <c r="K19" s="954">
        <f>NSG_Supplies!R8/1000+NSG_Supplies!F8/1000-NSG_Requirements!H8/1000</f>
        <v>31.536000000000001</v>
      </c>
      <c r="N19" s="1057"/>
    </row>
    <row r="20" spans="1:17" ht="17.25" customHeight="1">
      <c r="A20" s="954">
        <f>Billy_Sheet!G15</f>
        <v>187.499</v>
      </c>
      <c r="G20" s="433"/>
      <c r="J20" s="932"/>
    </row>
    <row r="21" spans="1:17" ht="11.25" customHeight="1">
      <c r="G21" s="933"/>
      <c r="H21" s="933"/>
      <c r="I21" s="935"/>
      <c r="J21" s="960"/>
    </row>
    <row r="22" spans="1:17">
      <c r="A22" s="934" t="s">
        <v>181</v>
      </c>
      <c r="G22" s="932"/>
      <c r="I22" s="935"/>
      <c r="J22" s="932"/>
      <c r="M22" s="935"/>
      <c r="N22" s="960"/>
    </row>
    <row r="23" spans="1:17">
      <c r="A23" s="954">
        <f>Billy_Sheet!C25</f>
        <v>0</v>
      </c>
      <c r="G23" s="932" t="s">
        <v>762</v>
      </c>
      <c r="H23" s="934"/>
      <c r="I23" s="935"/>
      <c r="J23" s="960"/>
      <c r="M23" s="932"/>
      <c r="N23" s="960"/>
      <c r="Q23" s="1058"/>
    </row>
    <row r="24" spans="1:17" ht="9" customHeight="1">
      <c r="G24" s="960">
        <v>0</v>
      </c>
      <c r="H24" s="935"/>
      <c r="I24" s="935"/>
      <c r="J24" s="935"/>
    </row>
    <row r="25" spans="1:17" ht="10.5" customHeight="1">
      <c r="A25" s="934" t="s">
        <v>183</v>
      </c>
      <c r="B25" s="934"/>
      <c r="C25" s="934"/>
      <c r="D25" s="934"/>
      <c r="F25" s="934"/>
      <c r="G25" s="932" t="s">
        <v>688</v>
      </c>
      <c r="H25" s="935"/>
      <c r="I25" s="935"/>
      <c r="J25" s="935"/>
    </row>
    <row r="26" spans="1:17" ht="14.25" customHeight="1">
      <c r="A26" s="954">
        <f>Billy_Sheet!G25</f>
        <v>0</v>
      </c>
      <c r="B26" s="934"/>
      <c r="C26" s="935"/>
      <c r="D26" s="935"/>
      <c r="F26" s="935"/>
      <c r="G26" s="1056">
        <v>7.7</v>
      </c>
      <c r="H26" s="935"/>
      <c r="I26" s="935"/>
      <c r="J26" s="935" t="s">
        <v>574</v>
      </c>
      <c r="K26" s="1059">
        <f>PGL_Deliveries!C6/1000</f>
        <v>255</v>
      </c>
      <c r="L26" s="932" t="s">
        <v>685</v>
      </c>
      <c r="M26" s="954">
        <f>NSG_Deliveries!C6/1000</f>
        <v>48</v>
      </c>
      <c r="N26" s="954"/>
    </row>
    <row r="27" spans="1:17" ht="8.25" customHeight="1">
      <c r="A27" s="935"/>
      <c r="B27" s="956"/>
      <c r="C27" s="935"/>
      <c r="D27" s="935"/>
      <c r="F27" s="935"/>
      <c r="G27" s="935"/>
      <c r="H27" s="936"/>
      <c r="I27" s="935"/>
      <c r="J27" s="936"/>
    </row>
    <row r="28" spans="1:17" ht="12.75" customHeight="1">
      <c r="A28" s="943" t="s">
        <v>656</v>
      </c>
      <c r="B28" s="954"/>
      <c r="C28" s="934"/>
      <c r="D28" s="935"/>
      <c r="F28" s="932"/>
      <c r="G28" s="944" t="s">
        <v>661</v>
      </c>
      <c r="H28" s="433"/>
      <c r="J28" s="935" t="s">
        <v>687</v>
      </c>
      <c r="K28" s="960">
        <f>SUM(A42)</f>
        <v>206.01400000000001</v>
      </c>
      <c r="L28" s="935" t="s">
        <v>739</v>
      </c>
      <c r="M28" s="960">
        <f>SUM(J2+K17+K19+H11+H9-M26)</f>
        <v>3.5360000000000014</v>
      </c>
      <c r="N28" s="960"/>
    </row>
    <row r="29" spans="1:17">
      <c r="A29" s="954">
        <f>PGL_Supplies!M8/1000</f>
        <v>0</v>
      </c>
      <c r="B29" s="954"/>
      <c r="C29" s="935"/>
      <c r="D29" s="1060"/>
      <c r="F29" s="1112">
        <f>PGL_Requirements!A7</f>
        <v>37017</v>
      </c>
      <c r="G29" s="954">
        <f>PGL_Requirements!H7/1000</f>
        <v>24.83</v>
      </c>
      <c r="H29" s="933"/>
      <c r="J29" s="935" t="s">
        <v>689</v>
      </c>
      <c r="K29" s="954">
        <f>PGL_Supplies!AC8/1000+PGL_Supplies!L8/1000-PGL_Requirements!O8/1000</f>
        <v>60.064</v>
      </c>
    </row>
    <row r="30" spans="1:17" ht="10.5" customHeight="1">
      <c r="A30" s="937"/>
      <c r="B30" s="954"/>
      <c r="C30" s="935"/>
      <c r="D30" s="954"/>
      <c r="F30" s="1112">
        <f>PGL_Requirements!A8</f>
        <v>37018</v>
      </c>
      <c r="G30" s="954">
        <f>PGL_Requirements!H8/1000</f>
        <v>20</v>
      </c>
    </row>
    <row r="31" spans="1:17" ht="17.25" customHeight="1">
      <c r="A31" s="943" t="s">
        <v>658</v>
      </c>
      <c r="B31" s="1061"/>
      <c r="C31" s="938"/>
      <c r="D31" s="960"/>
      <c r="G31" s="944" t="s">
        <v>659</v>
      </c>
      <c r="H31" s="960"/>
      <c r="J31" s="935" t="s">
        <v>686</v>
      </c>
      <c r="K31" s="960">
        <f>SUM(K28+K29-K26)</f>
        <v>11.078000000000031</v>
      </c>
    </row>
    <row r="32" spans="1:17">
      <c r="A32" s="954">
        <f>PGL_Supplies!H8/1000</f>
        <v>1</v>
      </c>
      <c r="G32" s="954">
        <f>PGL_Requirements!P8/1000</f>
        <v>150</v>
      </c>
    </row>
    <row r="33" spans="1:11" ht="6.75" customHeight="1"/>
    <row r="34" spans="1:11">
      <c r="A34" s="932" t="s">
        <v>657</v>
      </c>
      <c r="G34" s="935" t="s">
        <v>660</v>
      </c>
    </row>
    <row r="35" spans="1:11">
      <c r="A35" s="1056">
        <v>0</v>
      </c>
      <c r="G35" s="954">
        <f>PGL_Requirements!B8/1000</f>
        <v>0</v>
      </c>
    </row>
    <row r="36" spans="1:11">
      <c r="G36" s="954"/>
    </row>
    <row r="37" spans="1:11">
      <c r="C37" s="932" t="s">
        <v>663</v>
      </c>
      <c r="F37" s="932" t="s">
        <v>664</v>
      </c>
      <c r="G37" s="954"/>
    </row>
    <row r="38" spans="1:11">
      <c r="C38" s="1052">
        <v>493</v>
      </c>
      <c r="F38" s="1052">
        <v>753</v>
      </c>
    </row>
    <row r="39" spans="1:11">
      <c r="A39" s="952" t="s">
        <v>738</v>
      </c>
      <c r="E39" s="934" t="s">
        <v>662</v>
      </c>
      <c r="F39" s="934"/>
    </row>
    <row r="40" spans="1:11">
      <c r="A40" s="960">
        <f>SUM(A3:A35)</f>
        <v>376.01400000000001</v>
      </c>
      <c r="B40" s="948"/>
      <c r="C40" s="947"/>
      <c r="D40" s="948"/>
      <c r="E40" s="948"/>
      <c r="F40" s="1062"/>
      <c r="G40" s="1062">
        <f>SUM(G30:G35)</f>
        <v>170</v>
      </c>
      <c r="H40" s="950"/>
      <c r="I40" s="949"/>
    </row>
    <row r="41" spans="1:11">
      <c r="A41" s="951" t="s">
        <v>678</v>
      </c>
      <c r="B41" s="954"/>
      <c r="C41" s="948"/>
      <c r="D41" s="948"/>
      <c r="E41" s="948"/>
      <c r="F41" s="948"/>
      <c r="G41" s="948"/>
      <c r="H41" s="948"/>
      <c r="I41" s="947"/>
    </row>
    <row r="42" spans="1:11">
      <c r="A42" s="954">
        <f>SUM(A40-G40)</f>
        <v>206.01400000000001</v>
      </c>
      <c r="B42" s="954"/>
      <c r="C42" s="948"/>
      <c r="D42" s="948"/>
      <c r="E42" s="948"/>
      <c r="F42" s="957"/>
      <c r="G42" s="959" t="s">
        <v>682</v>
      </c>
      <c r="H42" s="1063"/>
      <c r="I42" s="1064"/>
      <c r="J42" s="1063"/>
      <c r="K42" s="1054"/>
    </row>
    <row r="43" spans="1:11" ht="14.25" customHeight="1">
      <c r="A43" s="954"/>
      <c r="B43" s="954"/>
      <c r="C43" s="954"/>
      <c r="D43" s="954"/>
      <c r="E43" s="957"/>
      <c r="F43" s="956" t="s">
        <v>677</v>
      </c>
      <c r="G43" s="957" t="s">
        <v>676</v>
      </c>
      <c r="I43" s="954"/>
    </row>
    <row r="44" spans="1:11" ht="12.75" customHeight="1">
      <c r="A44" s="951" t="s">
        <v>665</v>
      </c>
      <c r="B44" s="954" t="s">
        <v>670</v>
      </c>
      <c r="C44" s="954" t="s">
        <v>671</v>
      </c>
      <c r="D44" s="954" t="s">
        <v>672</v>
      </c>
      <c r="E44" s="955"/>
      <c r="F44" s="955" t="s">
        <v>673</v>
      </c>
      <c r="G44" s="948" t="s">
        <v>675</v>
      </c>
      <c r="H44" s="934" t="s">
        <v>674</v>
      </c>
      <c r="I44" s="954"/>
      <c r="K44" s="934"/>
    </row>
    <row r="45" spans="1:11">
      <c r="A45" s="951" t="s">
        <v>669</v>
      </c>
      <c r="B45" s="1065">
        <v>250</v>
      </c>
      <c r="C45" s="1065">
        <v>410</v>
      </c>
      <c r="D45" s="1066">
        <f>SUM(F2+F15)/2</f>
        <v>385</v>
      </c>
      <c r="E45" s="1067"/>
      <c r="F45" s="1068">
        <v>6.7000000000000004E-2</v>
      </c>
      <c r="G45" s="1069">
        <f>(C45-D45)*F45</f>
        <v>1.675</v>
      </c>
      <c r="H45" s="1069">
        <f>(D45-B45)*F45</f>
        <v>9.0449999999999999</v>
      </c>
      <c r="I45" s="954"/>
      <c r="J45" s="1070"/>
    </row>
    <row r="46" spans="1:11">
      <c r="A46" s="934" t="s">
        <v>666</v>
      </c>
      <c r="B46" s="1071">
        <v>797</v>
      </c>
      <c r="C46" s="1065">
        <v>797</v>
      </c>
      <c r="D46" s="1066">
        <v>797</v>
      </c>
      <c r="E46" s="1067"/>
      <c r="F46" s="1068">
        <v>0.13900000000000001</v>
      </c>
      <c r="G46" s="1069">
        <f>(C46-D46)*F46</f>
        <v>0</v>
      </c>
      <c r="H46" s="1069">
        <f>(D46-B46)*F46</f>
        <v>0</v>
      </c>
      <c r="I46" s="954"/>
    </row>
    <row r="47" spans="1:11">
      <c r="A47" s="934" t="s">
        <v>667</v>
      </c>
      <c r="B47" s="1071">
        <v>250</v>
      </c>
      <c r="C47" s="1065">
        <v>410</v>
      </c>
      <c r="D47" s="1066">
        <f>SUM(C2+C15)/2</f>
        <v>384</v>
      </c>
      <c r="E47" s="1067"/>
      <c r="F47" s="1068">
        <v>0.14099999999999999</v>
      </c>
      <c r="G47" s="1069">
        <f>(C47-D47)*F47</f>
        <v>3.6659999999999995</v>
      </c>
      <c r="H47" s="1069">
        <f>(D47-B47)*F47</f>
        <v>18.893999999999998</v>
      </c>
      <c r="I47" s="954"/>
    </row>
    <row r="48" spans="1:11">
      <c r="A48" s="934" t="s">
        <v>668</v>
      </c>
      <c r="B48" s="1071">
        <v>285</v>
      </c>
      <c r="C48" s="1065">
        <v>750</v>
      </c>
      <c r="D48" s="1066">
        <f>SUM(C18+C38)/2</f>
        <v>492.5</v>
      </c>
      <c r="E48" s="1067"/>
      <c r="F48" s="1068">
        <v>0.161</v>
      </c>
      <c r="G48" s="1069">
        <f>(C48-D48)*F48</f>
        <v>41.457500000000003</v>
      </c>
      <c r="H48" s="1069">
        <f>(D48-B48)*F48</f>
        <v>33.407499999999999</v>
      </c>
    </row>
    <row r="49" spans="1:8">
      <c r="B49" s="1051"/>
      <c r="C49" s="1051"/>
      <c r="D49" s="1051"/>
      <c r="E49" s="1051"/>
      <c r="F49" s="958" t="s">
        <v>359</v>
      </c>
      <c r="G49" s="1069">
        <f>SUM(G45:G48)</f>
        <v>46.798500000000004</v>
      </c>
      <c r="H49" s="1069">
        <f>SUM(H45:H48)</f>
        <v>61.346499999999999</v>
      </c>
    </row>
    <row r="55" spans="1:8">
      <c r="A55" s="1072"/>
      <c r="G55" s="1072"/>
    </row>
  </sheetData>
  <customSheetViews>
    <customSheetView guid="{66C35B70-1DF5-11D4-B46C-0004ACEC7D4A}" fitToPage="1" showRuler="0">
      <colBreaks count="1" manualBreakCount="1">
        <brk id="14" max="1048575" man="1"/>
      </colBreaks>
      <pageMargins left="0.75" right="0.75" top="1" bottom="1" header="0.5" footer="0.5"/>
      <pageSetup scale="54" orientation="portrait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53" orientation="portrait" horizontalDpi="4294967292" verticalDpi="4294967292" r:id="rId2"/>
  <headerFooter alignWithMargins="0">
    <oddFooter>&amp;RPrinted: &amp;D &amp;T</oddFooter>
  </headerFooter>
  <colBreaks count="1" manualBreakCount="1">
    <brk id="14" max="1048575" man="1"/>
  </colBrea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autoPageBreaks="0"/>
  </sheetPr>
  <dimension ref="A1:AH17"/>
  <sheetViews>
    <sheetView zoomScale="75" workbookViewId="0"/>
  </sheetViews>
  <sheetFormatPr defaultColWidth="3.90625" defaultRowHeight="13.2"/>
  <cols>
    <col min="1" max="1" width="8" style="15" customWidth="1"/>
    <col min="2" max="2" width="3.81640625" style="15" customWidth="1"/>
    <col min="3" max="3" width="3.54296875" style="15" customWidth="1"/>
    <col min="4" max="4" width="8.6328125" style="15" customWidth="1"/>
    <col min="5" max="5" width="6.1796875" style="15" customWidth="1"/>
    <col min="6" max="6" width="8.36328125" style="15" customWidth="1"/>
    <col min="7" max="7" width="6.81640625" style="15" customWidth="1"/>
    <col min="8" max="8" width="5.36328125" style="15" customWidth="1"/>
    <col min="9" max="9" width="56.54296875" style="15" customWidth="1"/>
    <col min="10" max="10" width="58.08984375" style="15" customWidth="1"/>
    <col min="11" max="11" width="3.6328125" style="15" hidden="1" customWidth="1"/>
    <col min="12" max="12" width="9" style="15" customWidth="1"/>
    <col min="13" max="33" width="3.90625" style="15" customWidth="1"/>
    <col min="34" max="34" width="7.08984375" style="15" customWidth="1"/>
    <col min="35" max="16384" width="3.90625" style="15"/>
  </cols>
  <sheetData>
    <row r="1" spans="1:34">
      <c r="A1" s="86" t="s">
        <v>13</v>
      </c>
      <c r="AH1" s="15" t="s">
        <v>14</v>
      </c>
    </row>
    <row r="2" spans="1:34">
      <c r="E2" s="87" t="s">
        <v>15</v>
      </c>
      <c r="F2" s="87" t="s">
        <v>15</v>
      </c>
      <c r="G2" s="87" t="s">
        <v>15</v>
      </c>
      <c r="H2" s="87"/>
      <c r="L2" s="87"/>
      <c r="AH2" s="15" t="s">
        <v>16</v>
      </c>
    </row>
    <row r="3" spans="1:34">
      <c r="B3" s="87"/>
      <c r="C3" s="87"/>
      <c r="D3" s="87" t="s">
        <v>17</v>
      </c>
      <c r="E3" s="87" t="s">
        <v>17</v>
      </c>
      <c r="F3" s="87" t="s">
        <v>18</v>
      </c>
      <c r="G3" s="87" t="s">
        <v>19</v>
      </c>
      <c r="H3" s="87" t="s">
        <v>20</v>
      </c>
      <c r="L3" s="87" t="s">
        <v>21</v>
      </c>
      <c r="AH3" s="15" t="s">
        <v>22</v>
      </c>
    </row>
    <row r="4" spans="1:34">
      <c r="A4" s="16"/>
      <c r="B4" s="87" t="s">
        <v>23</v>
      </c>
      <c r="C4" s="87" t="s">
        <v>24</v>
      </c>
      <c r="D4" s="87" t="s">
        <v>25</v>
      </c>
      <c r="E4" s="87" t="s">
        <v>26</v>
      </c>
      <c r="F4" s="87" t="s">
        <v>27</v>
      </c>
      <c r="G4" s="87" t="s">
        <v>20</v>
      </c>
      <c r="H4" s="87" t="s">
        <v>28</v>
      </c>
      <c r="I4" s="150" t="s">
        <v>29</v>
      </c>
      <c r="J4" s="87" t="s">
        <v>30</v>
      </c>
      <c r="K4" s="87" t="s">
        <v>31</v>
      </c>
      <c r="L4" s="87" t="s">
        <v>32</v>
      </c>
      <c r="AH4" s="15" t="s">
        <v>33</v>
      </c>
    </row>
    <row r="5" spans="1:34" ht="16.5" customHeight="1">
      <c r="A5" s="88">
        <v>37017</v>
      </c>
      <c r="B5" s="11">
        <v>75</v>
      </c>
      <c r="C5" s="49">
        <v>62</v>
      </c>
      <c r="D5" s="49">
        <v>14</v>
      </c>
      <c r="E5" s="11" t="s">
        <v>792</v>
      </c>
      <c r="F5" s="11">
        <v>17</v>
      </c>
      <c r="G5" s="11">
        <v>6424</v>
      </c>
      <c r="H5" s="11">
        <v>0</v>
      </c>
      <c r="I5" s="911" t="s">
        <v>787</v>
      </c>
      <c r="J5" s="911" t="s">
        <v>11</v>
      </c>
      <c r="K5" s="11">
        <v>5</v>
      </c>
      <c r="L5" s="11">
        <v>1</v>
      </c>
      <c r="N5" s="15" t="str">
        <f>I5&amp;" "&amp;I5</f>
        <v>PARTLY CLOUDY. A CHANCE OF RAIN AND T'STORMS DURING THE NIGHT. PARTLY CLOUDY. A CHANCE OF RAIN AND T'STORMS DURING THE NIGHT.</v>
      </c>
      <c r="AE5" s="15">
        <v>1</v>
      </c>
      <c r="AH5" s="15" t="s">
        <v>34</v>
      </c>
    </row>
    <row r="6" spans="1:34" ht="16.5" customHeight="1">
      <c r="A6" s="88">
        <f>A5+1</f>
        <v>37018</v>
      </c>
      <c r="B6" s="11">
        <v>72</v>
      </c>
      <c r="C6" s="49">
        <v>51</v>
      </c>
      <c r="D6" s="49">
        <v>10</v>
      </c>
      <c r="E6" s="11" t="s">
        <v>11</v>
      </c>
      <c r="F6" s="11" t="s">
        <v>11</v>
      </c>
      <c r="G6" s="11"/>
      <c r="H6" s="11" t="s">
        <v>11</v>
      </c>
      <c r="I6" s="911" t="s">
        <v>788</v>
      </c>
      <c r="J6" s="911" t="s">
        <v>11</v>
      </c>
      <c r="K6" s="11">
        <v>5</v>
      </c>
      <c r="L6" s="11" t="s">
        <v>627</v>
      </c>
      <c r="N6" s="15" t="str">
        <f>I6&amp;" "&amp;J6</f>
        <v xml:space="preserve">A CHANCE OF SHOWERS AND T'STORMS.  </v>
      </c>
      <c r="AE6" s="15">
        <v>1</v>
      </c>
      <c r="AH6" s="15" t="s">
        <v>35</v>
      </c>
    </row>
    <row r="7" spans="1:34" ht="16.5" customHeight="1">
      <c r="A7" s="88">
        <f>A6+1</f>
        <v>37019</v>
      </c>
      <c r="B7" s="11">
        <v>65</v>
      </c>
      <c r="C7" s="49">
        <v>45</v>
      </c>
      <c r="D7" s="49">
        <v>10</v>
      </c>
      <c r="E7" s="11" t="s">
        <v>11</v>
      </c>
      <c r="F7" s="11" t="s">
        <v>11</v>
      </c>
      <c r="G7" s="11"/>
      <c r="H7" s="11" t="s">
        <v>11</v>
      </c>
      <c r="I7" s="911" t="s">
        <v>788</v>
      </c>
      <c r="J7" s="911" t="s">
        <v>11</v>
      </c>
      <c r="K7" s="11">
        <v>2</v>
      </c>
      <c r="L7" s="11" t="s">
        <v>22</v>
      </c>
      <c r="N7" s="15" t="str">
        <f>I7&amp;" "&amp;J7</f>
        <v xml:space="preserve">A CHANCE OF SHOWERS AND T'STORMS.  </v>
      </c>
    </row>
    <row r="8" spans="1:34" ht="16.5" customHeight="1">
      <c r="A8" s="88">
        <f>A7+1</f>
        <v>37020</v>
      </c>
      <c r="B8" s="11">
        <v>62</v>
      </c>
      <c r="C8" s="49">
        <v>49</v>
      </c>
      <c r="D8" s="49">
        <v>12</v>
      </c>
      <c r="E8" s="11" t="s">
        <v>11</v>
      </c>
      <c r="F8" s="11" t="s">
        <v>11</v>
      </c>
      <c r="G8" s="11"/>
      <c r="H8" s="11" t="s">
        <v>11</v>
      </c>
      <c r="I8" s="911" t="s">
        <v>788</v>
      </c>
      <c r="J8" s="911" t="s">
        <v>11</v>
      </c>
      <c r="K8" s="11">
        <v>3</v>
      </c>
      <c r="L8" s="11"/>
      <c r="N8" s="15" t="str">
        <f>I8&amp;" "&amp;J8</f>
        <v xml:space="preserve">A CHANCE OF SHOWERS AND T'STORMS.  </v>
      </c>
    </row>
    <row r="9" spans="1:34" ht="16.5" customHeight="1">
      <c r="A9" s="88">
        <f>A8+1</f>
        <v>37021</v>
      </c>
      <c r="B9" s="11">
        <v>69</v>
      </c>
      <c r="C9" s="49">
        <v>54</v>
      </c>
      <c r="D9" s="49">
        <v>12</v>
      </c>
      <c r="E9" s="11" t="s">
        <v>11</v>
      </c>
      <c r="F9" s="11" t="s">
        <v>11</v>
      </c>
      <c r="G9" s="11"/>
      <c r="H9" s="11" t="s">
        <v>11</v>
      </c>
      <c r="I9" s="911" t="s">
        <v>788</v>
      </c>
      <c r="J9" s="911" t="s">
        <v>11</v>
      </c>
      <c r="K9" s="11">
        <v>5</v>
      </c>
      <c r="L9" s="11">
        <v>0</v>
      </c>
      <c r="M9" s="89"/>
      <c r="N9" s="15" t="str">
        <f>I10&amp;" "&amp;J9</f>
        <v xml:space="preserve">A CHANCE OF SHOWERS AND T'STORMS.  </v>
      </c>
    </row>
    <row r="10" spans="1:34" ht="16.5" customHeight="1">
      <c r="A10" s="88">
        <f>A9+1</f>
        <v>37022</v>
      </c>
      <c r="B10" s="11">
        <v>69</v>
      </c>
      <c r="C10" s="49">
        <v>54</v>
      </c>
      <c r="D10" s="49">
        <v>12</v>
      </c>
      <c r="E10" s="11" t="s">
        <v>11</v>
      </c>
      <c r="F10" s="11" t="s">
        <v>11</v>
      </c>
      <c r="G10" s="11"/>
      <c r="H10" s="11" t="s">
        <v>11</v>
      </c>
      <c r="I10" s="911" t="s">
        <v>788</v>
      </c>
      <c r="J10" s="911" t="s">
        <v>11</v>
      </c>
      <c r="K10" s="11">
        <v>5</v>
      </c>
      <c r="L10" s="11" t="s">
        <v>414</v>
      </c>
    </row>
    <row r="11" spans="1:34" ht="16.5" customHeight="1">
      <c r="G11"/>
    </row>
    <row r="12" spans="1:34" ht="15.6">
      <c r="E12" s="85"/>
      <c r="F12" s="85"/>
      <c r="G12" s="464"/>
      <c r="H12" s="85"/>
      <c r="I12" s="85"/>
      <c r="J12" s="85"/>
    </row>
    <row r="13" spans="1:34" ht="15">
      <c r="E13" s="85"/>
      <c r="F13" s="85"/>
      <c r="G13" s="482" t="s">
        <v>11</v>
      </c>
      <c r="H13" s="85"/>
      <c r="I13" s="85"/>
      <c r="J13" s="85"/>
    </row>
    <row r="14" spans="1:34" ht="15">
      <c r="E14" s="85"/>
      <c r="F14" s="85"/>
      <c r="G14" s="465"/>
      <c r="H14" s="85"/>
      <c r="I14" s="85"/>
      <c r="J14" s="85"/>
    </row>
    <row r="15" spans="1:34">
      <c r="E15" s="85"/>
      <c r="F15" s="85"/>
      <c r="G15" s="481" t="s">
        <v>11</v>
      </c>
      <c r="H15" s="85"/>
      <c r="I15" s="85"/>
      <c r="J15" s="85"/>
    </row>
    <row r="16" spans="1:34">
      <c r="E16" s="85"/>
      <c r="F16" s="85"/>
      <c r="G16" s="11"/>
      <c r="H16" s="85"/>
      <c r="I16" s="85"/>
      <c r="J16" s="85"/>
    </row>
    <row r="17" spans="6:7" ht="15">
      <c r="F17" s="14"/>
      <c r="G17" s="14"/>
    </row>
  </sheetData>
  <sheetProtection sheet="1" objects="1" scenarios="1"/>
  <customSheetViews>
    <customSheetView guid="{66C35B70-1DF5-11D4-B46C-0004ACEC7D4A}" scale="75" hiddenColumns="1" showRuler="0">
      <selection activeCell="B5" sqref="B5"/>
      <pageMargins left="0.75" right="0.75" top="5" bottom="1" header="0.5" footer="0.5"/>
      <printOptions gridLines="1"/>
      <pageSetup scale="94"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5" bottom="1" header="0.5" footer="0.5"/>
  <pageSetup scale="94" orientation="portrait" horizontalDpi="4294967292" r:id="rId2"/>
  <headerFooter alignWithMargins="0">
    <oddHeader>&amp;A</oddHeader>
    <oddFooter>Page &amp;P</oddFooter>
  </headerFooter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64" r:id="rId5" name="Drop Down 16">
              <controlPr defaultSize="0" autoFill="0" autoLine="0" autoPict="0">
                <anchor moveWithCells="1">
                  <from>
                    <xdr:col>11</xdr:col>
                    <xdr:colOff>38100</xdr:colOff>
                    <xdr:row>4</xdr:row>
                    <xdr:rowOff>7620</xdr:rowOff>
                  </from>
                  <to>
                    <xdr:col>12</xdr:col>
                    <xdr:colOff>0</xdr:colOff>
                    <xdr:row>4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5" r:id="rId6" name="Drop Down 17">
              <controlPr defaultSize="0" autoFill="0" autoLine="0" autoPict="0">
                <anchor moveWithCells="1">
                  <from>
                    <xdr:col>11</xdr:col>
                    <xdr:colOff>38100</xdr:colOff>
                    <xdr:row>5</xdr:row>
                    <xdr:rowOff>7620</xdr:rowOff>
                  </from>
                  <to>
                    <xdr:col>12</xdr:col>
                    <xdr:colOff>0</xdr:colOff>
                    <xdr:row>5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6" r:id="rId7" name="Drop Down 18">
              <controlPr defaultSize="0" autoFill="0" autoLine="0" autoPict="0">
                <anchor moveWithCells="1">
                  <from>
                    <xdr:col>11</xdr:col>
                    <xdr:colOff>38100</xdr:colOff>
                    <xdr:row>6</xdr:row>
                    <xdr:rowOff>7620</xdr:rowOff>
                  </from>
                  <to>
                    <xdr:col>12</xdr:col>
                    <xdr:colOff>0</xdr:colOff>
                    <xdr:row>6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7" r:id="rId8" name="Drop Down 19">
              <controlPr defaultSize="0" autoFill="0" autoLine="0" autoPict="0">
                <anchor moveWithCells="1">
                  <from>
                    <xdr:col>11</xdr:col>
                    <xdr:colOff>38100</xdr:colOff>
                    <xdr:row>7</xdr:row>
                    <xdr:rowOff>7620</xdr:rowOff>
                  </from>
                  <to>
                    <xdr:col>12</xdr:col>
                    <xdr:colOff>0</xdr:colOff>
                    <xdr:row>7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8" r:id="rId9" name="Drop Down 20">
              <controlPr defaultSize="0" autoFill="0" autoLine="0" autoPict="0">
                <anchor moveWithCells="1">
                  <from>
                    <xdr:col>11</xdr:col>
                    <xdr:colOff>38100</xdr:colOff>
                    <xdr:row>8</xdr:row>
                    <xdr:rowOff>7620</xdr:rowOff>
                  </from>
                  <to>
                    <xdr:col>12</xdr:col>
                    <xdr:colOff>0</xdr:colOff>
                    <xdr:row>8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9" r:id="rId10" name="Drop Down 21">
              <controlPr defaultSize="0" autoFill="0" autoLine="0" autoPict="0">
                <anchor moveWithCells="1">
                  <from>
                    <xdr:col>11</xdr:col>
                    <xdr:colOff>38100</xdr:colOff>
                    <xdr:row>9</xdr:row>
                    <xdr:rowOff>7620</xdr:rowOff>
                  </from>
                  <to>
                    <xdr:col>12</xdr:col>
                    <xdr:colOff>0</xdr:colOff>
                    <xdr:row>9</xdr:row>
                    <xdr:rowOff>198120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M146"/>
  <sheetViews>
    <sheetView zoomScale="75" workbookViewId="0"/>
  </sheetViews>
  <sheetFormatPr defaultColWidth="8.90625" defaultRowHeight="13.2" outlineLevelRow="2"/>
  <cols>
    <col min="1" max="1" width="22.08984375" style="1" customWidth="1"/>
    <col min="2" max="2" width="9.54296875" style="1" customWidth="1"/>
    <col min="3" max="3" width="8.1796875" style="1" customWidth="1"/>
    <col min="4" max="4" width="20.90625" style="1" customWidth="1"/>
    <col min="5" max="5" width="10.81640625" style="1" customWidth="1"/>
    <col min="6" max="6" width="8.36328125" style="1" customWidth="1"/>
    <col min="7" max="7" width="22.453125" style="1" customWidth="1"/>
    <col min="8" max="8" width="21.08984375" style="1" customWidth="1"/>
    <col min="9" max="10" width="8.90625" style="1"/>
    <col min="11" max="11" width="23.08984375" style="1" customWidth="1"/>
    <col min="12" max="16384" width="8.90625" style="1"/>
  </cols>
  <sheetData>
    <row r="1" spans="1:13" ht="15">
      <c r="A1"/>
      <c r="B1"/>
      <c r="D1"/>
      <c r="E1" t="s">
        <v>11</v>
      </c>
      <c r="H1"/>
      <c r="I1"/>
      <c r="J1"/>
      <c r="K1"/>
      <c r="L1"/>
      <c r="M1"/>
    </row>
    <row r="2" spans="1:13" ht="16.2" thickBot="1">
      <c r="A2" s="124" t="s">
        <v>574</v>
      </c>
      <c r="B2" s="186">
        <f>PGL_Deliveries!U5/1000</f>
        <v>4.2389999999999999</v>
      </c>
      <c r="C2" s="60"/>
      <c r="D2" s="121" t="s">
        <v>324</v>
      </c>
      <c r="E2" s="426">
        <f>Weather_Input!A5</f>
        <v>37017</v>
      </c>
      <c r="F2" s="60"/>
      <c r="H2"/>
      <c r="I2"/>
      <c r="J2"/>
      <c r="K2"/>
      <c r="L2"/>
      <c r="M2"/>
    </row>
    <row r="3" spans="1:13" ht="15">
      <c r="A3" s="99" t="s">
        <v>575</v>
      </c>
      <c r="B3" s="632">
        <f>PGL_Supplies!J7/1000</f>
        <v>0</v>
      </c>
      <c r="C3" s="185"/>
      <c r="D3" s="1128" t="s">
        <v>771</v>
      </c>
      <c r="E3" s="807">
        <f>PGL_Deliveries!T5/1000</f>
        <v>0</v>
      </c>
      <c r="F3" s="184"/>
      <c r="H3"/>
      <c r="I3"/>
      <c r="J3"/>
      <c r="K3"/>
      <c r="L3"/>
      <c r="M3"/>
    </row>
    <row r="4" spans="1:13" ht="15.6" thickBot="1">
      <c r="A4" s="102"/>
      <c r="B4" s="163"/>
      <c r="C4" s="160"/>
      <c r="D4" s="788"/>
      <c r="E4" s="168"/>
      <c r="F4" s="167"/>
      <c r="H4"/>
      <c r="I4"/>
      <c r="J4"/>
      <c r="K4"/>
      <c r="L4"/>
      <c r="M4"/>
    </row>
    <row r="5" spans="1:13" ht="15">
      <c r="A5" s="183" t="s">
        <v>578</v>
      </c>
      <c r="B5" s="154">
        <f>PGL_Deliveries!D5/1000</f>
        <v>0</v>
      </c>
      <c r="C5" s="64"/>
      <c r="D5" s="59" t="s">
        <v>576</v>
      </c>
      <c r="E5" s="154">
        <f>PGL_Deliveries!O5/1000</f>
        <v>0</v>
      </c>
      <c r="F5" s="171"/>
      <c r="H5"/>
      <c r="I5"/>
      <c r="J5"/>
      <c r="K5"/>
      <c r="L5"/>
      <c r="M5"/>
    </row>
    <row r="6" spans="1:13" ht="15.6" thickBot="1">
      <c r="A6" s="182" t="s">
        <v>254</v>
      </c>
      <c r="B6" s="154">
        <f>PGL_Deliveries!I5/1000</f>
        <v>0</v>
      </c>
      <c r="C6" s="169"/>
      <c r="D6" s="59" t="s">
        <v>577</v>
      </c>
      <c r="E6" s="154">
        <f>PGL_Deliveries!P5/1000</f>
        <v>0</v>
      </c>
      <c r="F6" s="171"/>
      <c r="H6"/>
      <c r="I6"/>
      <c r="J6"/>
      <c r="K6"/>
      <c r="L6"/>
      <c r="M6"/>
    </row>
    <row r="7" spans="1:13" ht="16.2" thickBot="1">
      <c r="A7" s="181" t="s">
        <v>580</v>
      </c>
      <c r="B7" s="228">
        <f>SUM(B5:B6)</f>
        <v>0</v>
      </c>
      <c r="C7" s="169"/>
      <c r="D7" s="117" t="s">
        <v>208</v>
      </c>
      <c r="E7" s="154">
        <f>PGL_Deliveries!E5/1000</f>
        <v>0</v>
      </c>
      <c r="F7" s="171"/>
      <c r="H7"/>
      <c r="I7"/>
      <c r="J7"/>
      <c r="K7"/>
      <c r="L7"/>
      <c r="M7"/>
    </row>
    <row r="8" spans="1:13" ht="15">
      <c r="A8" s="444" t="s">
        <v>747</v>
      </c>
      <c r="B8" s="154">
        <f>PGL_Deliveries!V5/1000</f>
        <v>174.87799999999999</v>
      </c>
      <c r="C8" s="631"/>
      <c r="D8" s="117" t="s">
        <v>579</v>
      </c>
      <c r="E8" s="154">
        <f>PGL_Deliveries!N5/1000</f>
        <v>0</v>
      </c>
      <c r="F8" s="171"/>
      <c r="H8"/>
      <c r="I8"/>
      <c r="J8"/>
      <c r="K8"/>
      <c r="L8"/>
      <c r="M8"/>
    </row>
    <row r="9" spans="1:13" ht="15">
      <c r="A9" s="172" t="s">
        <v>68</v>
      </c>
      <c r="B9" s="154">
        <f>PGL_Deliveries!W5/1000</f>
        <v>0</v>
      </c>
      <c r="C9" s="64"/>
      <c r="D9" s="117" t="s">
        <v>211</v>
      </c>
      <c r="E9" s="154">
        <f>PGL_Deliveries!Q5/1000</f>
        <v>0</v>
      </c>
      <c r="F9" s="171"/>
      <c r="H9"/>
      <c r="I9"/>
      <c r="J9"/>
      <c r="K9"/>
      <c r="L9"/>
      <c r="M9"/>
    </row>
    <row r="10" spans="1:13" ht="15">
      <c r="A10" s="172" t="s">
        <v>181</v>
      </c>
      <c r="B10" s="154">
        <f>PGL_Deliveries!X5/1000</f>
        <v>0</v>
      </c>
      <c r="C10" s="64"/>
      <c r="D10" s="117" t="s">
        <v>213</v>
      </c>
      <c r="E10" s="154">
        <f>PGL_Deliveries!S5/1000</f>
        <v>4.2389999999999999</v>
      </c>
      <c r="F10" s="171"/>
      <c r="H10"/>
      <c r="I10"/>
      <c r="J10"/>
      <c r="K10"/>
      <c r="L10"/>
      <c r="M10"/>
    </row>
    <row r="11" spans="1:13" ht="15">
      <c r="A11" s="173" t="s">
        <v>74</v>
      </c>
      <c r="B11" s="154">
        <f>(PGL_Deliveries!AJ5+PGL_Deliveries!AK5)/1000</f>
        <v>15.026</v>
      </c>
      <c r="C11" s="64"/>
      <c r="D11" s="117" t="s">
        <v>581</v>
      </c>
      <c r="E11" s="154">
        <f>PGL_Deliveries!R5/1000</f>
        <v>0</v>
      </c>
      <c r="F11" s="171"/>
      <c r="H11"/>
      <c r="I11"/>
      <c r="J11"/>
      <c r="K11"/>
      <c r="L11"/>
      <c r="M11"/>
    </row>
    <row r="12" spans="1:13" ht="15">
      <c r="A12" s="172" t="s">
        <v>582</v>
      </c>
      <c r="B12" s="154">
        <f>PGL_Supplies!K7/1000</f>
        <v>0</v>
      </c>
      <c r="C12" s="64"/>
      <c r="D12" s="117" t="s">
        <v>217</v>
      </c>
      <c r="E12" s="154">
        <f>PGL_Deliveries!G5/1000</f>
        <v>0</v>
      </c>
      <c r="F12" s="171"/>
      <c r="H12"/>
      <c r="I12"/>
      <c r="J12"/>
      <c r="K12"/>
      <c r="L12"/>
      <c r="M12"/>
    </row>
    <row r="13" spans="1:13" ht="15">
      <c r="A13" s="172" t="s">
        <v>583</v>
      </c>
      <c r="B13" s="154">
        <f>PGL_Deliveries!Y5/1000+PGL_Deliveries!Z5/1000+PGL_Deliveries!AA5/1000-PGL_Deliveries!BE5/1000</f>
        <v>195.434</v>
      </c>
      <c r="C13" s="64"/>
      <c r="D13" s="117" t="s">
        <v>219</v>
      </c>
      <c r="E13" s="154">
        <f>PGL_Deliveries!F5/1000</f>
        <v>0</v>
      </c>
      <c r="F13" s="171"/>
      <c r="H13"/>
      <c r="I13"/>
      <c r="J13"/>
      <c r="K13"/>
      <c r="L13"/>
      <c r="M13"/>
    </row>
    <row r="14" spans="1:13" ht="15">
      <c r="A14" s="172" t="s">
        <v>183</v>
      </c>
      <c r="B14" s="154">
        <f>PGL_Deliveries!AD5/1000</f>
        <v>0</v>
      </c>
      <c r="C14" s="64"/>
      <c r="D14" s="117" t="s">
        <v>220</v>
      </c>
      <c r="E14" s="154">
        <f>PGL_Deliveries!H5/1000</f>
        <v>0</v>
      </c>
      <c r="F14" s="171"/>
      <c r="G14" s="154"/>
      <c r="H14"/>
      <c r="I14"/>
      <c r="J14"/>
      <c r="K14"/>
      <c r="L14"/>
      <c r="M14"/>
    </row>
    <row r="15" spans="1:13" ht="15">
      <c r="A15" s="172" t="s">
        <v>184</v>
      </c>
      <c r="B15" s="154">
        <f>PGL_Deliveries!AH5/1000+PGL_Deliveries!AX5/1000+PGL_Deliveries!AT5/1000-PGL_Deliveries!AS5/1000-PGL_Deliveries!AU5/1000+PGL_Deliveries!AE5/1000+PGL_Deliveries!AF5/1000-PGL_Deliveries!AV5/1000</f>
        <v>-181.26500000000001</v>
      </c>
      <c r="C15" s="64"/>
      <c r="D15" s="59" t="s">
        <v>402</v>
      </c>
      <c r="E15" s="154">
        <f>PGL_Deliveries!K5/1000</f>
        <v>0</v>
      </c>
      <c r="F15" s="171"/>
      <c r="H15"/>
      <c r="I15"/>
      <c r="J15"/>
      <c r="K15"/>
      <c r="L15"/>
      <c r="M15"/>
    </row>
    <row r="16" spans="1:13" ht="15">
      <c r="A16" s="172" t="s">
        <v>584</v>
      </c>
      <c r="B16" s="60"/>
      <c r="C16" s="226">
        <f>PGL_Deliveries!AO5/1000</f>
        <v>12.911</v>
      </c>
      <c r="D16" s="117" t="s">
        <v>223</v>
      </c>
      <c r="E16" s="154">
        <f>PGL_Deliveries!L5/1000</f>
        <v>0</v>
      </c>
      <c r="F16" s="171"/>
      <c r="H16"/>
      <c r="I16"/>
      <c r="J16"/>
      <c r="K16"/>
      <c r="L16"/>
      <c r="M16"/>
    </row>
    <row r="17" spans="1:13" ht="15.6" thickBot="1">
      <c r="A17" s="170" t="s">
        <v>186</v>
      </c>
      <c r="B17" s="154">
        <f>PGL_Deliveries!AP5/1000</f>
        <v>0</v>
      </c>
      <c r="C17" s="169" t="s">
        <v>11</v>
      </c>
      <c r="D17" s="1162" t="s">
        <v>222</v>
      </c>
      <c r="E17" s="210">
        <f>PGL_Deliveries!M5/1000</f>
        <v>0</v>
      </c>
      <c r="F17" s="167"/>
      <c r="H17"/>
      <c r="I17"/>
      <c r="J17"/>
      <c r="K17"/>
      <c r="L17"/>
      <c r="M17"/>
    </row>
    <row r="18" spans="1:13" ht="16.2" thickBot="1">
      <c r="A18" s="180" t="s">
        <v>585</v>
      </c>
      <c r="B18" s="905">
        <f>SUM(B8:B17)-C16</f>
        <v>191.16199999999995</v>
      </c>
      <c r="C18" s="169"/>
      <c r="D18" s="179" t="s">
        <v>586</v>
      </c>
      <c r="E18" s="178">
        <f>SUM(E5:E17)</f>
        <v>4.2389999999999999</v>
      </c>
      <c r="F18" s="167"/>
      <c r="H18"/>
      <c r="I18"/>
      <c r="J18"/>
      <c r="K18"/>
      <c r="L18"/>
      <c r="M18"/>
    </row>
    <row r="19" spans="1:13" ht="15">
      <c r="A19" s="444" t="s">
        <v>753</v>
      </c>
      <c r="B19" s="154">
        <f>PGL_Supplies!Y7/1000</f>
        <v>172.51499999999999</v>
      </c>
      <c r="C19" s="631"/>
      <c r="D19" s="117" t="s">
        <v>319</v>
      </c>
      <c r="E19" s="154">
        <f>PGL_Deliveries!AI5/1000</f>
        <v>0</v>
      </c>
      <c r="F19" s="171"/>
      <c r="H19"/>
      <c r="I19"/>
      <c r="J19"/>
      <c r="K19"/>
      <c r="L19"/>
      <c r="M19"/>
    </row>
    <row r="20" spans="1:13" ht="15">
      <c r="A20" s="172" t="s">
        <v>750</v>
      </c>
      <c r="B20" s="154">
        <f>PGL_Supplies!X7/1000</f>
        <v>0</v>
      </c>
      <c r="C20" s="64"/>
      <c r="D20" s="117" t="s">
        <v>189</v>
      </c>
      <c r="E20" s="154">
        <f>PGL_Deliveries!AW5/1000+B41</f>
        <v>2.7251999999999996</v>
      </c>
      <c r="F20" s="171"/>
      <c r="H20"/>
      <c r="I20"/>
      <c r="J20"/>
      <c r="K20"/>
      <c r="L20"/>
      <c r="M20"/>
    </row>
    <row r="21" spans="1:13" ht="16.2" thickBot="1">
      <c r="A21" s="172" t="s">
        <v>754</v>
      </c>
      <c r="C21" s="176">
        <f>PGL_Requirements!J7/1000</f>
        <v>3.1</v>
      </c>
      <c r="D21" s="630" t="s">
        <v>587</v>
      </c>
      <c r="E21" s="211">
        <f>SUM(E18:E20)</f>
        <v>6.9641999999999999</v>
      </c>
      <c r="F21" s="177"/>
      <c r="H21"/>
      <c r="I21"/>
      <c r="J21"/>
      <c r="K21"/>
      <c r="L21"/>
      <c r="M21"/>
    </row>
    <row r="22" spans="1:13" ht="15">
      <c r="A22" s="175" t="s">
        <v>359</v>
      </c>
      <c r="B22" s="1134">
        <f>+B19+B20-C21</f>
        <v>169.41499999999999</v>
      </c>
      <c r="C22" s="1127"/>
      <c r="D22" s="251" t="s">
        <v>588</v>
      </c>
      <c r="E22" s="154">
        <f>NSG_Requirements!$L$7/1000</f>
        <v>0</v>
      </c>
      <c r="F22" s="171"/>
      <c r="H22"/>
      <c r="I22"/>
      <c r="J22"/>
      <c r="K22"/>
      <c r="L22"/>
      <c r="M22"/>
    </row>
    <row r="23" spans="1:13" ht="15">
      <c r="A23" s="172" t="s">
        <v>227</v>
      </c>
      <c r="B23" s="154">
        <f>PGL_Supplies!Z7/1000</f>
        <v>40.200000000000003</v>
      </c>
      <c r="C23" s="64"/>
      <c r="D23" s="251" t="s">
        <v>589</v>
      </c>
      <c r="E23" s="60"/>
      <c r="F23" s="176">
        <f>NSG_Supplies!H7/1000</f>
        <v>0</v>
      </c>
      <c r="H23"/>
      <c r="I23"/>
      <c r="J23"/>
      <c r="K23"/>
      <c r="L23"/>
      <c r="M23"/>
    </row>
    <row r="24" spans="1:13" ht="15">
      <c r="A24" s="173" t="s">
        <v>764</v>
      </c>
      <c r="B24" s="633"/>
      <c r="C24" s="226">
        <f>PGL_Requirements!U7/1000</f>
        <v>40.200000000000003</v>
      </c>
      <c r="D24" s="60" t="s">
        <v>590</v>
      </c>
      <c r="E24" s="60"/>
      <c r="F24" s="176">
        <v>0</v>
      </c>
      <c r="H24"/>
      <c r="I24"/>
      <c r="J24"/>
      <c r="K24"/>
      <c r="L24"/>
      <c r="M24"/>
    </row>
    <row r="25" spans="1:13" ht="15">
      <c r="A25" s="173" t="s">
        <v>763</v>
      </c>
      <c r="B25" s="154">
        <f>PGL_Supplies!R7/1000</f>
        <v>0</v>
      </c>
      <c r="C25" s="64"/>
      <c r="D25" s="251" t="s">
        <v>592</v>
      </c>
      <c r="E25" s="60"/>
      <c r="F25" s="176">
        <f>PGL_Requirements!S7/1000</f>
        <v>0</v>
      </c>
      <c r="H25"/>
      <c r="I25"/>
      <c r="J25"/>
      <c r="K25"/>
      <c r="L25"/>
      <c r="M25"/>
    </row>
    <row r="26" spans="1:13" ht="15">
      <c r="A26" s="175" t="s">
        <v>233</v>
      </c>
      <c r="B26" s="68" t="s">
        <v>11</v>
      </c>
      <c r="C26" s="484" t="s">
        <v>11</v>
      </c>
      <c r="D26" s="60" t="s">
        <v>594</v>
      </c>
      <c r="E26" s="60"/>
      <c r="F26" s="176">
        <v>0</v>
      </c>
      <c r="G26"/>
      <c r="H26"/>
      <c r="I26"/>
      <c r="J26"/>
      <c r="K26"/>
      <c r="L26"/>
      <c r="M26"/>
    </row>
    <row r="27" spans="1:13" ht="15">
      <c r="A27" s="172" t="s">
        <v>591</v>
      </c>
      <c r="B27" s="154">
        <f>PGL_Supplies!AA7/1000</f>
        <v>0</v>
      </c>
      <c r="C27" s="64"/>
      <c r="D27" s="60" t="s">
        <v>192</v>
      </c>
      <c r="E27" s="60" t="s">
        <v>11</v>
      </c>
      <c r="F27" s="176">
        <f>PGL_Requirements!L7/1000</f>
        <v>0</v>
      </c>
      <c r="H27"/>
      <c r="I27"/>
      <c r="J27"/>
      <c r="K27"/>
      <c r="L27"/>
      <c r="M27"/>
    </row>
    <row r="28" spans="1:13" ht="15">
      <c r="A28" s="172" t="s">
        <v>593</v>
      </c>
      <c r="B28" s="154">
        <v>0</v>
      </c>
      <c r="C28" s="64"/>
      <c r="D28" s="251" t="s">
        <v>596</v>
      </c>
      <c r="E28" s="60"/>
      <c r="F28" s="176">
        <f>(PGL_Requirements!$AC$7+PGL_Requirements!$AD$7+PGL_Requirements!$AE$7)/1000</f>
        <v>0</v>
      </c>
      <c r="H28"/>
      <c r="I28"/>
      <c r="J28"/>
      <c r="K28"/>
      <c r="L28"/>
      <c r="M28"/>
    </row>
    <row r="29" spans="1:13" ht="15">
      <c r="A29" s="175" t="s">
        <v>595</v>
      </c>
      <c r="B29" s="68"/>
      <c r="C29" s="484">
        <f>PGL_Requirements!J12/1000</f>
        <v>0</v>
      </c>
      <c r="D29" s="634" t="s">
        <v>196</v>
      </c>
      <c r="E29" s="235" t="s">
        <v>11</v>
      </c>
      <c r="F29" s="176">
        <f>(PGL_Requirements!$Y$7+PGL_Requirements!$Z$7+PGL_Requirements!$AA$7+PGL_Requirements!$AB$7)/1000</f>
        <v>0</v>
      </c>
      <c r="H29"/>
      <c r="I29"/>
      <c r="J29"/>
      <c r="K29"/>
      <c r="L29"/>
      <c r="M29"/>
    </row>
    <row r="30" spans="1:13" ht="15">
      <c r="A30" s="172" t="s">
        <v>597</v>
      </c>
      <c r="B30" s="1081">
        <f>PGL_Supplies!AD7/1000</f>
        <v>0</v>
      </c>
      <c r="C30" s="64"/>
      <c r="D30" s="634" t="s">
        <v>599</v>
      </c>
      <c r="E30" s="60" t="s">
        <v>11</v>
      </c>
      <c r="F30" s="176">
        <f>(PGL_Requirements!$W$7+PGL_Requirements!$X$7)/1000</f>
        <v>0</v>
      </c>
      <c r="H30"/>
      <c r="I30"/>
      <c r="J30"/>
      <c r="K30"/>
      <c r="L30"/>
      <c r="M30"/>
    </row>
    <row r="31" spans="1:13" ht="15">
      <c r="A31" s="172" t="s">
        <v>598</v>
      </c>
      <c r="B31" s="154">
        <f>PGL_Supplies!AE7/1000</f>
        <v>0</v>
      </c>
      <c r="C31" s="64"/>
      <c r="D31" s="251" t="s">
        <v>600</v>
      </c>
      <c r="E31" s="60" t="s">
        <v>11</v>
      </c>
      <c r="F31" s="176">
        <f>PGL_Requirements!O7/1000</f>
        <v>6.24</v>
      </c>
      <c r="H31"/>
      <c r="I31"/>
      <c r="J31"/>
      <c r="K31"/>
      <c r="L31"/>
      <c r="M31"/>
    </row>
    <row r="32" spans="1:13" ht="15">
      <c r="A32" s="173" t="s">
        <v>9</v>
      </c>
      <c r="B32" s="60"/>
      <c r="C32" s="226">
        <v>0</v>
      </c>
      <c r="D32" s="174" t="s">
        <v>601</v>
      </c>
      <c r="E32" s="154">
        <f>PGL_Deliveries!AR5/1000</f>
        <v>1.4419999999999999</v>
      </c>
      <c r="F32" s="171"/>
      <c r="H32"/>
      <c r="I32"/>
      <c r="J32"/>
      <c r="K32"/>
      <c r="L32"/>
      <c r="M32"/>
    </row>
    <row r="33" spans="1:13" ht="15">
      <c r="A33" s="173" t="s">
        <v>8</v>
      </c>
      <c r="B33" s="154">
        <f>PGL_Supplies!Q7/1000</f>
        <v>0</v>
      </c>
      <c r="C33" s="64"/>
      <c r="D33" s="251" t="s">
        <v>735</v>
      </c>
      <c r="E33" s="154">
        <f>PGL_Supplies!M7/1000</f>
        <v>0</v>
      </c>
      <c r="F33" s="171"/>
      <c r="H33"/>
      <c r="I33"/>
      <c r="J33"/>
      <c r="K33"/>
      <c r="L33"/>
      <c r="M33"/>
    </row>
    <row r="34" spans="1:13" ht="15">
      <c r="A34" s="172" t="s">
        <v>602</v>
      </c>
      <c r="B34" s="635">
        <f>(PGL_Deliveries!AB5+PGL_Deliveries!AC5+PGL_Deliveries!AD5)/1000</f>
        <v>0</v>
      </c>
      <c r="C34" s="64"/>
      <c r="D34" s="60" t="s">
        <v>197</v>
      </c>
      <c r="E34" s="154">
        <f>PGL_Supplies!AC7/1000</f>
        <v>60.064</v>
      </c>
      <c r="F34" s="171"/>
      <c r="H34"/>
      <c r="I34"/>
      <c r="J34"/>
      <c r="K34"/>
      <c r="L34"/>
      <c r="M34"/>
    </row>
    <row r="35" spans="1:13" ht="15">
      <c r="A35" s="172" t="s">
        <v>603</v>
      </c>
      <c r="B35" s="60"/>
      <c r="C35" s="64">
        <f>PGL_Deliveries!AC5/1000</f>
        <v>0</v>
      </c>
      <c r="D35" s="60" t="s">
        <v>604</v>
      </c>
      <c r="E35" s="154">
        <v>0</v>
      </c>
      <c r="F35" s="171"/>
      <c r="H35"/>
      <c r="I35"/>
      <c r="J35"/>
      <c r="K35"/>
      <c r="L35"/>
      <c r="M35"/>
    </row>
    <row r="36" spans="1:13" ht="15">
      <c r="A36" s="175" t="s">
        <v>605</v>
      </c>
      <c r="B36" s="68"/>
      <c r="C36" s="484">
        <f>PGL_Deliveries!AB5/1000</f>
        <v>0</v>
      </c>
      <c r="D36" s="174" t="s">
        <v>606</v>
      </c>
      <c r="E36" s="154">
        <f>PGL_Supplies!N7/1000</f>
        <v>0</v>
      </c>
      <c r="F36" s="171"/>
      <c r="H36"/>
      <c r="I36"/>
      <c r="J36"/>
      <c r="K36"/>
      <c r="L36"/>
      <c r="M36"/>
    </row>
    <row r="37" spans="1:13" ht="15">
      <c r="A37" s="173" t="s">
        <v>607</v>
      </c>
      <c r="B37" s="154" t="s">
        <v>11</v>
      </c>
      <c r="C37" s="226">
        <f>PGL_Requirements!P7/1000</f>
        <v>190</v>
      </c>
      <c r="D37" s="251" t="s">
        <v>608</v>
      </c>
      <c r="E37" s="154">
        <f>PGL_Supplies!O7/1000</f>
        <v>0</v>
      </c>
      <c r="F37" s="171"/>
      <c r="H37"/>
      <c r="I37"/>
      <c r="J37"/>
      <c r="K37"/>
      <c r="L37"/>
      <c r="M37"/>
    </row>
    <row r="38" spans="1:13" ht="15">
      <c r="A38" s="173" t="s">
        <v>609</v>
      </c>
      <c r="B38" s="154">
        <f>PGL_Supplies!M7/1000</f>
        <v>0</v>
      </c>
      <c r="C38" s="64"/>
      <c r="F38" s="171"/>
      <c r="H38"/>
      <c r="I38"/>
      <c r="J38"/>
      <c r="K38"/>
      <c r="L38"/>
      <c r="M38"/>
    </row>
    <row r="39" spans="1:13" ht="15">
      <c r="A39" s="172" t="s">
        <v>610</v>
      </c>
      <c r="B39" s="60"/>
      <c r="C39" s="226">
        <f>PGL_Deliveries!AS5/1000</f>
        <v>0</v>
      </c>
      <c r="D39" s="60"/>
      <c r="E39" s="60"/>
      <c r="F39" s="171"/>
      <c r="G39" s="1" t="s">
        <v>11</v>
      </c>
      <c r="H39"/>
      <c r="I39"/>
      <c r="J39"/>
      <c r="K39"/>
      <c r="L39"/>
      <c r="M39"/>
    </row>
    <row r="40" spans="1:13" ht="16.2" thickBot="1">
      <c r="A40" s="172" t="s">
        <v>209</v>
      </c>
      <c r="B40" s="154">
        <f>PGL_Deliveries!AT5/1000</f>
        <v>1.0449999999999999</v>
      </c>
      <c r="C40" s="64"/>
      <c r="D40" s="212" t="s">
        <v>224</v>
      </c>
      <c r="E40" s="211">
        <f>SUM(E22:E37)-SUM(F23:F39)-E33</f>
        <v>55.265999999999998</v>
      </c>
      <c r="F40" s="167"/>
      <c r="H40"/>
      <c r="I40"/>
      <c r="J40"/>
      <c r="K40"/>
      <c r="L40"/>
      <c r="M40"/>
    </row>
    <row r="41" spans="1:13" ht="15">
      <c r="A41" s="172" t="s">
        <v>216</v>
      </c>
      <c r="B41" s="154">
        <f>PGL_Deliveries!AG5/1000</f>
        <v>0</v>
      </c>
      <c r="C41" s="64"/>
      <c r="D41" s="780" t="s">
        <v>611</v>
      </c>
      <c r="E41" s="807"/>
      <c r="F41" s="176">
        <f>PGL_Requirements!K7/1000</f>
        <v>0</v>
      </c>
      <c r="H41"/>
      <c r="I41"/>
      <c r="J41"/>
      <c r="K41"/>
      <c r="L41"/>
      <c r="M41"/>
    </row>
    <row r="42" spans="1:13" ht="15">
      <c r="A42" s="173" t="s">
        <v>612</v>
      </c>
      <c r="B42" s="154">
        <f>PGL_Deliveries!AF5/1000</f>
        <v>0</v>
      </c>
      <c r="C42" s="64"/>
      <c r="D42" s="251" t="s">
        <v>524</v>
      </c>
      <c r="E42" s="808">
        <f>PGL_Supplies!AB7/1000</f>
        <v>183.85499999999999</v>
      </c>
      <c r="F42" s="171"/>
      <c r="H42"/>
      <c r="I42"/>
      <c r="J42"/>
      <c r="K42"/>
      <c r="L42"/>
      <c r="M42"/>
    </row>
    <row r="43" spans="1:13" ht="15">
      <c r="A43" s="172" t="s">
        <v>613</v>
      </c>
      <c r="B43" s="154">
        <f>PGL_Deliveries!AW5/1000</f>
        <v>2.7251999999999996</v>
      </c>
      <c r="C43" s="64"/>
      <c r="D43" s="60" t="s">
        <v>393</v>
      </c>
      <c r="E43" s="808">
        <f>PGL_Supplies!W7/1000</f>
        <v>0</v>
      </c>
      <c r="F43" s="171"/>
      <c r="H43"/>
      <c r="I43"/>
      <c r="J43"/>
      <c r="K43"/>
      <c r="L43"/>
      <c r="M43"/>
    </row>
    <row r="44" spans="1:13" ht="15.6" thickBot="1">
      <c r="A44" s="170" t="s">
        <v>744</v>
      </c>
      <c r="B44" s="210" t="s">
        <v>11</v>
      </c>
      <c r="C44" s="226">
        <f>PGL_Requirements!R7/1000</f>
        <v>0.63</v>
      </c>
      <c r="D44" s="60" t="s">
        <v>527</v>
      </c>
      <c r="E44" s="154"/>
      <c r="F44" s="176">
        <f>(PGL_Requirements!$AF$7+PGL_Requirements!$AG$7+PGL_Requirements!$AH$7+PGL_Requirements!$AI$7)/1000</f>
        <v>0</v>
      </c>
      <c r="H44"/>
      <c r="I44"/>
      <c r="J44"/>
      <c r="K44"/>
      <c r="L44"/>
      <c r="M44"/>
    </row>
    <row r="45" spans="1:13" ht="15">
      <c r="A45" s="444" t="s">
        <v>614</v>
      </c>
      <c r="B45" s="60">
        <f>Weather_Input!B5</f>
        <v>75</v>
      </c>
      <c r="C45" s="185"/>
      <c r="D45" s="60" t="s">
        <v>528</v>
      </c>
      <c r="E45" s="154">
        <f>NSG_Requirements!$AB$7+NSG_Requirements!$AC$7+NSG_Requirements!$AD$7+NSG_Requirements!$AE$7/1000+NSG_Requirements!K7/1000</f>
        <v>0</v>
      </c>
      <c r="F45" s="176"/>
    </row>
    <row r="46" spans="1:13" ht="15">
      <c r="A46" s="172" t="s">
        <v>615</v>
      </c>
      <c r="B46" s="239">
        <f>Weather_Input!C5</f>
        <v>62</v>
      </c>
      <c r="C46" s="162"/>
      <c r="D46" s="60" t="s">
        <v>624</v>
      </c>
      <c r="E46" s="808">
        <f>PGL_Supplies!T7/1000</f>
        <v>20</v>
      </c>
      <c r="F46" s="171"/>
    </row>
    <row r="47" spans="1:13" ht="15">
      <c r="A47" s="173" t="s">
        <v>616</v>
      </c>
      <c r="B47" s="60" t="str">
        <f>Weather_Input!E5</f>
        <v>N/A</v>
      </c>
      <c r="C47" s="162"/>
      <c r="D47" s="779" t="s">
        <v>623</v>
      </c>
      <c r="E47" s="68"/>
      <c r="F47" s="809">
        <f>PGL_Deliveries!BE5/1000</f>
        <v>0</v>
      </c>
    </row>
    <row r="48" spans="1:13" ht="15">
      <c r="A48" s="172" t="s">
        <v>617</v>
      </c>
      <c r="B48" s="227">
        <f>Weather_Input!D5</f>
        <v>14</v>
      </c>
      <c r="C48" s="162"/>
      <c r="D48" s="251" t="s">
        <v>245</v>
      </c>
      <c r="E48" s="154">
        <f>PGL_Deliveries!AI5/1000</f>
        <v>0</v>
      </c>
      <c r="F48" s="161"/>
    </row>
    <row r="49" spans="1:6" ht="15">
      <c r="A49" s="172" t="s">
        <v>618</v>
      </c>
      <c r="B49" s="154">
        <f>PGL_Deliveries!AM5/1000</f>
        <v>1.026</v>
      </c>
      <c r="C49" s="162"/>
      <c r="D49" s="60" t="s">
        <v>785</v>
      </c>
      <c r="E49" s="154">
        <f>PGL_Deliveries!AJ5/1000</f>
        <v>15.026</v>
      </c>
      <c r="F49" s="161"/>
    </row>
    <row r="50" spans="1:6" ht="15.6" outlineLevel="2" thickBot="1">
      <c r="A50" s="102" t="s">
        <v>619</v>
      </c>
      <c r="B50" s="163"/>
      <c r="C50" s="160"/>
      <c r="D50" s="168" t="s">
        <v>620</v>
      </c>
      <c r="E50" s="210">
        <f>PGL_Deliveries!AK5/1000</f>
        <v>0</v>
      </c>
      <c r="F50" s="443"/>
    </row>
    <row r="51" spans="1:6" ht="15" outlineLevel="2">
      <c r="A51" s="421" t="s">
        <v>621</v>
      </c>
      <c r="B51"/>
      <c r="C51"/>
      <c r="D51"/>
      <c r="E51"/>
      <c r="F51" s="122"/>
    </row>
    <row r="52" spans="1:6" ht="15" outlineLevel="2">
      <c r="A52" t="s">
        <v>11</v>
      </c>
      <c r="B52"/>
      <c r="C52"/>
      <c r="D52"/>
      <c r="E52"/>
      <c r="F52" s="122"/>
    </row>
    <row r="53" spans="1:6" ht="15" outlineLevel="2">
      <c r="A53" s="122"/>
      <c r="B53" s="122"/>
      <c r="C53"/>
      <c r="D53"/>
      <c r="E53"/>
      <c r="F53" s="122"/>
    </row>
    <row r="54" spans="1:6" ht="15" outlineLevel="2">
      <c r="A54" s="122"/>
      <c r="B54"/>
      <c r="C54"/>
      <c r="D54"/>
      <c r="E54"/>
      <c r="F54" s="122"/>
    </row>
    <row r="55" spans="1:6" ht="15" outlineLevel="2">
      <c r="A55" s="122"/>
      <c r="B55"/>
      <c r="C55"/>
      <c r="D55"/>
      <c r="E55"/>
      <c r="F55" s="122"/>
    </row>
    <row r="56" spans="1:6" ht="15" outlineLevel="2">
      <c r="A56" s="122"/>
      <c r="B56"/>
      <c r="C56"/>
      <c r="D56"/>
      <c r="E56"/>
      <c r="F56" s="122"/>
    </row>
    <row r="57" spans="1:6" ht="15" outlineLevel="2">
      <c r="A57" s="122"/>
      <c r="B57"/>
      <c r="C57"/>
      <c r="D57"/>
      <c r="E57"/>
      <c r="F57" s="122"/>
    </row>
    <row r="58" spans="1:6" ht="15" outlineLevel="1">
      <c r="A58" s="122"/>
      <c r="B58"/>
      <c r="C58"/>
      <c r="D58"/>
      <c r="E58"/>
      <c r="F58" s="122"/>
    </row>
    <row r="59" spans="1:6" ht="15" outlineLevel="2">
      <c r="A59" s="122"/>
      <c r="B59"/>
      <c r="C59"/>
      <c r="D59"/>
      <c r="E59"/>
      <c r="F59" s="122"/>
    </row>
    <row r="60" spans="1:6" ht="15" outlineLevel="1">
      <c r="A60" s="122"/>
      <c r="B60"/>
      <c r="C60"/>
      <c r="D60"/>
      <c r="E60"/>
      <c r="F60" s="122"/>
    </row>
    <row r="61" spans="1:6" ht="15">
      <c r="A61" s="60" t="s">
        <v>11</v>
      </c>
      <c r="B61" s="227" t="s">
        <v>11</v>
      </c>
      <c r="C61" s="122"/>
      <c r="D61" s="122"/>
      <c r="E61" s="122"/>
      <c r="F61" s="122"/>
    </row>
    <row r="62" spans="1:6" ht="15">
      <c r="A62" s="122"/>
      <c r="B62"/>
      <c r="C62"/>
      <c r="D62"/>
      <c r="E62"/>
      <c r="F62"/>
    </row>
    <row r="63" spans="1:6" ht="15">
      <c r="A63" s="122"/>
      <c r="B63"/>
      <c r="C63"/>
      <c r="D63"/>
      <c r="E63"/>
      <c r="F63"/>
    </row>
    <row r="64" spans="1:6" ht="15">
      <c r="A64" s="60"/>
      <c r="D64"/>
      <c r="E64"/>
      <c r="F64"/>
    </row>
    <row r="65" spans="1:6" ht="15">
      <c r="A65" s="60"/>
      <c r="D65"/>
      <c r="E65"/>
      <c r="F65"/>
    </row>
    <row r="66" spans="1:6">
      <c r="A66" s="60"/>
      <c r="D66" s="60"/>
    </row>
    <row r="67" spans="1:6">
      <c r="A67" s="60"/>
    </row>
    <row r="68" spans="1:6">
      <c r="A68" s="60"/>
    </row>
    <row r="69" spans="1:6">
      <c r="A69" s="60"/>
    </row>
    <row r="70" spans="1:6">
      <c r="A70" s="60"/>
    </row>
    <row r="71" spans="1:6">
      <c r="A71" s="60"/>
    </row>
    <row r="72" spans="1:6">
      <c r="A72" s="60"/>
    </row>
    <row r="73" spans="1:6">
      <c r="A73" s="60"/>
    </row>
    <row r="74" spans="1:6">
      <c r="A74" s="60"/>
    </row>
    <row r="75" spans="1:6">
      <c r="A75" s="60"/>
    </row>
    <row r="105" spans="1:6" ht="15">
      <c r="A105"/>
      <c r="B105"/>
      <c r="D105"/>
      <c r="E105"/>
      <c r="F105"/>
    </row>
    <row r="106" spans="1:6" ht="15">
      <c r="A106"/>
      <c r="B106"/>
      <c r="C106"/>
      <c r="D106"/>
      <c r="E106"/>
      <c r="F106"/>
    </row>
    <row r="107" spans="1:6" ht="15">
      <c r="A107"/>
      <c r="B107"/>
      <c r="C107"/>
      <c r="D107"/>
      <c r="E107"/>
      <c r="F107"/>
    </row>
    <row r="108" spans="1:6" ht="15">
      <c r="A108"/>
      <c r="B108"/>
      <c r="C108"/>
      <c r="D108"/>
      <c r="E108"/>
      <c r="F108"/>
    </row>
    <row r="109" spans="1:6" ht="15">
      <c r="A109"/>
      <c r="B109"/>
      <c r="C109"/>
      <c r="D109"/>
      <c r="E109"/>
      <c r="F109"/>
    </row>
    <row r="110" spans="1:6" ht="15">
      <c r="A110"/>
      <c r="B110"/>
      <c r="C110"/>
      <c r="D110"/>
      <c r="E110"/>
      <c r="F110"/>
    </row>
    <row r="111" spans="1:6" ht="15">
      <c r="A111"/>
      <c r="B111"/>
      <c r="C111"/>
      <c r="D111"/>
      <c r="E111"/>
      <c r="F111"/>
    </row>
    <row r="112" spans="1:6" ht="15">
      <c r="A112"/>
      <c r="B112"/>
      <c r="C112"/>
      <c r="D112"/>
      <c r="E112"/>
      <c r="F112"/>
    </row>
    <row r="113" spans="1:6" ht="15">
      <c r="A113"/>
      <c r="B113"/>
      <c r="C113"/>
      <c r="D113"/>
      <c r="E113"/>
      <c r="F113"/>
    </row>
    <row r="114" spans="1:6" ht="15">
      <c r="A114"/>
      <c r="B114"/>
      <c r="C114"/>
      <c r="D114"/>
      <c r="E114"/>
      <c r="F114"/>
    </row>
    <row r="115" spans="1:6" ht="15">
      <c r="A115"/>
      <c r="B115"/>
      <c r="C115"/>
      <c r="D115"/>
      <c r="E115"/>
      <c r="F115"/>
    </row>
    <row r="116" spans="1:6" ht="15">
      <c r="A116"/>
      <c r="B116"/>
      <c r="C116"/>
      <c r="D116"/>
      <c r="E116"/>
      <c r="F116"/>
    </row>
    <row r="117" spans="1:6" ht="15">
      <c r="A117"/>
      <c r="B117"/>
      <c r="C117"/>
      <c r="D117"/>
      <c r="E117"/>
      <c r="F117"/>
    </row>
    <row r="118" spans="1:6" ht="15">
      <c r="A118"/>
      <c r="B118"/>
      <c r="C118"/>
      <c r="D118"/>
      <c r="E118"/>
      <c r="F118"/>
    </row>
    <row r="119" spans="1:6" ht="15">
      <c r="A119"/>
      <c r="B119"/>
      <c r="C119"/>
      <c r="D119"/>
      <c r="E119"/>
      <c r="F119"/>
    </row>
    <row r="120" spans="1:6" ht="15">
      <c r="A120"/>
      <c r="B120"/>
      <c r="C120"/>
      <c r="D120"/>
      <c r="E120"/>
      <c r="F120"/>
    </row>
    <row r="121" spans="1:6" ht="15">
      <c r="A121"/>
      <c r="B121"/>
      <c r="C121"/>
      <c r="D121"/>
      <c r="E121"/>
      <c r="F121"/>
    </row>
    <row r="122" spans="1:6" ht="15">
      <c r="A122"/>
      <c r="B122"/>
      <c r="C122"/>
      <c r="D122"/>
      <c r="E122"/>
      <c r="F122"/>
    </row>
    <row r="123" spans="1:6" ht="15">
      <c r="A123"/>
      <c r="B123"/>
      <c r="C123"/>
      <c r="D123"/>
      <c r="E123"/>
      <c r="F123"/>
    </row>
    <row r="124" spans="1:6" ht="15">
      <c r="A124"/>
      <c r="B124"/>
      <c r="C124"/>
      <c r="D124"/>
      <c r="E124"/>
      <c r="F124"/>
    </row>
    <row r="125" spans="1:6" ht="15">
      <c r="A125"/>
      <c r="B125"/>
      <c r="C125"/>
      <c r="D125"/>
      <c r="E125"/>
      <c r="F125"/>
    </row>
    <row r="126" spans="1:6" ht="15">
      <c r="A126"/>
      <c r="B126"/>
      <c r="C126"/>
      <c r="D126"/>
      <c r="E126"/>
      <c r="F126"/>
    </row>
    <row r="127" spans="1:6" ht="15">
      <c r="A127"/>
      <c r="B127"/>
      <c r="C127"/>
      <c r="D127"/>
      <c r="E127"/>
      <c r="F127"/>
    </row>
    <row r="128" spans="1:6" ht="15">
      <c r="A128"/>
      <c r="B128"/>
      <c r="C128"/>
      <c r="D128"/>
      <c r="E128"/>
      <c r="F128"/>
    </row>
    <row r="129" spans="1:6" ht="15">
      <c r="A129"/>
      <c r="B129"/>
      <c r="C129"/>
      <c r="D129"/>
      <c r="E129"/>
      <c r="F129"/>
    </row>
    <row r="130" spans="1:6" ht="15">
      <c r="A130"/>
      <c r="B130"/>
      <c r="C130"/>
      <c r="D130"/>
      <c r="E130"/>
      <c r="F130"/>
    </row>
    <row r="131" spans="1:6" ht="15">
      <c r="A131"/>
      <c r="B131"/>
      <c r="C131"/>
      <c r="D131"/>
      <c r="E131"/>
      <c r="F131"/>
    </row>
    <row r="132" spans="1:6" ht="15">
      <c r="A132"/>
      <c r="B132"/>
      <c r="C132"/>
      <c r="D132"/>
      <c r="E132"/>
      <c r="F132"/>
    </row>
    <row r="133" spans="1:6" ht="15">
      <c r="A133"/>
      <c r="B133"/>
      <c r="C133"/>
      <c r="D133"/>
      <c r="E133"/>
      <c r="F133"/>
    </row>
    <row r="134" spans="1:6" ht="15">
      <c r="A134"/>
      <c r="B134"/>
      <c r="C134"/>
      <c r="D134"/>
      <c r="E134"/>
      <c r="F134"/>
    </row>
    <row r="135" spans="1:6" ht="15">
      <c r="A135"/>
      <c r="B135"/>
      <c r="C135"/>
      <c r="D135"/>
      <c r="E135"/>
      <c r="F135"/>
    </row>
    <row r="136" spans="1:6" ht="15">
      <c r="A136"/>
      <c r="B136"/>
      <c r="C136"/>
      <c r="D136"/>
      <c r="E136"/>
      <c r="F136"/>
    </row>
    <row r="137" spans="1:6" ht="15">
      <c r="A137"/>
      <c r="B137"/>
      <c r="C137"/>
      <c r="D137"/>
      <c r="E137"/>
      <c r="F137"/>
    </row>
    <row r="138" spans="1:6" ht="15">
      <c r="A138"/>
      <c r="B138"/>
      <c r="C138"/>
      <c r="D138"/>
      <c r="E138"/>
      <c r="F138"/>
    </row>
    <row r="139" spans="1:6" ht="15">
      <c r="A139"/>
      <c r="B139"/>
      <c r="C139"/>
      <c r="D139"/>
      <c r="E139"/>
      <c r="F139"/>
    </row>
    <row r="140" spans="1:6" ht="15">
      <c r="A140"/>
      <c r="B140"/>
      <c r="C140"/>
      <c r="D140"/>
      <c r="E140"/>
      <c r="F140"/>
    </row>
    <row r="141" spans="1:6" ht="15">
      <c r="A141"/>
      <c r="B141"/>
      <c r="C141"/>
      <c r="D141"/>
      <c r="E141"/>
      <c r="F141"/>
    </row>
    <row r="142" spans="1:6" ht="15">
      <c r="A142"/>
      <c r="B142"/>
      <c r="C142"/>
      <c r="D142"/>
      <c r="E142"/>
      <c r="F142"/>
    </row>
    <row r="143" spans="1:6" ht="15">
      <c r="A143"/>
      <c r="B143"/>
      <c r="C143"/>
      <c r="D143"/>
      <c r="E143"/>
      <c r="F143"/>
    </row>
    <row r="144" spans="1:6" ht="15">
      <c r="A144"/>
      <c r="B144"/>
      <c r="C144"/>
      <c r="D144"/>
      <c r="E144"/>
      <c r="F144"/>
    </row>
    <row r="145" spans="1:6" ht="15">
      <c r="A145"/>
      <c r="B145"/>
      <c r="C145"/>
      <c r="D145"/>
      <c r="E145"/>
      <c r="F145"/>
    </row>
    <row r="146" spans="1:6" ht="15">
      <c r="A146"/>
      <c r="B146"/>
      <c r="C146"/>
      <c r="D146"/>
      <c r="E146"/>
      <c r="F146"/>
    </row>
  </sheetData>
  <customSheetViews>
    <customSheetView guid="{66C35B70-1DF5-11D4-B46C-0004ACEC7D4A}" scale="75" fitToPage="1" showRuler="0">
      <selection sqref="A1:F54"/>
      <pageMargins left="1" right="0.5" top="0.5" bottom="0.5" header="0.5" footer="0.5"/>
      <pageSetup scale="73" orientation="portrait" horizontalDpi="4294967292" verticalDpi="4294967292" r:id="rId1"/>
      <headerFooter alignWithMargins="0">
        <oddHeader>&amp;C&amp;A</oddHeader>
        <oddFooter>&amp;R&amp;10Printed: &amp;D &amp;T</oddFooter>
      </headerFooter>
    </customSheetView>
  </customSheetViews>
  <pageMargins left="1" right="0.5" top="0.5" bottom="0.5" header="0.5" footer="0.5"/>
  <pageSetup scale="73" orientation="portrait" horizontalDpi="4294967292" verticalDpi="4294967292" r:id="rId2"/>
  <headerFooter alignWithMargins="0">
    <oddHeader>&amp;C&amp;A</oddHeader>
    <oddFooter>&amp;R&amp;10Printed: &amp;D &amp;T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K38"/>
  <sheetViews>
    <sheetView zoomScale="75" workbookViewId="0"/>
  </sheetViews>
  <sheetFormatPr defaultColWidth="8.90625" defaultRowHeight="13.2"/>
  <cols>
    <col min="1" max="1" width="18.1796875" style="1" customWidth="1"/>
    <col min="2" max="2" width="7.6328125" style="1" customWidth="1"/>
    <col min="3" max="3" width="6.54296875" style="1" customWidth="1"/>
    <col min="4" max="4" width="25" style="1" customWidth="1"/>
    <col min="5" max="5" width="8.90625" style="1"/>
    <col min="6" max="6" width="7.6328125" style="1" customWidth="1"/>
    <col min="7" max="16384" width="8.90625" style="1"/>
  </cols>
  <sheetData>
    <row r="1" spans="1:11" ht="15.6">
      <c r="A1" s="119" t="s">
        <v>789</v>
      </c>
    </row>
    <row r="2" spans="1:11" ht="15">
      <c r="A2" s="122" t="s">
        <v>11</v>
      </c>
      <c r="B2" s="135"/>
      <c r="C2"/>
      <c r="D2"/>
      <c r="E2"/>
      <c r="F2"/>
      <c r="G2"/>
      <c r="J2"/>
      <c r="K2"/>
    </row>
    <row r="3" spans="1:11" ht="15.6" thickBot="1">
      <c r="A3" s="1135" t="s">
        <v>5</v>
      </c>
      <c r="B3" s="244">
        <f>NSG_Deliveries!H5/1000</f>
        <v>0</v>
      </c>
      <c r="C3" s="120"/>
      <c r="D3" s="230" t="s">
        <v>324</v>
      </c>
      <c r="E3" s="429">
        <f>Weather_Input!A5</f>
        <v>37017</v>
      </c>
      <c r="F3" s="120"/>
      <c r="G3"/>
      <c r="J3"/>
      <c r="K3"/>
    </row>
    <row r="4" spans="1:11" ht="15.6" thickTop="1">
      <c r="A4" s="249"/>
      <c r="B4" s="242"/>
      <c r="C4" s="132"/>
      <c r="D4" s="162"/>
      <c r="E4" s="162"/>
      <c r="F4" s="126"/>
      <c r="G4"/>
      <c r="J4"/>
      <c r="K4"/>
    </row>
    <row r="5" spans="1:11" ht="15">
      <c r="A5" s="250" t="s">
        <v>178</v>
      </c>
      <c r="B5" s="243">
        <f>NSG_Deliveries!E5/1000</f>
        <v>0</v>
      </c>
      <c r="C5" s="146"/>
      <c r="D5" s="222" t="s">
        <v>326</v>
      </c>
      <c r="E5" s="217">
        <f>NSG_Deliveries!D5/1000</f>
        <v>0</v>
      </c>
      <c r="F5" s="213"/>
      <c r="G5"/>
      <c r="J5"/>
      <c r="K5"/>
    </row>
    <row r="6" spans="1:11" ht="15" customHeight="1">
      <c r="A6" s="249"/>
      <c r="B6" s="242"/>
      <c r="C6" s="132"/>
      <c r="D6" s="162"/>
      <c r="E6" s="162"/>
      <c r="F6" s="127"/>
      <c r="G6"/>
    </row>
    <row r="7" spans="1:11" ht="15" customHeight="1">
      <c r="A7" s="250" t="s">
        <v>327</v>
      </c>
      <c r="B7" s="217">
        <f>NSG_Deliveries!G5/1000</f>
        <v>0</v>
      </c>
      <c r="C7" s="819"/>
      <c r="D7" s="222" t="s">
        <v>328</v>
      </c>
      <c r="E7" s="217">
        <f>NSG_Supplies!U7/1000</f>
        <v>0</v>
      </c>
      <c r="F7" s="115"/>
      <c r="G7"/>
    </row>
    <row r="8" spans="1:11" ht="15" customHeight="1">
      <c r="A8" s="237" t="s">
        <v>224</v>
      </c>
      <c r="B8" s="217">
        <f>B5+B7</f>
        <v>0</v>
      </c>
      <c r="C8" s="161"/>
      <c r="D8" s="820" t="s">
        <v>642</v>
      </c>
      <c r="E8" s="814">
        <f>NSG_Deliveries!F5/1000</f>
        <v>0</v>
      </c>
      <c r="F8" s="813"/>
      <c r="G8"/>
    </row>
    <row r="9" spans="1:11" ht="15" customHeight="1">
      <c r="A9" s="245" t="s">
        <v>323</v>
      </c>
      <c r="B9" s="218" t="s">
        <v>11</v>
      </c>
      <c r="C9" s="134">
        <f>NSG_Requirements!L7/1000</f>
        <v>0</v>
      </c>
      <c r="D9" s="1" t="s">
        <v>632</v>
      </c>
      <c r="E9" s="815" t="s">
        <v>11</v>
      </c>
      <c r="F9" s="1040">
        <f>NSG_Deliveries!M5/1000</f>
        <v>20</v>
      </c>
      <c r="G9" s="122"/>
    </row>
    <row r="10" spans="1:11" ht="15" customHeight="1">
      <c r="A10" s="128" t="s">
        <v>330</v>
      </c>
      <c r="B10" s="219">
        <f>NSG_Supplies!H7/1000</f>
        <v>0</v>
      </c>
      <c r="C10" s="133"/>
      <c r="D10" s="1042" t="s">
        <v>633</v>
      </c>
      <c r="E10" s="446">
        <f>NSG_Deliveries!N5/1000</f>
        <v>0</v>
      </c>
      <c r="F10" s="816"/>
      <c r="G10"/>
    </row>
    <row r="11" spans="1:11" ht="15" customHeight="1" thickBot="1">
      <c r="A11" s="131" t="s">
        <v>331</v>
      </c>
      <c r="B11" s="427" t="s">
        <v>11</v>
      </c>
      <c r="C11" s="428"/>
      <c r="D11" s="170" t="s">
        <v>643</v>
      </c>
      <c r="E11" s="817">
        <f>NSG_Supplies!Q7/1000</f>
        <v>20</v>
      </c>
      <c r="F11" s="818"/>
      <c r="G11"/>
    </row>
    <row r="12" spans="1:11" ht="15" customHeight="1">
      <c r="A12" s="128" t="s">
        <v>394</v>
      </c>
      <c r="B12" s="219">
        <v>0</v>
      </c>
      <c r="C12" s="132"/>
      <c r="D12" t="s">
        <v>329</v>
      </c>
      <c r="E12" s="242"/>
      <c r="F12" s="798">
        <f>NSG_Requirements!K7/1000+NSG_Requirements!L7/1000+NSG_Requirements!M7/1000+NSG_Requirements!N7/1000</f>
        <v>0</v>
      </c>
      <c r="G12"/>
    </row>
    <row r="13" spans="1:11" ht="15" customHeight="1">
      <c r="A13" s="128" t="s">
        <v>334</v>
      </c>
      <c r="B13" s="219">
        <f>NSG_Supplies!R7/1000</f>
        <v>31.536000000000001</v>
      </c>
      <c r="C13" s="132"/>
      <c r="D13" s="247" t="s">
        <v>332</v>
      </c>
      <c r="E13" s="240"/>
      <c r="F13" s="248"/>
      <c r="G13"/>
    </row>
    <row r="14" spans="1:11" ht="15" customHeight="1">
      <c r="A14" s="128" t="s">
        <v>194</v>
      </c>
      <c r="B14" s="219">
        <f>NSG_Supplies!C7/1000</f>
        <v>0</v>
      </c>
      <c r="C14" s="132"/>
      <c r="D14" s="214" t="s">
        <v>333</v>
      </c>
      <c r="E14" s="246" t="s">
        <v>11</v>
      </c>
      <c r="F14" s="129">
        <f>NSG_Requirements!M7/1000</f>
        <v>0</v>
      </c>
    </row>
    <row r="15" spans="1:11" ht="15" customHeight="1">
      <c r="A15" s="130" t="s">
        <v>336</v>
      </c>
      <c r="B15" s="214"/>
      <c r="C15" s="134">
        <f>NSG_Deliveries!K5/1000</f>
        <v>0</v>
      </c>
      <c r="D15" s="238" t="s">
        <v>335</v>
      </c>
      <c r="E15" s="772">
        <f>+NSG_Supplies!O7/1000</f>
        <v>0</v>
      </c>
      <c r="F15" s="215"/>
    </row>
    <row r="16" spans="1:11" ht="15" customHeight="1" thickBot="1">
      <c r="A16" s="130" t="s">
        <v>337</v>
      </c>
      <c r="B16" s="446">
        <f>NSG_Deliveries!L5/1000</f>
        <v>22.489000000000001</v>
      </c>
      <c r="C16" s="1041"/>
      <c r="D16" s="828" t="s">
        <v>243</v>
      </c>
      <c r="E16" s="236" t="s">
        <v>11</v>
      </c>
      <c r="F16" s="129">
        <f>NSG_Requirements!X7/1000</f>
        <v>0</v>
      </c>
    </row>
    <row r="17" spans="1:8" ht="15" customHeight="1" thickBot="1">
      <c r="A17" s="128" t="s">
        <v>338</v>
      </c>
      <c r="B17" s="214"/>
      <c r="C17" s="134">
        <f>NSG_Requirements!P7/1000</f>
        <v>0</v>
      </c>
      <c r="D17" s="431" t="s">
        <v>339</v>
      </c>
      <c r="E17" s="430"/>
      <c r="F17" s="432"/>
    </row>
    <row r="18" spans="1:8" ht="15" customHeight="1">
      <c r="A18" s="128" t="s">
        <v>340</v>
      </c>
      <c r="B18" s="219">
        <f>NSG_Supplies!I7/1000</f>
        <v>0</v>
      </c>
      <c r="C18" s="132"/>
      <c r="D18" s="64" t="s">
        <v>341</v>
      </c>
      <c r="E18" s="162"/>
      <c r="F18" s="129">
        <f>NSG_Requirements!N7/1000</f>
        <v>0</v>
      </c>
    </row>
    <row r="19" spans="1:8" ht="15" customHeight="1">
      <c r="A19" s="130" t="s">
        <v>491</v>
      </c>
      <c r="B19" s="446">
        <f>PGL_Requirements!Y7/1000+PGL_Requirements!AB7/1000</f>
        <v>0</v>
      </c>
      <c r="C19" s="445"/>
      <c r="D19" s="232" t="s">
        <v>342</v>
      </c>
      <c r="E19" s="162"/>
      <c r="F19" s="129">
        <f>NSG_Requirements!S7/1000</f>
        <v>0</v>
      </c>
    </row>
    <row r="20" spans="1:8" ht="15" customHeight="1">
      <c r="A20" s="130" t="s">
        <v>343</v>
      </c>
      <c r="B20" s="446">
        <f>PGL_Requirements!Z7/1000</f>
        <v>0</v>
      </c>
      <c r="C20" s="445" t="s">
        <v>11</v>
      </c>
      <c r="D20" s="214" t="s">
        <v>344</v>
      </c>
      <c r="E20" s="162"/>
      <c r="F20" s="129">
        <f>NSG_Requirements!O7/1000</f>
        <v>0</v>
      </c>
    </row>
    <row r="21" spans="1:8" ht="15" customHeight="1">
      <c r="A21" s="130" t="s">
        <v>520</v>
      </c>
      <c r="B21" s="446">
        <f>PGL_Requirements!AA7/1000</f>
        <v>0</v>
      </c>
      <c r="C21" s="445"/>
      <c r="D21" s="223" t="s">
        <v>345</v>
      </c>
      <c r="E21" s="219">
        <f>NSG_Supplies!L7/1000</f>
        <v>0</v>
      </c>
      <c r="F21" s="144"/>
    </row>
    <row r="22" spans="1:8" ht="15" customHeight="1">
      <c r="A22" s="128" t="s">
        <v>325</v>
      </c>
      <c r="B22" s="214"/>
      <c r="C22" s="134">
        <f>NSG_Requirements!C7/1000</f>
        <v>0</v>
      </c>
      <c r="D22" s="223" t="s">
        <v>369</v>
      </c>
      <c r="E22" s="219">
        <f>NSG_Supplies!M7/1000</f>
        <v>0</v>
      </c>
      <c r="F22" s="144"/>
    </row>
    <row r="23" spans="1:8" ht="15" customHeight="1">
      <c r="A23" s="128" t="s">
        <v>346</v>
      </c>
      <c r="B23" s="214"/>
      <c r="C23" s="134">
        <f>NSG_Requirements!R7/1000</f>
        <v>0</v>
      </c>
      <c r="D23" s="223" t="s">
        <v>347</v>
      </c>
      <c r="E23" s="219">
        <f>PGL_Supplies!S7/1000</f>
        <v>0</v>
      </c>
      <c r="F23" s="129" t="s">
        <v>11</v>
      </c>
    </row>
    <row r="24" spans="1:8" ht="15" customHeight="1">
      <c r="A24" s="128" t="s">
        <v>348</v>
      </c>
      <c r="B24" s="219">
        <f>NSG_Supplies!K7/1000</f>
        <v>0</v>
      </c>
      <c r="C24" s="132"/>
      <c r="D24" s="231" t="s">
        <v>349</v>
      </c>
      <c r="E24" s="224">
        <f>NSG_Supplies!P7/1000</f>
        <v>0</v>
      </c>
      <c r="F24" s="127"/>
    </row>
    <row r="25" spans="1:8" ht="15" customHeight="1">
      <c r="A25" s="130" t="s">
        <v>350</v>
      </c>
      <c r="B25" s="214"/>
      <c r="C25" s="134">
        <f>NSG_Requirements!Q7/1000</f>
        <v>0</v>
      </c>
      <c r="D25" s="231" t="s">
        <v>351</v>
      </c>
      <c r="E25" s="219">
        <f>PGL_Requirements!V71/1000</f>
        <v>0</v>
      </c>
      <c r="F25" s="118"/>
    </row>
    <row r="26" spans="1:8" ht="15" customHeight="1">
      <c r="A26" s="145" t="s">
        <v>352</v>
      </c>
      <c r="B26" s="220">
        <f>NSG_Supplies!J7/1000</f>
        <v>0</v>
      </c>
      <c r="C26" s="146"/>
      <c r="D26" s="773" t="s">
        <v>353</v>
      </c>
      <c r="E26" s="777"/>
      <c r="F26" s="129">
        <f>NSG_Requirements!D7/1000</f>
        <v>0</v>
      </c>
    </row>
    <row r="27" spans="1:8" ht="15" customHeight="1" thickBot="1">
      <c r="A27" s="147" t="s">
        <v>224</v>
      </c>
      <c r="B27" s="221">
        <f>SUM(B9:B26)-SUM(C9:C26)</f>
        <v>54.025000000000006</v>
      </c>
      <c r="C27" s="148"/>
      <c r="D27" s="241" t="s">
        <v>354</v>
      </c>
      <c r="E27" s="221">
        <f>SUM(E18:E26)-SUM(F18:F26)</f>
        <v>0</v>
      </c>
      <c r="F27" s="149"/>
      <c r="H27" s="1" t="s">
        <v>11</v>
      </c>
    </row>
    <row r="28" spans="1:8" ht="15" customHeight="1" thickTop="1">
      <c r="A28" s="164" t="s">
        <v>395</v>
      </c>
      <c r="B28"/>
      <c r="C28"/>
    </row>
    <row r="29" spans="1:8" ht="15">
      <c r="A29"/>
      <c r="B29"/>
      <c r="C29"/>
    </row>
    <row r="30" spans="1:8" ht="15">
      <c r="A30"/>
      <c r="B30"/>
      <c r="C30"/>
    </row>
    <row r="31" spans="1:8" ht="15">
      <c r="A31"/>
      <c r="B31"/>
      <c r="C31"/>
      <c r="D31"/>
      <c r="E31"/>
      <c r="F31"/>
    </row>
    <row r="32" spans="1:8" ht="15">
      <c r="A32"/>
      <c r="B32"/>
      <c r="C32"/>
      <c r="D32"/>
      <c r="E32"/>
      <c r="F32"/>
    </row>
    <row r="33" spans="1:6" ht="15">
      <c r="A33"/>
      <c r="B33"/>
      <c r="C33"/>
      <c r="D33"/>
      <c r="E33"/>
      <c r="F33"/>
    </row>
    <row r="34" spans="1:6" ht="15">
      <c r="A34"/>
      <c r="B34"/>
      <c r="C34"/>
      <c r="D34"/>
      <c r="E34"/>
      <c r="F34"/>
    </row>
    <row r="35" spans="1:6" ht="15">
      <c r="A35"/>
      <c r="B35"/>
      <c r="C35"/>
      <c r="D35"/>
      <c r="E35"/>
      <c r="F35"/>
    </row>
    <row r="36" spans="1:6" ht="15">
      <c r="A36"/>
      <c r="B36"/>
      <c r="C36"/>
    </row>
    <row r="37" spans="1:6" ht="15">
      <c r="A37"/>
      <c r="B37"/>
      <c r="C37"/>
    </row>
    <row r="38" spans="1:6" ht="15">
      <c r="A38"/>
      <c r="B38"/>
      <c r="C38"/>
    </row>
  </sheetData>
  <customSheetViews>
    <customSheetView guid="{66C35B70-1DF5-11D4-B46C-0004ACEC7D4A}" scale="75" fitToPage="1" showRuler="0">
      <pageMargins left="0.75" right="0.25" top="1.5" bottom="1" header="0.5" footer="0.5"/>
      <pageSetup scale="87" orientation="portrait" horizontalDpi="4294967292" verticalDpi="4294967292" r:id="rId1"/>
      <headerFooter alignWithMargins="0"/>
    </customSheetView>
  </customSheetViews>
  <pageMargins left="0.75" right="0.25" top="1.5" bottom="1" header="0.5" footer="0.5"/>
  <pageSetup scale="87" orientation="portrait" horizontalDpi="4294967292" verticalDpi="4294967292" r:id="rId2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C2"/>
  <sheetViews>
    <sheetView zoomScale="75" workbookViewId="0"/>
  </sheetViews>
  <sheetFormatPr defaultRowHeight="15"/>
  <cols>
    <col min="1" max="1" width="22.81640625" customWidth="1"/>
  </cols>
  <sheetData>
    <row r="1" spans="1:3">
      <c r="A1" s="164" t="s">
        <v>11</v>
      </c>
    </row>
    <row r="2" spans="1:3" ht="15.6">
      <c r="C2" s="96" t="s">
        <v>355</v>
      </c>
    </row>
  </sheetData>
  <customSheetViews>
    <customSheetView guid="{66C35B70-1DF5-11D4-B46C-0004ACEC7D4A}" scale="75" showRuler="0">
      <pageMargins left="0.75" right="0.75" top="1" bottom="1" header="0.5" footer="0.5"/>
      <printOptions gridLines="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B1:G47"/>
  <sheetViews>
    <sheetView workbookViewId="0"/>
  </sheetViews>
  <sheetFormatPr defaultRowHeight="15.6"/>
  <cols>
    <col min="2" max="2" width="8.90625" style="800" customWidth="1"/>
  </cols>
  <sheetData>
    <row r="1" spans="2:7">
      <c r="E1" s="800" t="s">
        <v>11</v>
      </c>
    </row>
    <row r="2" spans="2:7">
      <c r="B2" s="929" t="s">
        <v>11</v>
      </c>
      <c r="C2" s="929" t="s">
        <v>11</v>
      </c>
      <c r="D2" s="929" t="s">
        <v>172</v>
      </c>
      <c r="E2" s="929" t="s">
        <v>11</v>
      </c>
      <c r="F2" s="929" t="s">
        <v>172</v>
      </c>
      <c r="G2" s="929" t="s">
        <v>11</v>
      </c>
    </row>
    <row r="4" spans="2:7">
      <c r="B4" s="930" t="s">
        <v>172</v>
      </c>
    </row>
    <row r="6" spans="2:7">
      <c r="B6" s="929" t="s">
        <v>11</v>
      </c>
    </row>
    <row r="7" spans="2:7">
      <c r="B7" s="929"/>
    </row>
    <row r="8" spans="2:7">
      <c r="B8" s="929" t="s">
        <v>11</v>
      </c>
    </row>
    <row r="9" spans="2:7">
      <c r="B9" s="929"/>
    </row>
    <row r="10" spans="2:7">
      <c r="B10" s="929" t="s">
        <v>11</v>
      </c>
    </row>
    <row r="11" spans="2:7">
      <c r="B11" s="929" t="s">
        <v>11</v>
      </c>
    </row>
    <row r="12" spans="2:7">
      <c r="B12" s="929" t="s">
        <v>11</v>
      </c>
    </row>
    <row r="13" spans="2:7">
      <c r="B13" s="929"/>
    </row>
    <row r="14" spans="2:7">
      <c r="B14" s="929" t="s">
        <v>11</v>
      </c>
    </row>
    <row r="15" spans="2:7">
      <c r="B15" s="929"/>
    </row>
    <row r="16" spans="2:7">
      <c r="B16" s="929" t="s">
        <v>11</v>
      </c>
    </row>
    <row r="17" spans="2:5">
      <c r="B17" s="929"/>
    </row>
    <row r="18" spans="2:5">
      <c r="B18" s="929" t="s">
        <v>11</v>
      </c>
    </row>
    <row r="19" spans="2:5">
      <c r="B19" s="929"/>
    </row>
    <row r="20" spans="2:5">
      <c r="B20" s="929" t="s">
        <v>11</v>
      </c>
    </row>
    <row r="21" spans="2:5">
      <c r="B21" s="929"/>
    </row>
    <row r="22" spans="2:5">
      <c r="B22" s="929" t="s">
        <v>11</v>
      </c>
    </row>
    <row r="24" spans="2:5">
      <c r="B24" s="929" t="s">
        <v>11</v>
      </c>
    </row>
    <row r="25" spans="2:5">
      <c r="E25" s="929" t="s">
        <v>11</v>
      </c>
    </row>
    <row r="27" spans="2:5">
      <c r="B27" s="929" t="s">
        <v>11</v>
      </c>
    </row>
    <row r="29" spans="2:5">
      <c r="B29" s="929" t="s">
        <v>11</v>
      </c>
    </row>
    <row r="30" spans="2:5">
      <c r="B30" s="929"/>
    </row>
    <row r="31" spans="2:5">
      <c r="B31" s="929" t="s">
        <v>11</v>
      </c>
    </row>
    <row r="32" spans="2:5">
      <c r="B32" s="929"/>
    </row>
    <row r="33" spans="2:2">
      <c r="B33" s="929" t="s">
        <v>11</v>
      </c>
    </row>
    <row r="34" spans="2:2">
      <c r="B34" s="929"/>
    </row>
    <row r="35" spans="2:2">
      <c r="B35" s="929" t="s">
        <v>11</v>
      </c>
    </row>
    <row r="36" spans="2:2">
      <c r="B36" s="929"/>
    </row>
    <row r="37" spans="2:2">
      <c r="B37" s="929" t="s">
        <v>11</v>
      </c>
    </row>
    <row r="38" spans="2:2">
      <c r="B38" s="929"/>
    </row>
    <row r="39" spans="2:2">
      <c r="B39" s="929" t="s">
        <v>11</v>
      </c>
    </row>
    <row r="40" spans="2:2">
      <c r="B40" s="929"/>
    </row>
    <row r="41" spans="2:2">
      <c r="B41" s="929" t="s">
        <v>11</v>
      </c>
    </row>
    <row r="42" spans="2:2">
      <c r="B42" s="929"/>
    </row>
    <row r="43" spans="2:2">
      <c r="B43" s="929" t="s">
        <v>11</v>
      </c>
    </row>
    <row r="44" spans="2:2">
      <c r="B44" s="929"/>
    </row>
    <row r="45" spans="2:2">
      <c r="B45" s="929" t="s">
        <v>11</v>
      </c>
    </row>
    <row r="47" spans="2:2">
      <c r="B47" s="929" t="s">
        <v>11</v>
      </c>
    </row>
  </sheetData>
  <customSheetViews>
    <customSheetView guid="{66C35B70-1DF5-11D4-B46C-0004ACEC7D4A}" showRuler="0">
      <pageMargins left="0.75" right="0.75" top="1" bottom="1" header="0.5" footer="0.5"/>
      <pageSetup orientation="portrait" horizontalDpi="0" r:id="rId1"/>
      <headerFooter alignWithMargins="0"/>
    </customSheetView>
  </customSheetViews>
  <pageMargins left="0.75" right="0.75" top="1" bottom="1" header="0.5" footer="0.5"/>
  <pageSetup orientation="portrait" r:id="rId2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EA35"/>
  <sheetViews>
    <sheetView workbookViewId="0"/>
  </sheetViews>
  <sheetFormatPr defaultColWidth="8.90625" defaultRowHeight="12.6"/>
  <cols>
    <col min="1" max="1" width="8.90625" style="141"/>
    <col min="2" max="16384" width="8.90625" style="138"/>
  </cols>
  <sheetData>
    <row r="1" spans="1:131" ht="15.6">
      <c r="A1" s="136"/>
      <c r="B1" s="137"/>
      <c r="D1" s="139"/>
    </row>
    <row r="2" spans="1:131" ht="15.6">
      <c r="A2" s="140"/>
      <c r="G2" s="137"/>
    </row>
    <row r="3" spans="1:131" ht="15">
      <c r="DZ3"/>
      <c r="EA3" s="152"/>
    </row>
    <row r="5" spans="1:131" ht="15.6">
      <c r="A5" s="142"/>
      <c r="B5" s="137"/>
    </row>
    <row r="6" spans="1:131">
      <c r="A6" s="143"/>
    </row>
    <row r="7" spans="1:131">
      <c r="A7" s="143"/>
    </row>
    <row r="8" spans="1:131">
      <c r="A8" s="143"/>
    </row>
    <row r="9" spans="1:131">
      <c r="A9" s="143" t="s">
        <v>11</v>
      </c>
      <c r="C9" s="928"/>
    </row>
    <row r="10" spans="1:131">
      <c r="A10" s="143"/>
    </row>
    <row r="11" spans="1:131">
      <c r="A11" s="143"/>
    </row>
    <row r="12" spans="1:131">
      <c r="A12" s="143"/>
    </row>
    <row r="13" spans="1:131">
      <c r="A13" s="143"/>
    </row>
    <row r="14" spans="1:131">
      <c r="A14" s="143"/>
      <c r="C14" s="138" t="s">
        <v>11</v>
      </c>
      <c r="D14" s="138" t="s">
        <v>11</v>
      </c>
    </row>
    <row r="15" spans="1:131">
      <c r="A15" s="143"/>
    </row>
    <row r="16" spans="1:131">
      <c r="A16" s="143"/>
    </row>
    <row r="17" spans="1:1">
      <c r="A17" s="143"/>
    </row>
    <row r="18" spans="1:1">
      <c r="A18" s="143"/>
    </row>
    <row r="19" spans="1:1">
      <c r="A19" s="143"/>
    </row>
    <row r="20" spans="1:1">
      <c r="A20" s="143"/>
    </row>
    <row r="21" spans="1:1">
      <c r="A21" s="143"/>
    </row>
    <row r="22" spans="1:1">
      <c r="A22" s="143"/>
    </row>
    <row r="23" spans="1:1">
      <c r="A23" s="143"/>
    </row>
    <row r="24" spans="1:1">
      <c r="A24" s="143"/>
    </row>
    <row r="25" spans="1:1">
      <c r="A25" s="143"/>
    </row>
    <row r="26" spans="1:1">
      <c r="A26" s="143"/>
    </row>
    <row r="27" spans="1:1">
      <c r="A27" s="143"/>
    </row>
    <row r="28" spans="1:1">
      <c r="A28" s="143"/>
    </row>
    <row r="29" spans="1:1">
      <c r="A29" s="143"/>
    </row>
    <row r="30" spans="1:1">
      <c r="A30" s="143"/>
    </row>
    <row r="31" spans="1:1">
      <c r="A31" s="143"/>
    </row>
    <row r="32" spans="1:1">
      <c r="A32" s="143"/>
    </row>
    <row r="33" spans="1:1">
      <c r="A33" s="143"/>
    </row>
    <row r="34" spans="1:1">
      <c r="A34" s="143"/>
    </row>
    <row r="35" spans="1:1">
      <c r="A35" s="143"/>
    </row>
  </sheetData>
  <customSheetViews>
    <customSheetView guid="{66C35B70-1DF5-11D4-B46C-0004ACEC7D4A}" showRuler="0"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S7"/>
  <sheetViews>
    <sheetView workbookViewId="0"/>
  </sheetViews>
  <sheetFormatPr defaultRowHeight="15"/>
  <cols>
    <col min="1" max="1" width="9.453125" customWidth="1"/>
    <col min="2" max="3" width="9.54296875" customWidth="1"/>
    <col min="4" max="5" width="11.6328125" hidden="1" customWidth="1"/>
    <col min="6" max="7" width="11.6328125" customWidth="1"/>
    <col min="8" max="8" width="9.54296875" customWidth="1"/>
    <col min="9" max="9" width="11.6328125" customWidth="1"/>
    <col min="10" max="11" width="11.6328125" hidden="1" customWidth="1"/>
    <col min="12" max="13" width="11.6328125" customWidth="1"/>
    <col min="16" max="17" width="0" hidden="1" customWidth="1"/>
  </cols>
  <sheetData>
    <row r="1" spans="1:19">
      <c r="A1" s="1" t="s">
        <v>356</v>
      </c>
      <c r="B1" s="51">
        <f>Weather_Input!A5</f>
        <v>37017</v>
      </c>
      <c r="C1" s="4"/>
    </row>
    <row r="2" spans="1:19">
      <c r="A2" s="111" t="s">
        <v>357</v>
      </c>
      <c r="B2" s="4"/>
      <c r="C2" s="4"/>
    </row>
    <row r="3" spans="1:19" ht="15.6">
      <c r="B3" s="206" t="s">
        <v>68</v>
      </c>
      <c r="C3" s="97"/>
      <c r="D3" s="6"/>
      <c r="E3" s="6"/>
      <c r="F3" s="6"/>
      <c r="G3" s="199"/>
      <c r="H3" s="97" t="s">
        <v>69</v>
      </c>
      <c r="I3" s="97"/>
      <c r="J3" s="6"/>
      <c r="K3" s="6"/>
      <c r="L3" s="6"/>
      <c r="M3" s="199"/>
      <c r="N3" s="97" t="s">
        <v>37</v>
      </c>
      <c r="O3" s="6"/>
      <c r="P3" s="6"/>
      <c r="Q3" s="6"/>
      <c r="R3" s="6"/>
      <c r="S3" s="6"/>
    </row>
    <row r="4" spans="1:19">
      <c r="B4" s="207" t="s">
        <v>358</v>
      </c>
      <c r="C4" s="202"/>
      <c r="D4" s="198" t="s">
        <v>359</v>
      </c>
      <c r="E4" s="198" t="s">
        <v>359</v>
      </c>
      <c r="F4" s="6" t="s">
        <v>360</v>
      </c>
      <c r="G4" s="199"/>
      <c r="H4" s="6" t="s">
        <v>358</v>
      </c>
      <c r="I4" s="6"/>
      <c r="J4" s="198" t="s">
        <v>359</v>
      </c>
      <c r="K4" s="198" t="s">
        <v>359</v>
      </c>
      <c r="L4" s="6" t="s">
        <v>360</v>
      </c>
      <c r="M4" s="199"/>
      <c r="N4" s="6" t="s">
        <v>358</v>
      </c>
      <c r="O4" s="6"/>
      <c r="P4" s="198" t="s">
        <v>359</v>
      </c>
      <c r="Q4" s="198" t="s">
        <v>359</v>
      </c>
      <c r="R4" s="6" t="s">
        <v>360</v>
      </c>
      <c r="S4" s="6"/>
    </row>
    <row r="5" spans="1:19">
      <c r="A5" s="105"/>
      <c r="B5" s="208" t="s">
        <v>361</v>
      </c>
      <c r="C5" s="203" t="s">
        <v>362</v>
      </c>
      <c r="D5" s="200" t="s">
        <v>363</v>
      </c>
      <c r="E5" s="200" t="s">
        <v>364</v>
      </c>
      <c r="F5" s="200" t="s">
        <v>361</v>
      </c>
      <c r="G5" s="201" t="s">
        <v>362</v>
      </c>
      <c r="H5" s="200" t="s">
        <v>361</v>
      </c>
      <c r="I5" s="200" t="s">
        <v>362</v>
      </c>
      <c r="J5" s="200" t="s">
        <v>363</v>
      </c>
      <c r="K5" s="200" t="s">
        <v>364</v>
      </c>
      <c r="L5" s="200" t="s">
        <v>361</v>
      </c>
      <c r="M5" s="201" t="s">
        <v>362</v>
      </c>
      <c r="N5" s="200" t="s">
        <v>361</v>
      </c>
      <c r="O5" s="200" t="s">
        <v>362</v>
      </c>
      <c r="P5" s="200" t="s">
        <v>363</v>
      </c>
      <c r="Q5" s="200" t="s">
        <v>364</v>
      </c>
      <c r="R5" s="200" t="s">
        <v>361</v>
      </c>
      <c r="S5" s="200" t="s">
        <v>362</v>
      </c>
    </row>
    <row r="6" spans="1:19">
      <c r="A6" s="4">
        <f>B1-1</f>
        <v>37016</v>
      </c>
      <c r="B6" s="100" t="e">
        <v>#REF!</v>
      </c>
      <c r="C6" s="204" t="e">
        <v>#REF!</v>
      </c>
      <c r="D6" s="204" t="e">
        <v>#REF!</v>
      </c>
      <c r="E6" s="204" t="e">
        <v>#REF!</v>
      </c>
      <c r="F6" s="204" t="e">
        <v>#REF!</v>
      </c>
      <c r="G6" s="204" t="e">
        <v>#REF!</v>
      </c>
      <c r="H6" s="204" t="e">
        <v>#REF!</v>
      </c>
      <c r="I6" s="204" t="e">
        <v>#REF!</v>
      </c>
      <c r="J6" s="204" t="e">
        <v>#REF!</v>
      </c>
      <c r="K6" s="204" t="e">
        <v>#REF!</v>
      </c>
      <c r="L6" s="204" t="e">
        <v>#REF!</v>
      </c>
      <c r="M6" s="204" t="e">
        <v>#REF!</v>
      </c>
      <c r="N6" s="204">
        <v>172515</v>
      </c>
      <c r="O6" s="204">
        <v>0</v>
      </c>
      <c r="P6" s="204">
        <v>45964591</v>
      </c>
      <c r="Q6" s="204">
        <v>15045098</v>
      </c>
      <c r="R6" s="204">
        <v>30919493</v>
      </c>
      <c r="S6" s="204">
        <v>0</v>
      </c>
    </row>
    <row r="7" spans="1:19">
      <c r="A7" s="4">
        <f>B1</f>
        <v>37017</v>
      </c>
      <c r="B7" s="100" t="e">
        <f>IF((PGL_Deliveries!$W$5-(PGL_Supplies!$Z$7+PGL_Supplies!$U$7+PGL_Supplies!$R$7+PGL_Supplies!$S$7+NSG_Requirements!$S$7+NSG_Requirements!$T$7+NSG_Requirements!$V$7+NSG_Requirements!$W$7)+PGL_Requirements!#REF!+PGL_Requirements!$U$7+PGL_Requirements!$V$7+PGL_Requirements!$W$7)&lt;0,(PGL_Supplies!$Z$7+PGL_Supplies!$U$7+PGL_Supplies!$R$7+NSG_Requirements!$S$7+PGL_Supplies!$C$7+NSG_Requirements!$T$7+NSG_Requirements!$V$7+NSG_Requirements!$W$7+PGL_Requirements!#REF!+PGL_Requirements!$U$7+PGL_Requirements!$V$7+PGL_Requirements!$W$7-PGL_Deliveries!$W$5),0)</f>
        <v>#REF!</v>
      </c>
      <c r="C7" s="205" t="e">
        <f>IF((PGL_Deliveries!$W$5-(PGL_Supplies!$Z$7+PGL_Supplies!$U$7+PGL_Supplies!$R$7+PGL_Supplies!$S$7+NSG_Requirements!$S$7+NSG_Requirements!$T$7+NSG_Requirements!$V$7+NSG_Requirements!$W$7)+PGL_Requirements!#REF!+PGL_Requirements!$U$7+PGL_Requirements!$V$7+PGL_Requirements!$W$7)&lt;0,0,(PGL_Deliveries!$W$5-(PGL_Supplies!$Z$7+PGL_Supplies!$U$7+PGL_Supplies!$R$7+PGL_Supplies!$S$7+NSG_Requirements!$S$7+NSG_Requirements!$T$7+NSG_Requirements!$V$7+NSG_Requirements!$W$7)+PGL_Requirements!#REF!+PGL_Requirements!$U$7+PGL_Requirements!$V$7+PGL_Requirements!$W$7))</f>
        <v>#REF!</v>
      </c>
      <c r="D7" t="e">
        <f>IF(B7&gt;0,D6+B7,B6)</f>
        <v>#REF!</v>
      </c>
      <c r="E7" t="e">
        <f>IF(C7&gt;0,E6+C7,E6)</f>
        <v>#REF!</v>
      </c>
      <c r="F7" t="e">
        <f>IF(D7&gt;E7,D7-E7,0)</f>
        <v>#REF!</v>
      </c>
      <c r="G7" s="161" t="e">
        <f>IF(E7&gt;D7,E7-D7,0)</f>
        <v>#REF!</v>
      </c>
      <c r="H7" t="e">
        <f>IF((PGL_Deliveries!$X$5-(PGL_Supplies!$V$7+PGL_Supplies!#REF!+PGL_Supplies!$Q$7))&lt;0,(PGL_Supplies!$V$7+PGL_Supplies!#REF!+PGL_Supplies!$Q$7-PGL_Deliveries!$X$5),0)</f>
        <v>#REF!</v>
      </c>
      <c r="I7" t="e">
        <f>IF((PGL_Deliveries!$X$5-(PGL_Supplies!$V$7+PGL_Supplies!#REF!+PGL_Supplies!$Q$7))&lt;0,0,(PGL_Deliveries!$X$5-(PGL_Supplies!$V$7+PGL_Supplies!#REF!+PGL_Supplies!$Q$7)))</f>
        <v>#REF!</v>
      </c>
      <c r="J7" t="e">
        <f>IF(H7&gt;0,J6+H7,H6)</f>
        <v>#REF!</v>
      </c>
      <c r="K7" t="e">
        <f>IF(I7&gt;0,K6+I7,K6)</f>
        <v>#REF!</v>
      </c>
      <c r="L7" t="e">
        <f>IF(J7&gt;K7,J7-K7,0)</f>
        <v>#REF!</v>
      </c>
      <c r="M7" s="161" t="e">
        <f>IF(K7&gt;J7,K7-J7,0)</f>
        <v>#REF!</v>
      </c>
      <c r="N7">
        <f>IF((PGL_Deliveries!AB5+PGL_Deliveries!AC5+PGL_Deliveries!AD5)-(PGL_Supplies!P7+PGL_Supplies!Y7+PGL_Supplies!AD7+PGL_Supplies!AE7)+(PGL_Requirements!N7+PGL_Requirements!T7)&lt;0,(PGL_Supplies!$P$7+PGL_Supplies!$Y$7+PGL_Supplies!$AD$7+PGL_Supplies!$AE$7)-(PGL_Requirements!N7+PGL_Requirements!T7)-(PGL_Deliveries!$AB$5+PGL_Deliveries!$AC$5+PGL_Deliveries!$AD$5),0)</f>
        <v>172515</v>
      </c>
      <c r="O7">
        <f>IF((PGL_Deliveries!$AB$5+PGL_Deliveries!$AC$5+PGL_Deliveries!$AD$5)-(PGL_Supplies!$P$7+PGL_Supplies!$Y$7+PGL_Supplies!$AD$7+PGL_Supplies!$AE$7)+PGL_Requirements!N7+PGL_Requirements!T7&lt;0,0,(PGL_Deliveries!$AB$5+PGL_Deliveries!$AC$5+PGL_Deliveries!$AD$5)-(PGL_Supplies!$P$7+PGL_Supplies!$Y$7+PGL_Supplies!$AD$7+PGL_Supplies!$AE$7)+(PGL_Requirements!N7+PGL_Requirements!T7))</f>
        <v>0</v>
      </c>
      <c r="P7">
        <f>IF(N7&gt;0,P6+N7,N6)</f>
        <v>46137106</v>
      </c>
      <c r="Q7">
        <f>IF(O7&gt;0,Q6+O7,Q6)</f>
        <v>15045098</v>
      </c>
      <c r="R7">
        <f>IF(P7&gt;Q7,P7-Q7,0)</f>
        <v>31092008</v>
      </c>
      <c r="S7">
        <f>IF(Q7&gt;P7,Q7-P7,0)</f>
        <v>0</v>
      </c>
    </row>
  </sheetData>
  <customSheetViews>
    <customSheetView guid="{66C35B70-1DF5-11D4-B46C-0004ACEC7D4A}" hiddenColumns="1" showRuler="0" topLeftCell="B1">
      <selection activeCell="B6" sqref="B6:S6"/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pageSetUpPr autoPageBreaks="0"/>
  </sheetPr>
  <dimension ref="A1:D374"/>
  <sheetViews>
    <sheetView workbookViewId="0"/>
  </sheetViews>
  <sheetFormatPr defaultRowHeight="15"/>
  <cols>
    <col min="1" max="1" width="8.90625" style="4" customWidth="1"/>
    <col min="2" max="2" width="12" customWidth="1"/>
    <col min="3" max="3" width="10.90625" customWidth="1"/>
    <col min="4" max="4" width="11.6328125" customWidth="1"/>
  </cols>
  <sheetData>
    <row r="1" spans="1:4">
      <c r="B1" s="3" t="s">
        <v>365</v>
      </c>
      <c r="C1" s="3" t="s">
        <v>366</v>
      </c>
      <c r="D1" s="9" t="s">
        <v>367</v>
      </c>
    </row>
    <row r="2" spans="1:4">
      <c r="B2" s="3" t="s">
        <v>368</v>
      </c>
      <c r="C2" s="3" t="s">
        <v>27</v>
      </c>
      <c r="D2" s="7" t="s">
        <v>27</v>
      </c>
    </row>
    <row r="3" spans="1:4">
      <c r="A3" s="4">
        <v>36739</v>
      </c>
      <c r="B3">
        <v>0</v>
      </c>
      <c r="C3">
        <f>B3</f>
        <v>0</v>
      </c>
      <c r="D3">
        <f>B3</f>
        <v>0</v>
      </c>
    </row>
    <row r="4" spans="1:4">
      <c r="A4" s="4">
        <f t="shared" ref="A4:A67" si="0">A3+1</f>
        <v>36740</v>
      </c>
      <c r="B4">
        <v>0</v>
      </c>
      <c r="C4">
        <f t="shared" ref="C4:C67" si="1">IF(DAY(A4)=1,B4,C3+B4)</f>
        <v>0</v>
      </c>
      <c r="D4">
        <f t="shared" ref="D4:D67" si="2">B4+D3</f>
        <v>0</v>
      </c>
    </row>
    <row r="5" spans="1:4">
      <c r="A5" s="4">
        <f t="shared" si="0"/>
        <v>36741</v>
      </c>
      <c r="B5">
        <v>0</v>
      </c>
      <c r="C5">
        <f t="shared" si="1"/>
        <v>0</v>
      </c>
      <c r="D5">
        <f t="shared" si="2"/>
        <v>0</v>
      </c>
    </row>
    <row r="6" spans="1:4">
      <c r="A6" s="4">
        <f t="shared" si="0"/>
        <v>36742</v>
      </c>
      <c r="B6">
        <v>0</v>
      </c>
      <c r="C6">
        <f t="shared" si="1"/>
        <v>0</v>
      </c>
      <c r="D6">
        <f t="shared" si="2"/>
        <v>0</v>
      </c>
    </row>
    <row r="7" spans="1:4">
      <c r="A7" s="4">
        <f t="shared" si="0"/>
        <v>36743</v>
      </c>
      <c r="B7">
        <v>0</v>
      </c>
      <c r="C7">
        <f t="shared" si="1"/>
        <v>0</v>
      </c>
      <c r="D7">
        <f t="shared" si="2"/>
        <v>0</v>
      </c>
    </row>
    <row r="8" spans="1:4">
      <c r="A8" s="4">
        <f t="shared" si="0"/>
        <v>36744</v>
      </c>
      <c r="B8">
        <v>0</v>
      </c>
      <c r="C8">
        <f t="shared" si="1"/>
        <v>0</v>
      </c>
      <c r="D8">
        <f t="shared" si="2"/>
        <v>0</v>
      </c>
    </row>
    <row r="9" spans="1:4">
      <c r="A9" s="4">
        <f t="shared" si="0"/>
        <v>36745</v>
      </c>
      <c r="B9">
        <v>0</v>
      </c>
      <c r="C9">
        <f t="shared" si="1"/>
        <v>0</v>
      </c>
      <c r="D9">
        <f t="shared" si="2"/>
        <v>0</v>
      </c>
    </row>
    <row r="10" spans="1:4">
      <c r="A10" s="4">
        <f t="shared" si="0"/>
        <v>36746</v>
      </c>
      <c r="B10">
        <v>0</v>
      </c>
      <c r="C10">
        <f t="shared" si="1"/>
        <v>0</v>
      </c>
      <c r="D10">
        <f t="shared" si="2"/>
        <v>0</v>
      </c>
    </row>
    <row r="11" spans="1:4">
      <c r="A11" s="4">
        <f t="shared" si="0"/>
        <v>36747</v>
      </c>
      <c r="B11">
        <v>0</v>
      </c>
      <c r="C11">
        <f t="shared" si="1"/>
        <v>0</v>
      </c>
      <c r="D11">
        <f t="shared" si="2"/>
        <v>0</v>
      </c>
    </row>
    <row r="12" spans="1:4">
      <c r="A12" s="4">
        <f t="shared" si="0"/>
        <v>36748</v>
      </c>
      <c r="B12">
        <v>0</v>
      </c>
      <c r="C12">
        <f t="shared" si="1"/>
        <v>0</v>
      </c>
      <c r="D12">
        <f t="shared" si="2"/>
        <v>0</v>
      </c>
    </row>
    <row r="13" spans="1:4">
      <c r="A13" s="4">
        <f t="shared" si="0"/>
        <v>36749</v>
      </c>
      <c r="B13">
        <v>0</v>
      </c>
      <c r="C13">
        <f t="shared" si="1"/>
        <v>0</v>
      </c>
      <c r="D13">
        <f t="shared" si="2"/>
        <v>0</v>
      </c>
    </row>
    <row r="14" spans="1:4">
      <c r="A14" s="4">
        <f t="shared" si="0"/>
        <v>36750</v>
      </c>
      <c r="B14">
        <v>0</v>
      </c>
      <c r="C14">
        <f t="shared" si="1"/>
        <v>0</v>
      </c>
      <c r="D14">
        <f t="shared" si="2"/>
        <v>0</v>
      </c>
    </row>
    <row r="15" spans="1:4">
      <c r="A15" s="4">
        <f t="shared" si="0"/>
        <v>36751</v>
      </c>
      <c r="B15">
        <v>0</v>
      </c>
      <c r="C15">
        <f t="shared" si="1"/>
        <v>0</v>
      </c>
      <c r="D15">
        <f t="shared" si="2"/>
        <v>0</v>
      </c>
    </row>
    <row r="16" spans="1:4">
      <c r="A16" s="4">
        <f t="shared" si="0"/>
        <v>36752</v>
      </c>
      <c r="B16">
        <v>0</v>
      </c>
      <c r="C16">
        <f t="shared" si="1"/>
        <v>0</v>
      </c>
      <c r="D16">
        <f t="shared" si="2"/>
        <v>0</v>
      </c>
    </row>
    <row r="17" spans="1:4">
      <c r="A17" s="4">
        <f t="shared" si="0"/>
        <v>36753</v>
      </c>
      <c r="B17">
        <v>0</v>
      </c>
      <c r="C17">
        <f t="shared" si="1"/>
        <v>0</v>
      </c>
      <c r="D17">
        <f t="shared" si="2"/>
        <v>0</v>
      </c>
    </row>
    <row r="18" spans="1:4">
      <c r="A18" s="4">
        <f t="shared" si="0"/>
        <v>36754</v>
      </c>
      <c r="B18">
        <v>0</v>
      </c>
      <c r="C18">
        <f t="shared" si="1"/>
        <v>0</v>
      </c>
      <c r="D18">
        <f t="shared" si="2"/>
        <v>0</v>
      </c>
    </row>
    <row r="19" spans="1:4">
      <c r="A19" s="4">
        <f t="shared" si="0"/>
        <v>36755</v>
      </c>
      <c r="B19">
        <v>0</v>
      </c>
      <c r="C19">
        <f t="shared" si="1"/>
        <v>0</v>
      </c>
      <c r="D19">
        <f t="shared" si="2"/>
        <v>0</v>
      </c>
    </row>
    <row r="20" spans="1:4">
      <c r="A20" s="4">
        <f t="shared" si="0"/>
        <v>36756</v>
      </c>
      <c r="B20">
        <v>0</v>
      </c>
      <c r="C20">
        <f t="shared" si="1"/>
        <v>0</v>
      </c>
      <c r="D20">
        <f t="shared" si="2"/>
        <v>0</v>
      </c>
    </row>
    <row r="21" spans="1:4">
      <c r="A21" s="4">
        <f t="shared" si="0"/>
        <v>36757</v>
      </c>
      <c r="B21">
        <v>0</v>
      </c>
      <c r="C21">
        <f t="shared" si="1"/>
        <v>0</v>
      </c>
      <c r="D21">
        <f t="shared" si="2"/>
        <v>0</v>
      </c>
    </row>
    <row r="22" spans="1:4">
      <c r="A22" s="4">
        <f t="shared" si="0"/>
        <v>36758</v>
      </c>
      <c r="B22">
        <v>0</v>
      </c>
      <c r="C22">
        <f t="shared" si="1"/>
        <v>0</v>
      </c>
      <c r="D22">
        <f t="shared" si="2"/>
        <v>0</v>
      </c>
    </row>
    <row r="23" spans="1:4">
      <c r="A23" s="4">
        <f t="shared" si="0"/>
        <v>36759</v>
      </c>
      <c r="B23">
        <v>0</v>
      </c>
      <c r="C23">
        <f t="shared" si="1"/>
        <v>0</v>
      </c>
      <c r="D23">
        <f t="shared" si="2"/>
        <v>0</v>
      </c>
    </row>
    <row r="24" spans="1:4">
      <c r="A24" s="4">
        <f t="shared" si="0"/>
        <v>36760</v>
      </c>
      <c r="B24">
        <v>0</v>
      </c>
      <c r="C24">
        <f t="shared" si="1"/>
        <v>0</v>
      </c>
      <c r="D24">
        <f t="shared" si="2"/>
        <v>0</v>
      </c>
    </row>
    <row r="25" spans="1:4">
      <c r="A25" s="4">
        <f t="shared" si="0"/>
        <v>36761</v>
      </c>
      <c r="B25">
        <v>0</v>
      </c>
      <c r="C25">
        <f t="shared" si="1"/>
        <v>0</v>
      </c>
      <c r="D25">
        <f t="shared" si="2"/>
        <v>0</v>
      </c>
    </row>
    <row r="26" spans="1:4">
      <c r="A26" s="4">
        <f t="shared" si="0"/>
        <v>36762</v>
      </c>
      <c r="B26">
        <v>1</v>
      </c>
      <c r="C26">
        <f t="shared" si="1"/>
        <v>1</v>
      </c>
      <c r="D26">
        <f t="shared" si="2"/>
        <v>1</v>
      </c>
    </row>
    <row r="27" spans="1:4">
      <c r="A27" s="4">
        <f t="shared" si="0"/>
        <v>36763</v>
      </c>
      <c r="B27">
        <v>1</v>
      </c>
      <c r="C27">
        <f t="shared" si="1"/>
        <v>2</v>
      </c>
      <c r="D27">
        <f t="shared" si="2"/>
        <v>2</v>
      </c>
    </row>
    <row r="28" spans="1:4">
      <c r="A28" s="4">
        <f t="shared" si="0"/>
        <v>36764</v>
      </c>
      <c r="B28">
        <v>1</v>
      </c>
      <c r="C28">
        <f t="shared" si="1"/>
        <v>3</v>
      </c>
      <c r="D28">
        <f t="shared" si="2"/>
        <v>3</v>
      </c>
    </row>
    <row r="29" spans="1:4">
      <c r="A29" s="4">
        <f t="shared" si="0"/>
        <v>36765</v>
      </c>
      <c r="B29">
        <v>1</v>
      </c>
      <c r="C29">
        <f t="shared" si="1"/>
        <v>4</v>
      </c>
      <c r="D29">
        <f t="shared" si="2"/>
        <v>4</v>
      </c>
    </row>
    <row r="30" spans="1:4">
      <c r="A30" s="4">
        <f t="shared" si="0"/>
        <v>36766</v>
      </c>
      <c r="B30">
        <v>1</v>
      </c>
      <c r="C30">
        <f t="shared" si="1"/>
        <v>5</v>
      </c>
      <c r="D30">
        <f t="shared" si="2"/>
        <v>5</v>
      </c>
    </row>
    <row r="31" spans="1:4">
      <c r="A31" s="4">
        <f t="shared" si="0"/>
        <v>36767</v>
      </c>
      <c r="B31">
        <v>1</v>
      </c>
      <c r="C31">
        <f t="shared" si="1"/>
        <v>6</v>
      </c>
      <c r="D31">
        <f t="shared" si="2"/>
        <v>6</v>
      </c>
    </row>
    <row r="32" spans="1:4">
      <c r="A32" s="4">
        <f t="shared" si="0"/>
        <v>36768</v>
      </c>
      <c r="B32">
        <v>1</v>
      </c>
      <c r="C32">
        <f t="shared" si="1"/>
        <v>7</v>
      </c>
      <c r="D32">
        <f t="shared" si="2"/>
        <v>7</v>
      </c>
    </row>
    <row r="33" spans="1:4">
      <c r="A33" s="4">
        <f t="shared" si="0"/>
        <v>36769</v>
      </c>
      <c r="B33">
        <v>1</v>
      </c>
      <c r="C33">
        <f t="shared" si="1"/>
        <v>8</v>
      </c>
      <c r="D33">
        <f t="shared" si="2"/>
        <v>8</v>
      </c>
    </row>
    <row r="34" spans="1:4">
      <c r="A34" s="4">
        <f t="shared" si="0"/>
        <v>36770</v>
      </c>
      <c r="B34">
        <v>1</v>
      </c>
      <c r="C34">
        <f t="shared" si="1"/>
        <v>1</v>
      </c>
      <c r="D34">
        <f t="shared" si="2"/>
        <v>9</v>
      </c>
    </row>
    <row r="35" spans="1:4">
      <c r="A35" s="4">
        <f t="shared" si="0"/>
        <v>36771</v>
      </c>
      <c r="B35">
        <v>1</v>
      </c>
      <c r="C35">
        <f t="shared" si="1"/>
        <v>2</v>
      </c>
      <c r="D35">
        <f t="shared" si="2"/>
        <v>10</v>
      </c>
    </row>
    <row r="36" spans="1:4">
      <c r="A36" s="4">
        <f t="shared" si="0"/>
        <v>36772</v>
      </c>
      <c r="B36">
        <v>1</v>
      </c>
      <c r="C36">
        <f t="shared" si="1"/>
        <v>3</v>
      </c>
      <c r="D36">
        <f t="shared" si="2"/>
        <v>11</v>
      </c>
    </row>
    <row r="37" spans="1:4">
      <c r="A37" s="4">
        <f t="shared" si="0"/>
        <v>36773</v>
      </c>
      <c r="B37">
        <v>1</v>
      </c>
      <c r="C37">
        <f t="shared" si="1"/>
        <v>4</v>
      </c>
      <c r="D37">
        <f t="shared" si="2"/>
        <v>12</v>
      </c>
    </row>
    <row r="38" spans="1:4">
      <c r="A38" s="4">
        <f t="shared" si="0"/>
        <v>36774</v>
      </c>
      <c r="B38">
        <v>1</v>
      </c>
      <c r="C38">
        <f t="shared" si="1"/>
        <v>5</v>
      </c>
      <c r="D38">
        <f t="shared" si="2"/>
        <v>13</v>
      </c>
    </row>
    <row r="39" spans="1:4">
      <c r="A39" s="4">
        <f t="shared" si="0"/>
        <v>36775</v>
      </c>
      <c r="B39">
        <v>1</v>
      </c>
      <c r="C39">
        <f t="shared" si="1"/>
        <v>6</v>
      </c>
      <c r="D39">
        <f t="shared" si="2"/>
        <v>14</v>
      </c>
    </row>
    <row r="40" spans="1:4">
      <c r="A40" s="4">
        <f t="shared" si="0"/>
        <v>36776</v>
      </c>
      <c r="B40">
        <v>2</v>
      </c>
      <c r="C40">
        <f t="shared" si="1"/>
        <v>8</v>
      </c>
      <c r="D40">
        <f t="shared" si="2"/>
        <v>16</v>
      </c>
    </row>
    <row r="41" spans="1:4">
      <c r="A41" s="4">
        <f t="shared" si="0"/>
        <v>36777</v>
      </c>
      <c r="B41">
        <v>2</v>
      </c>
      <c r="C41">
        <f t="shared" si="1"/>
        <v>10</v>
      </c>
      <c r="D41">
        <f t="shared" si="2"/>
        <v>18</v>
      </c>
    </row>
    <row r="42" spans="1:4">
      <c r="A42" s="4">
        <f t="shared" si="0"/>
        <v>36778</v>
      </c>
      <c r="B42">
        <v>2</v>
      </c>
      <c r="C42">
        <f t="shared" si="1"/>
        <v>12</v>
      </c>
      <c r="D42">
        <f t="shared" si="2"/>
        <v>20</v>
      </c>
    </row>
    <row r="43" spans="1:4">
      <c r="A43" s="4">
        <f t="shared" si="0"/>
        <v>36779</v>
      </c>
      <c r="B43">
        <v>3</v>
      </c>
      <c r="C43">
        <f t="shared" si="1"/>
        <v>15</v>
      </c>
      <c r="D43">
        <f t="shared" si="2"/>
        <v>23</v>
      </c>
    </row>
    <row r="44" spans="1:4">
      <c r="A44" s="4">
        <f t="shared" si="0"/>
        <v>36780</v>
      </c>
      <c r="B44">
        <v>3</v>
      </c>
      <c r="C44">
        <f t="shared" si="1"/>
        <v>18</v>
      </c>
      <c r="D44">
        <f t="shared" si="2"/>
        <v>26</v>
      </c>
    </row>
    <row r="45" spans="1:4">
      <c r="A45" s="4">
        <f t="shared" si="0"/>
        <v>36781</v>
      </c>
      <c r="B45">
        <v>3</v>
      </c>
      <c r="C45">
        <f t="shared" si="1"/>
        <v>21</v>
      </c>
      <c r="D45">
        <f t="shared" si="2"/>
        <v>29</v>
      </c>
    </row>
    <row r="46" spans="1:4">
      <c r="A46" s="4">
        <f t="shared" si="0"/>
        <v>36782</v>
      </c>
      <c r="B46">
        <v>3</v>
      </c>
      <c r="C46">
        <f t="shared" si="1"/>
        <v>24</v>
      </c>
      <c r="D46">
        <f t="shared" si="2"/>
        <v>32</v>
      </c>
    </row>
    <row r="47" spans="1:4">
      <c r="A47" s="4">
        <f t="shared" si="0"/>
        <v>36783</v>
      </c>
      <c r="B47">
        <v>3</v>
      </c>
      <c r="C47">
        <f t="shared" si="1"/>
        <v>27</v>
      </c>
      <c r="D47">
        <f t="shared" si="2"/>
        <v>35</v>
      </c>
    </row>
    <row r="48" spans="1:4">
      <c r="A48" s="4">
        <f t="shared" si="0"/>
        <v>36784</v>
      </c>
      <c r="B48">
        <v>3</v>
      </c>
      <c r="C48">
        <f t="shared" si="1"/>
        <v>30</v>
      </c>
      <c r="D48">
        <f t="shared" si="2"/>
        <v>38</v>
      </c>
    </row>
    <row r="49" spans="1:4">
      <c r="A49" s="4">
        <f t="shared" si="0"/>
        <v>36785</v>
      </c>
      <c r="B49">
        <v>3</v>
      </c>
      <c r="C49">
        <f t="shared" si="1"/>
        <v>33</v>
      </c>
      <c r="D49">
        <f t="shared" si="2"/>
        <v>41</v>
      </c>
    </row>
    <row r="50" spans="1:4">
      <c r="A50" s="4">
        <f t="shared" si="0"/>
        <v>36786</v>
      </c>
      <c r="B50">
        <v>4</v>
      </c>
      <c r="C50">
        <f t="shared" si="1"/>
        <v>37</v>
      </c>
      <c r="D50">
        <f t="shared" si="2"/>
        <v>45</v>
      </c>
    </row>
    <row r="51" spans="1:4">
      <c r="A51" s="4">
        <f t="shared" si="0"/>
        <v>36787</v>
      </c>
      <c r="B51">
        <v>4</v>
      </c>
      <c r="C51">
        <f t="shared" si="1"/>
        <v>41</v>
      </c>
      <c r="D51">
        <f t="shared" si="2"/>
        <v>49</v>
      </c>
    </row>
    <row r="52" spans="1:4">
      <c r="A52" s="4">
        <f t="shared" si="0"/>
        <v>36788</v>
      </c>
      <c r="B52">
        <v>4</v>
      </c>
      <c r="C52">
        <f t="shared" si="1"/>
        <v>45</v>
      </c>
      <c r="D52">
        <f t="shared" si="2"/>
        <v>53</v>
      </c>
    </row>
    <row r="53" spans="1:4">
      <c r="A53" s="4">
        <f t="shared" si="0"/>
        <v>36789</v>
      </c>
      <c r="B53">
        <v>4</v>
      </c>
      <c r="C53">
        <f t="shared" si="1"/>
        <v>49</v>
      </c>
      <c r="D53">
        <f t="shared" si="2"/>
        <v>57</v>
      </c>
    </row>
    <row r="54" spans="1:4">
      <c r="A54" s="4">
        <f t="shared" si="0"/>
        <v>36790</v>
      </c>
      <c r="B54">
        <v>4</v>
      </c>
      <c r="C54">
        <f t="shared" si="1"/>
        <v>53</v>
      </c>
      <c r="D54">
        <f t="shared" si="2"/>
        <v>61</v>
      </c>
    </row>
    <row r="55" spans="1:4">
      <c r="A55" s="4">
        <f t="shared" si="0"/>
        <v>36791</v>
      </c>
      <c r="B55">
        <v>5</v>
      </c>
      <c r="C55">
        <f t="shared" si="1"/>
        <v>58</v>
      </c>
      <c r="D55">
        <f t="shared" si="2"/>
        <v>66</v>
      </c>
    </row>
    <row r="56" spans="1:4">
      <c r="A56" s="4">
        <f t="shared" si="0"/>
        <v>36792</v>
      </c>
      <c r="B56">
        <v>5</v>
      </c>
      <c r="C56">
        <f t="shared" si="1"/>
        <v>63</v>
      </c>
      <c r="D56">
        <f t="shared" si="2"/>
        <v>71</v>
      </c>
    </row>
    <row r="57" spans="1:4">
      <c r="A57" s="4">
        <f t="shared" si="0"/>
        <v>36793</v>
      </c>
      <c r="B57">
        <v>5</v>
      </c>
      <c r="C57">
        <f t="shared" si="1"/>
        <v>68</v>
      </c>
      <c r="D57">
        <f t="shared" si="2"/>
        <v>76</v>
      </c>
    </row>
    <row r="58" spans="1:4">
      <c r="A58" s="4">
        <f t="shared" si="0"/>
        <v>36794</v>
      </c>
      <c r="B58">
        <v>6</v>
      </c>
      <c r="C58">
        <f t="shared" si="1"/>
        <v>74</v>
      </c>
      <c r="D58">
        <f t="shared" si="2"/>
        <v>82</v>
      </c>
    </row>
    <row r="59" spans="1:4">
      <c r="A59" s="4">
        <f t="shared" si="0"/>
        <v>36795</v>
      </c>
      <c r="B59">
        <v>6</v>
      </c>
      <c r="C59">
        <f t="shared" si="1"/>
        <v>80</v>
      </c>
      <c r="D59">
        <f t="shared" si="2"/>
        <v>88</v>
      </c>
    </row>
    <row r="60" spans="1:4">
      <c r="A60" s="4">
        <f t="shared" si="0"/>
        <v>36796</v>
      </c>
      <c r="B60">
        <v>6</v>
      </c>
      <c r="C60">
        <f t="shared" si="1"/>
        <v>86</v>
      </c>
      <c r="D60">
        <f t="shared" si="2"/>
        <v>94</v>
      </c>
    </row>
    <row r="61" spans="1:4">
      <c r="A61" s="4">
        <f t="shared" si="0"/>
        <v>36797</v>
      </c>
      <c r="B61">
        <v>7</v>
      </c>
      <c r="C61">
        <f t="shared" si="1"/>
        <v>93</v>
      </c>
      <c r="D61">
        <f t="shared" si="2"/>
        <v>101</v>
      </c>
    </row>
    <row r="62" spans="1:4">
      <c r="A62" s="4">
        <f t="shared" si="0"/>
        <v>36798</v>
      </c>
      <c r="B62">
        <v>7</v>
      </c>
      <c r="C62">
        <f t="shared" si="1"/>
        <v>100</v>
      </c>
      <c r="D62">
        <f t="shared" si="2"/>
        <v>108</v>
      </c>
    </row>
    <row r="63" spans="1:4">
      <c r="A63" s="4">
        <f t="shared" si="0"/>
        <v>36799</v>
      </c>
      <c r="B63">
        <v>7</v>
      </c>
      <c r="C63">
        <f t="shared" si="1"/>
        <v>107</v>
      </c>
      <c r="D63">
        <f t="shared" si="2"/>
        <v>115</v>
      </c>
    </row>
    <row r="64" spans="1:4">
      <c r="A64" s="4">
        <f t="shared" si="0"/>
        <v>36800</v>
      </c>
      <c r="B64">
        <v>7</v>
      </c>
      <c r="C64">
        <f t="shared" si="1"/>
        <v>7</v>
      </c>
      <c r="D64">
        <f t="shared" si="2"/>
        <v>122</v>
      </c>
    </row>
    <row r="65" spans="1:4">
      <c r="A65" s="4">
        <f t="shared" si="0"/>
        <v>36801</v>
      </c>
      <c r="B65">
        <v>8</v>
      </c>
      <c r="C65">
        <f t="shared" si="1"/>
        <v>15</v>
      </c>
      <c r="D65">
        <f t="shared" si="2"/>
        <v>130</v>
      </c>
    </row>
    <row r="66" spans="1:4">
      <c r="A66" s="4">
        <f t="shared" si="0"/>
        <v>36802</v>
      </c>
      <c r="B66">
        <v>8</v>
      </c>
      <c r="C66">
        <f t="shared" si="1"/>
        <v>23</v>
      </c>
      <c r="D66">
        <f t="shared" si="2"/>
        <v>138</v>
      </c>
    </row>
    <row r="67" spans="1:4">
      <c r="A67" s="4">
        <f t="shared" si="0"/>
        <v>36803</v>
      </c>
      <c r="B67">
        <v>8</v>
      </c>
      <c r="C67">
        <f t="shared" si="1"/>
        <v>31</v>
      </c>
      <c r="D67">
        <f t="shared" si="2"/>
        <v>146</v>
      </c>
    </row>
    <row r="68" spans="1:4">
      <c r="A68" s="4">
        <f t="shared" ref="A68:A131" si="3">A67+1</f>
        <v>36804</v>
      </c>
      <c r="B68">
        <v>9</v>
      </c>
      <c r="C68">
        <f t="shared" ref="C68:C131" si="4">IF(DAY(A68)=1,B68,C67+B68)</f>
        <v>40</v>
      </c>
      <c r="D68">
        <f t="shared" ref="D68:D131" si="5">B68+D67</f>
        <v>155</v>
      </c>
    </row>
    <row r="69" spans="1:4">
      <c r="A69" s="4">
        <f t="shared" si="3"/>
        <v>36805</v>
      </c>
      <c r="B69">
        <v>9</v>
      </c>
      <c r="C69">
        <f t="shared" si="4"/>
        <v>49</v>
      </c>
      <c r="D69">
        <f t="shared" si="5"/>
        <v>164</v>
      </c>
    </row>
    <row r="70" spans="1:4">
      <c r="A70" s="4">
        <f t="shared" si="3"/>
        <v>36806</v>
      </c>
      <c r="B70">
        <v>10</v>
      </c>
      <c r="C70">
        <f t="shared" si="4"/>
        <v>59</v>
      </c>
      <c r="D70">
        <f t="shared" si="5"/>
        <v>174</v>
      </c>
    </row>
    <row r="71" spans="1:4">
      <c r="A71" s="4">
        <f t="shared" si="3"/>
        <v>36807</v>
      </c>
      <c r="B71">
        <v>10</v>
      </c>
      <c r="C71">
        <f t="shared" si="4"/>
        <v>69</v>
      </c>
      <c r="D71">
        <f t="shared" si="5"/>
        <v>184</v>
      </c>
    </row>
    <row r="72" spans="1:4">
      <c r="A72" s="4">
        <f t="shared" si="3"/>
        <v>36808</v>
      </c>
      <c r="B72">
        <v>10</v>
      </c>
      <c r="C72">
        <f t="shared" si="4"/>
        <v>79</v>
      </c>
      <c r="D72">
        <f t="shared" si="5"/>
        <v>194</v>
      </c>
    </row>
    <row r="73" spans="1:4">
      <c r="A73" s="4">
        <f t="shared" si="3"/>
        <v>36809</v>
      </c>
      <c r="B73">
        <v>11</v>
      </c>
      <c r="C73">
        <f t="shared" si="4"/>
        <v>90</v>
      </c>
      <c r="D73">
        <f t="shared" si="5"/>
        <v>205</v>
      </c>
    </row>
    <row r="74" spans="1:4">
      <c r="A74" s="4">
        <f t="shared" si="3"/>
        <v>36810</v>
      </c>
      <c r="B74">
        <v>11</v>
      </c>
      <c r="C74">
        <f t="shared" si="4"/>
        <v>101</v>
      </c>
      <c r="D74">
        <f t="shared" si="5"/>
        <v>216</v>
      </c>
    </row>
    <row r="75" spans="1:4">
      <c r="A75" s="4">
        <f t="shared" si="3"/>
        <v>36811</v>
      </c>
      <c r="B75">
        <v>11</v>
      </c>
      <c r="C75">
        <f t="shared" si="4"/>
        <v>112</v>
      </c>
      <c r="D75">
        <f t="shared" si="5"/>
        <v>227</v>
      </c>
    </row>
    <row r="76" spans="1:4">
      <c r="A76" s="4">
        <f t="shared" si="3"/>
        <v>36812</v>
      </c>
      <c r="B76">
        <v>11</v>
      </c>
      <c r="C76">
        <f t="shared" si="4"/>
        <v>123</v>
      </c>
      <c r="D76">
        <f t="shared" si="5"/>
        <v>238</v>
      </c>
    </row>
    <row r="77" spans="1:4">
      <c r="A77" s="4">
        <f t="shared" si="3"/>
        <v>36813</v>
      </c>
      <c r="B77">
        <v>11</v>
      </c>
      <c r="C77">
        <f t="shared" si="4"/>
        <v>134</v>
      </c>
      <c r="D77">
        <f t="shared" si="5"/>
        <v>249</v>
      </c>
    </row>
    <row r="78" spans="1:4">
      <c r="A78" s="4">
        <f t="shared" si="3"/>
        <v>36814</v>
      </c>
      <c r="B78">
        <v>12</v>
      </c>
      <c r="C78">
        <f t="shared" si="4"/>
        <v>146</v>
      </c>
      <c r="D78">
        <f t="shared" si="5"/>
        <v>261</v>
      </c>
    </row>
    <row r="79" spans="1:4">
      <c r="A79" s="4">
        <f t="shared" si="3"/>
        <v>36815</v>
      </c>
      <c r="B79">
        <v>12</v>
      </c>
      <c r="C79">
        <f t="shared" si="4"/>
        <v>158</v>
      </c>
      <c r="D79">
        <f t="shared" si="5"/>
        <v>273</v>
      </c>
    </row>
    <row r="80" spans="1:4">
      <c r="A80" s="4">
        <f t="shared" si="3"/>
        <v>36816</v>
      </c>
      <c r="B80">
        <v>13</v>
      </c>
      <c r="C80">
        <f t="shared" si="4"/>
        <v>171</v>
      </c>
      <c r="D80">
        <f t="shared" si="5"/>
        <v>286</v>
      </c>
    </row>
    <row r="81" spans="1:4">
      <c r="A81" s="4">
        <f t="shared" si="3"/>
        <v>36817</v>
      </c>
      <c r="B81">
        <v>13</v>
      </c>
      <c r="C81">
        <f t="shared" si="4"/>
        <v>184</v>
      </c>
      <c r="D81">
        <f t="shared" si="5"/>
        <v>299</v>
      </c>
    </row>
    <row r="82" spans="1:4">
      <c r="A82" s="4">
        <f t="shared" si="3"/>
        <v>36818</v>
      </c>
      <c r="B82">
        <v>13</v>
      </c>
      <c r="C82">
        <f t="shared" si="4"/>
        <v>197</v>
      </c>
      <c r="D82">
        <f t="shared" si="5"/>
        <v>312</v>
      </c>
    </row>
    <row r="83" spans="1:4">
      <c r="A83" s="4">
        <f t="shared" si="3"/>
        <v>36819</v>
      </c>
      <c r="B83">
        <v>14</v>
      </c>
      <c r="C83">
        <f t="shared" si="4"/>
        <v>211</v>
      </c>
      <c r="D83">
        <f t="shared" si="5"/>
        <v>326</v>
      </c>
    </row>
    <row r="84" spans="1:4">
      <c r="A84" s="4">
        <f t="shared" si="3"/>
        <v>36820</v>
      </c>
      <c r="B84">
        <v>14</v>
      </c>
      <c r="C84">
        <f t="shared" si="4"/>
        <v>225</v>
      </c>
      <c r="D84">
        <f t="shared" si="5"/>
        <v>340</v>
      </c>
    </row>
    <row r="85" spans="1:4">
      <c r="A85" s="4">
        <f t="shared" si="3"/>
        <v>36821</v>
      </c>
      <c r="B85">
        <v>15</v>
      </c>
      <c r="C85">
        <f t="shared" si="4"/>
        <v>240</v>
      </c>
      <c r="D85">
        <f t="shared" si="5"/>
        <v>355</v>
      </c>
    </row>
    <row r="86" spans="1:4">
      <c r="A86" s="4">
        <f t="shared" si="3"/>
        <v>36822</v>
      </c>
      <c r="B86">
        <v>15</v>
      </c>
      <c r="C86">
        <f t="shared" si="4"/>
        <v>255</v>
      </c>
      <c r="D86">
        <f t="shared" si="5"/>
        <v>370</v>
      </c>
    </row>
    <row r="87" spans="1:4">
      <c r="A87" s="4">
        <f t="shared" si="3"/>
        <v>36823</v>
      </c>
      <c r="B87">
        <v>16</v>
      </c>
      <c r="C87">
        <f t="shared" si="4"/>
        <v>271</v>
      </c>
      <c r="D87">
        <f t="shared" si="5"/>
        <v>386</v>
      </c>
    </row>
    <row r="88" spans="1:4">
      <c r="A88" s="4">
        <f t="shared" si="3"/>
        <v>36824</v>
      </c>
      <c r="B88">
        <v>16</v>
      </c>
      <c r="C88">
        <f t="shared" si="4"/>
        <v>287</v>
      </c>
      <c r="D88">
        <f t="shared" si="5"/>
        <v>402</v>
      </c>
    </row>
    <row r="89" spans="1:4">
      <c r="A89" s="4">
        <f t="shared" si="3"/>
        <v>36825</v>
      </c>
      <c r="B89">
        <v>16</v>
      </c>
      <c r="C89">
        <f t="shared" si="4"/>
        <v>303</v>
      </c>
      <c r="D89">
        <f t="shared" si="5"/>
        <v>418</v>
      </c>
    </row>
    <row r="90" spans="1:4">
      <c r="A90" s="4">
        <f t="shared" si="3"/>
        <v>36826</v>
      </c>
      <c r="B90">
        <v>17</v>
      </c>
      <c r="C90">
        <f t="shared" si="4"/>
        <v>320</v>
      </c>
      <c r="D90">
        <f t="shared" si="5"/>
        <v>435</v>
      </c>
    </row>
    <row r="91" spans="1:4">
      <c r="A91" s="4">
        <f t="shared" si="3"/>
        <v>36827</v>
      </c>
      <c r="B91">
        <v>17</v>
      </c>
      <c r="C91">
        <f t="shared" si="4"/>
        <v>337</v>
      </c>
      <c r="D91">
        <f t="shared" si="5"/>
        <v>452</v>
      </c>
    </row>
    <row r="92" spans="1:4">
      <c r="A92" s="4">
        <f t="shared" si="3"/>
        <v>36828</v>
      </c>
      <c r="B92">
        <v>18</v>
      </c>
      <c r="C92">
        <f t="shared" si="4"/>
        <v>355</v>
      </c>
      <c r="D92">
        <f t="shared" si="5"/>
        <v>470</v>
      </c>
    </row>
    <row r="93" spans="1:4">
      <c r="A93" s="4">
        <f t="shared" si="3"/>
        <v>36829</v>
      </c>
      <c r="B93">
        <v>18</v>
      </c>
      <c r="C93">
        <f t="shared" si="4"/>
        <v>373</v>
      </c>
      <c r="D93">
        <f t="shared" si="5"/>
        <v>488</v>
      </c>
    </row>
    <row r="94" spans="1:4">
      <c r="A94" s="4">
        <f t="shared" si="3"/>
        <v>36830</v>
      </c>
      <c r="B94">
        <v>18</v>
      </c>
      <c r="C94">
        <f t="shared" si="4"/>
        <v>391</v>
      </c>
      <c r="D94">
        <f t="shared" si="5"/>
        <v>506</v>
      </c>
    </row>
    <row r="95" spans="1:4">
      <c r="A95" s="4">
        <f t="shared" si="3"/>
        <v>36831</v>
      </c>
      <c r="B95">
        <v>19</v>
      </c>
      <c r="C95">
        <f t="shared" si="4"/>
        <v>19</v>
      </c>
      <c r="D95">
        <f t="shared" si="5"/>
        <v>525</v>
      </c>
    </row>
    <row r="96" spans="1:4">
      <c r="A96" s="4">
        <f t="shared" si="3"/>
        <v>36832</v>
      </c>
      <c r="B96">
        <v>19</v>
      </c>
      <c r="C96">
        <f t="shared" si="4"/>
        <v>38</v>
      </c>
      <c r="D96">
        <f t="shared" si="5"/>
        <v>544</v>
      </c>
    </row>
    <row r="97" spans="1:4">
      <c r="A97" s="4">
        <f t="shared" si="3"/>
        <v>36833</v>
      </c>
      <c r="B97">
        <v>19</v>
      </c>
      <c r="C97">
        <f t="shared" si="4"/>
        <v>57</v>
      </c>
      <c r="D97">
        <f t="shared" si="5"/>
        <v>563</v>
      </c>
    </row>
    <row r="98" spans="1:4">
      <c r="A98" s="4">
        <f t="shared" si="3"/>
        <v>36834</v>
      </c>
      <c r="B98">
        <v>20</v>
      </c>
      <c r="C98">
        <f t="shared" si="4"/>
        <v>77</v>
      </c>
      <c r="D98">
        <f t="shared" si="5"/>
        <v>583</v>
      </c>
    </row>
    <row r="99" spans="1:4">
      <c r="A99" s="4">
        <f t="shared" si="3"/>
        <v>36835</v>
      </c>
      <c r="B99">
        <v>20</v>
      </c>
      <c r="C99">
        <f t="shared" si="4"/>
        <v>97</v>
      </c>
      <c r="D99">
        <f t="shared" si="5"/>
        <v>603</v>
      </c>
    </row>
    <row r="100" spans="1:4">
      <c r="A100" s="4">
        <f t="shared" si="3"/>
        <v>36836</v>
      </c>
      <c r="B100">
        <v>21</v>
      </c>
      <c r="C100">
        <f t="shared" si="4"/>
        <v>118</v>
      </c>
      <c r="D100">
        <f t="shared" si="5"/>
        <v>624</v>
      </c>
    </row>
    <row r="101" spans="1:4">
      <c r="A101" s="4">
        <f t="shared" si="3"/>
        <v>36837</v>
      </c>
      <c r="B101">
        <v>21</v>
      </c>
      <c r="C101">
        <f t="shared" si="4"/>
        <v>139</v>
      </c>
      <c r="D101">
        <f t="shared" si="5"/>
        <v>645</v>
      </c>
    </row>
    <row r="102" spans="1:4">
      <c r="A102" s="4">
        <f t="shared" si="3"/>
        <v>36838</v>
      </c>
      <c r="B102">
        <v>22</v>
      </c>
      <c r="C102">
        <f t="shared" si="4"/>
        <v>161</v>
      </c>
      <c r="D102">
        <f t="shared" si="5"/>
        <v>667</v>
      </c>
    </row>
    <row r="103" spans="1:4">
      <c r="A103" s="4">
        <f t="shared" si="3"/>
        <v>36839</v>
      </c>
      <c r="B103">
        <v>22</v>
      </c>
      <c r="C103">
        <f t="shared" si="4"/>
        <v>183</v>
      </c>
      <c r="D103">
        <f t="shared" si="5"/>
        <v>689</v>
      </c>
    </row>
    <row r="104" spans="1:4">
      <c r="A104" s="4">
        <f t="shared" si="3"/>
        <v>36840</v>
      </c>
      <c r="B104">
        <v>22</v>
      </c>
      <c r="C104">
        <f t="shared" si="4"/>
        <v>205</v>
      </c>
      <c r="D104">
        <f t="shared" si="5"/>
        <v>711</v>
      </c>
    </row>
    <row r="105" spans="1:4">
      <c r="A105" s="4">
        <f t="shared" si="3"/>
        <v>36841</v>
      </c>
      <c r="B105">
        <v>23</v>
      </c>
      <c r="C105">
        <f t="shared" si="4"/>
        <v>228</v>
      </c>
      <c r="D105">
        <f t="shared" si="5"/>
        <v>734</v>
      </c>
    </row>
    <row r="106" spans="1:4">
      <c r="A106" s="4">
        <f t="shared" si="3"/>
        <v>36842</v>
      </c>
      <c r="B106">
        <v>23</v>
      </c>
      <c r="C106">
        <f t="shared" si="4"/>
        <v>251</v>
      </c>
      <c r="D106">
        <f t="shared" si="5"/>
        <v>757</v>
      </c>
    </row>
    <row r="107" spans="1:4">
      <c r="A107" s="4">
        <f t="shared" si="3"/>
        <v>36843</v>
      </c>
      <c r="B107">
        <v>24</v>
      </c>
      <c r="C107">
        <f t="shared" si="4"/>
        <v>275</v>
      </c>
      <c r="D107">
        <f t="shared" si="5"/>
        <v>781</v>
      </c>
    </row>
    <row r="108" spans="1:4">
      <c r="A108" s="4">
        <f t="shared" si="3"/>
        <v>36844</v>
      </c>
      <c r="B108">
        <v>24</v>
      </c>
      <c r="C108">
        <f t="shared" si="4"/>
        <v>299</v>
      </c>
      <c r="D108">
        <f t="shared" si="5"/>
        <v>805</v>
      </c>
    </row>
    <row r="109" spans="1:4">
      <c r="A109" s="4">
        <f t="shared" si="3"/>
        <v>36845</v>
      </c>
      <c r="B109">
        <v>25</v>
      </c>
      <c r="C109">
        <f t="shared" si="4"/>
        <v>324</v>
      </c>
      <c r="D109">
        <f t="shared" si="5"/>
        <v>830</v>
      </c>
    </row>
    <row r="110" spans="1:4">
      <c r="A110" s="4">
        <f t="shared" si="3"/>
        <v>36846</v>
      </c>
      <c r="B110">
        <v>25</v>
      </c>
      <c r="C110">
        <f t="shared" si="4"/>
        <v>349</v>
      </c>
      <c r="D110">
        <f t="shared" si="5"/>
        <v>855</v>
      </c>
    </row>
    <row r="111" spans="1:4">
      <c r="A111" s="4">
        <f t="shared" si="3"/>
        <v>36847</v>
      </c>
      <c r="B111">
        <v>26</v>
      </c>
      <c r="C111">
        <f t="shared" si="4"/>
        <v>375</v>
      </c>
      <c r="D111">
        <f t="shared" si="5"/>
        <v>881</v>
      </c>
    </row>
    <row r="112" spans="1:4">
      <c r="A112" s="4">
        <f t="shared" si="3"/>
        <v>36848</v>
      </c>
      <c r="B112">
        <v>26</v>
      </c>
      <c r="C112">
        <f t="shared" si="4"/>
        <v>401</v>
      </c>
      <c r="D112">
        <f t="shared" si="5"/>
        <v>907</v>
      </c>
    </row>
    <row r="113" spans="1:4">
      <c r="A113" s="4">
        <f t="shared" si="3"/>
        <v>36849</v>
      </c>
      <c r="B113">
        <v>27</v>
      </c>
      <c r="C113">
        <f t="shared" si="4"/>
        <v>428</v>
      </c>
      <c r="D113">
        <f t="shared" si="5"/>
        <v>934</v>
      </c>
    </row>
    <row r="114" spans="1:4">
      <c r="A114" s="4">
        <f t="shared" si="3"/>
        <v>36850</v>
      </c>
      <c r="B114">
        <v>27</v>
      </c>
      <c r="C114">
        <f t="shared" si="4"/>
        <v>455</v>
      </c>
      <c r="D114">
        <f t="shared" si="5"/>
        <v>961</v>
      </c>
    </row>
    <row r="115" spans="1:4">
      <c r="A115" s="4">
        <f t="shared" si="3"/>
        <v>36851</v>
      </c>
      <c r="B115">
        <v>27</v>
      </c>
      <c r="C115">
        <f t="shared" si="4"/>
        <v>482</v>
      </c>
      <c r="D115">
        <f t="shared" si="5"/>
        <v>988</v>
      </c>
    </row>
    <row r="116" spans="1:4">
      <c r="A116" s="4">
        <f t="shared" si="3"/>
        <v>36852</v>
      </c>
      <c r="B116">
        <v>28</v>
      </c>
      <c r="C116">
        <f t="shared" si="4"/>
        <v>510</v>
      </c>
      <c r="D116">
        <f t="shared" si="5"/>
        <v>1016</v>
      </c>
    </row>
    <row r="117" spans="1:4">
      <c r="A117" s="4">
        <f t="shared" si="3"/>
        <v>36853</v>
      </c>
      <c r="B117">
        <v>28</v>
      </c>
      <c r="C117">
        <f t="shared" si="4"/>
        <v>538</v>
      </c>
      <c r="D117">
        <f t="shared" si="5"/>
        <v>1044</v>
      </c>
    </row>
    <row r="118" spans="1:4">
      <c r="A118" s="4">
        <f t="shared" si="3"/>
        <v>36854</v>
      </c>
      <c r="B118">
        <v>29</v>
      </c>
      <c r="C118">
        <f t="shared" si="4"/>
        <v>567</v>
      </c>
      <c r="D118">
        <f t="shared" si="5"/>
        <v>1073</v>
      </c>
    </row>
    <row r="119" spans="1:4">
      <c r="A119" s="4">
        <f t="shared" si="3"/>
        <v>36855</v>
      </c>
      <c r="B119">
        <v>29</v>
      </c>
      <c r="C119">
        <f t="shared" si="4"/>
        <v>596</v>
      </c>
      <c r="D119">
        <f t="shared" si="5"/>
        <v>1102</v>
      </c>
    </row>
    <row r="120" spans="1:4">
      <c r="A120" s="4">
        <f t="shared" si="3"/>
        <v>36856</v>
      </c>
      <c r="B120">
        <v>30</v>
      </c>
      <c r="C120">
        <f t="shared" si="4"/>
        <v>626</v>
      </c>
      <c r="D120">
        <f t="shared" si="5"/>
        <v>1132</v>
      </c>
    </row>
    <row r="121" spans="1:4">
      <c r="A121" s="4">
        <f t="shared" si="3"/>
        <v>36857</v>
      </c>
      <c r="B121">
        <v>30</v>
      </c>
      <c r="C121">
        <f t="shared" si="4"/>
        <v>656</v>
      </c>
      <c r="D121">
        <f t="shared" si="5"/>
        <v>1162</v>
      </c>
    </row>
    <row r="122" spans="1:4">
      <c r="A122" s="4">
        <f t="shared" si="3"/>
        <v>36858</v>
      </c>
      <c r="B122">
        <v>31</v>
      </c>
      <c r="C122">
        <f t="shared" si="4"/>
        <v>687</v>
      </c>
      <c r="D122">
        <f t="shared" si="5"/>
        <v>1193</v>
      </c>
    </row>
    <row r="123" spans="1:4">
      <c r="A123" s="4">
        <f t="shared" si="3"/>
        <v>36859</v>
      </c>
      <c r="B123">
        <v>32</v>
      </c>
      <c r="C123">
        <f t="shared" si="4"/>
        <v>719</v>
      </c>
      <c r="D123">
        <f t="shared" si="5"/>
        <v>1225</v>
      </c>
    </row>
    <row r="124" spans="1:4">
      <c r="A124" s="4">
        <f t="shared" si="3"/>
        <v>36860</v>
      </c>
      <c r="B124">
        <v>32</v>
      </c>
      <c r="C124">
        <f t="shared" si="4"/>
        <v>751</v>
      </c>
      <c r="D124">
        <f t="shared" si="5"/>
        <v>1257</v>
      </c>
    </row>
    <row r="125" spans="1:4">
      <c r="A125" s="4">
        <f t="shared" si="3"/>
        <v>36861</v>
      </c>
      <c r="B125">
        <v>32</v>
      </c>
      <c r="C125">
        <f t="shared" si="4"/>
        <v>32</v>
      </c>
      <c r="D125">
        <f t="shared" si="5"/>
        <v>1289</v>
      </c>
    </row>
    <row r="126" spans="1:4">
      <c r="A126" s="4">
        <f t="shared" si="3"/>
        <v>36862</v>
      </c>
      <c r="B126">
        <v>32</v>
      </c>
      <c r="C126">
        <f t="shared" si="4"/>
        <v>64</v>
      </c>
      <c r="D126">
        <f t="shared" si="5"/>
        <v>1321</v>
      </c>
    </row>
    <row r="127" spans="1:4">
      <c r="A127" s="4">
        <f t="shared" si="3"/>
        <v>36863</v>
      </c>
      <c r="B127">
        <v>32</v>
      </c>
      <c r="C127">
        <f t="shared" si="4"/>
        <v>96</v>
      </c>
      <c r="D127">
        <f t="shared" si="5"/>
        <v>1353</v>
      </c>
    </row>
    <row r="128" spans="1:4">
      <c r="A128" s="4">
        <f t="shared" si="3"/>
        <v>36864</v>
      </c>
      <c r="B128">
        <v>33</v>
      </c>
      <c r="C128">
        <f t="shared" si="4"/>
        <v>129</v>
      </c>
      <c r="D128">
        <f t="shared" si="5"/>
        <v>1386</v>
      </c>
    </row>
    <row r="129" spans="1:4">
      <c r="A129" s="4">
        <f t="shared" si="3"/>
        <v>36865</v>
      </c>
      <c r="B129">
        <v>33</v>
      </c>
      <c r="C129">
        <f t="shared" si="4"/>
        <v>162</v>
      </c>
      <c r="D129">
        <f t="shared" si="5"/>
        <v>1419</v>
      </c>
    </row>
    <row r="130" spans="1:4">
      <c r="A130" s="4">
        <f t="shared" si="3"/>
        <v>36866</v>
      </c>
      <c r="B130">
        <v>34</v>
      </c>
      <c r="C130">
        <f t="shared" si="4"/>
        <v>196</v>
      </c>
      <c r="D130">
        <f t="shared" si="5"/>
        <v>1453</v>
      </c>
    </row>
    <row r="131" spans="1:4">
      <c r="A131" s="4">
        <f t="shared" si="3"/>
        <v>36867</v>
      </c>
      <c r="B131">
        <v>34</v>
      </c>
      <c r="C131">
        <f t="shared" si="4"/>
        <v>230</v>
      </c>
      <c r="D131">
        <f t="shared" si="5"/>
        <v>1487</v>
      </c>
    </row>
    <row r="132" spans="1:4">
      <c r="A132" s="4">
        <f t="shared" ref="A132:A195" si="6">A131+1</f>
        <v>36868</v>
      </c>
      <c r="B132">
        <v>34</v>
      </c>
      <c r="C132">
        <f t="shared" ref="C132:C195" si="7">IF(DAY(A132)=1,B132,C131+B132)</f>
        <v>264</v>
      </c>
      <c r="D132">
        <f t="shared" ref="D132:D195" si="8">B132+D131</f>
        <v>1521</v>
      </c>
    </row>
    <row r="133" spans="1:4">
      <c r="A133" s="4">
        <f t="shared" si="6"/>
        <v>36869</v>
      </c>
      <c r="B133">
        <v>34</v>
      </c>
      <c r="C133">
        <f t="shared" si="7"/>
        <v>298</v>
      </c>
      <c r="D133">
        <f t="shared" si="8"/>
        <v>1555</v>
      </c>
    </row>
    <row r="134" spans="1:4">
      <c r="A134" s="4">
        <f t="shared" si="6"/>
        <v>36870</v>
      </c>
      <c r="B134">
        <v>35</v>
      </c>
      <c r="C134">
        <f t="shared" si="7"/>
        <v>333</v>
      </c>
      <c r="D134">
        <f t="shared" si="8"/>
        <v>1590</v>
      </c>
    </row>
    <row r="135" spans="1:4">
      <c r="A135" s="4">
        <f t="shared" si="6"/>
        <v>36871</v>
      </c>
      <c r="B135">
        <v>35</v>
      </c>
      <c r="C135">
        <f t="shared" si="7"/>
        <v>368</v>
      </c>
      <c r="D135">
        <f t="shared" si="8"/>
        <v>1625</v>
      </c>
    </row>
    <row r="136" spans="1:4">
      <c r="A136" s="4">
        <f t="shared" si="6"/>
        <v>36872</v>
      </c>
      <c r="B136">
        <v>35</v>
      </c>
      <c r="C136">
        <f t="shared" si="7"/>
        <v>403</v>
      </c>
      <c r="D136">
        <f t="shared" si="8"/>
        <v>1660</v>
      </c>
    </row>
    <row r="137" spans="1:4">
      <c r="A137" s="4">
        <f t="shared" si="6"/>
        <v>36873</v>
      </c>
      <c r="B137">
        <v>36</v>
      </c>
      <c r="C137">
        <f t="shared" si="7"/>
        <v>439</v>
      </c>
      <c r="D137">
        <f t="shared" si="8"/>
        <v>1696</v>
      </c>
    </row>
    <row r="138" spans="1:4">
      <c r="A138" s="4">
        <f t="shared" si="6"/>
        <v>36874</v>
      </c>
      <c r="B138">
        <v>36</v>
      </c>
      <c r="C138">
        <f t="shared" si="7"/>
        <v>475</v>
      </c>
      <c r="D138">
        <f t="shared" si="8"/>
        <v>1732</v>
      </c>
    </row>
    <row r="139" spans="1:4">
      <c r="A139" s="4">
        <f t="shared" si="6"/>
        <v>36875</v>
      </c>
      <c r="B139">
        <v>36</v>
      </c>
      <c r="C139">
        <f t="shared" si="7"/>
        <v>511</v>
      </c>
      <c r="D139">
        <f t="shared" si="8"/>
        <v>1768</v>
      </c>
    </row>
    <row r="140" spans="1:4">
      <c r="A140" s="4">
        <f t="shared" si="6"/>
        <v>36876</v>
      </c>
      <c r="B140">
        <v>37</v>
      </c>
      <c r="C140">
        <f t="shared" si="7"/>
        <v>548</v>
      </c>
      <c r="D140">
        <f t="shared" si="8"/>
        <v>1805</v>
      </c>
    </row>
    <row r="141" spans="1:4">
      <c r="A141" s="4">
        <f t="shared" si="6"/>
        <v>36877</v>
      </c>
      <c r="B141">
        <v>37</v>
      </c>
      <c r="C141">
        <f t="shared" si="7"/>
        <v>585</v>
      </c>
      <c r="D141">
        <f t="shared" si="8"/>
        <v>1842</v>
      </c>
    </row>
    <row r="142" spans="1:4">
      <c r="A142" s="4">
        <f t="shared" si="6"/>
        <v>36878</v>
      </c>
      <c r="B142">
        <v>38</v>
      </c>
      <c r="C142">
        <f t="shared" si="7"/>
        <v>623</v>
      </c>
      <c r="D142">
        <f t="shared" si="8"/>
        <v>1880</v>
      </c>
    </row>
    <row r="143" spans="1:4">
      <c r="A143" s="4">
        <f t="shared" si="6"/>
        <v>36879</v>
      </c>
      <c r="B143">
        <v>38</v>
      </c>
      <c r="C143">
        <f t="shared" si="7"/>
        <v>661</v>
      </c>
      <c r="D143">
        <f t="shared" si="8"/>
        <v>1918</v>
      </c>
    </row>
    <row r="144" spans="1:4">
      <c r="A144" s="4">
        <f t="shared" si="6"/>
        <v>36880</v>
      </c>
      <c r="B144">
        <v>38</v>
      </c>
      <c r="C144">
        <f t="shared" si="7"/>
        <v>699</v>
      </c>
      <c r="D144">
        <f t="shared" si="8"/>
        <v>1956</v>
      </c>
    </row>
    <row r="145" spans="1:4">
      <c r="A145" s="4">
        <f t="shared" si="6"/>
        <v>36881</v>
      </c>
      <c r="B145">
        <v>38</v>
      </c>
      <c r="C145">
        <f t="shared" si="7"/>
        <v>737</v>
      </c>
      <c r="D145">
        <f t="shared" si="8"/>
        <v>1994</v>
      </c>
    </row>
    <row r="146" spans="1:4">
      <c r="A146" s="4">
        <f t="shared" si="6"/>
        <v>36882</v>
      </c>
      <c r="B146">
        <v>39</v>
      </c>
      <c r="C146">
        <f t="shared" si="7"/>
        <v>776</v>
      </c>
      <c r="D146">
        <f t="shared" si="8"/>
        <v>2033</v>
      </c>
    </row>
    <row r="147" spans="1:4">
      <c r="A147" s="4">
        <f t="shared" si="6"/>
        <v>36883</v>
      </c>
      <c r="B147">
        <v>39</v>
      </c>
      <c r="C147">
        <f t="shared" si="7"/>
        <v>815</v>
      </c>
      <c r="D147">
        <f t="shared" si="8"/>
        <v>2072</v>
      </c>
    </row>
    <row r="148" spans="1:4">
      <c r="A148" s="4">
        <f t="shared" si="6"/>
        <v>36884</v>
      </c>
      <c r="B148">
        <v>39</v>
      </c>
      <c r="C148">
        <f t="shared" si="7"/>
        <v>854</v>
      </c>
      <c r="D148">
        <f t="shared" si="8"/>
        <v>2111</v>
      </c>
    </row>
    <row r="149" spans="1:4">
      <c r="A149" s="4">
        <f t="shared" si="6"/>
        <v>36885</v>
      </c>
      <c r="B149">
        <v>40</v>
      </c>
      <c r="C149">
        <f t="shared" si="7"/>
        <v>894</v>
      </c>
      <c r="D149">
        <f t="shared" si="8"/>
        <v>2151</v>
      </c>
    </row>
    <row r="150" spans="1:4">
      <c r="A150" s="4">
        <f t="shared" si="6"/>
        <v>36886</v>
      </c>
      <c r="B150">
        <v>40</v>
      </c>
      <c r="C150">
        <f t="shared" si="7"/>
        <v>934</v>
      </c>
      <c r="D150">
        <f t="shared" si="8"/>
        <v>2191</v>
      </c>
    </row>
    <row r="151" spans="1:4">
      <c r="A151" s="4">
        <f t="shared" si="6"/>
        <v>36887</v>
      </c>
      <c r="B151">
        <v>40</v>
      </c>
      <c r="C151">
        <f t="shared" si="7"/>
        <v>974</v>
      </c>
      <c r="D151">
        <f t="shared" si="8"/>
        <v>2231</v>
      </c>
    </row>
    <row r="152" spans="1:4">
      <c r="A152" s="4">
        <f t="shared" si="6"/>
        <v>36888</v>
      </c>
      <c r="B152">
        <v>40</v>
      </c>
      <c r="C152">
        <f t="shared" si="7"/>
        <v>1014</v>
      </c>
      <c r="D152">
        <f t="shared" si="8"/>
        <v>2271</v>
      </c>
    </row>
    <row r="153" spans="1:4">
      <c r="A153" s="4">
        <f t="shared" si="6"/>
        <v>36889</v>
      </c>
      <c r="B153">
        <v>40</v>
      </c>
      <c r="C153">
        <f t="shared" si="7"/>
        <v>1054</v>
      </c>
      <c r="D153">
        <f t="shared" si="8"/>
        <v>2311</v>
      </c>
    </row>
    <row r="154" spans="1:4">
      <c r="A154" s="4">
        <f t="shared" si="6"/>
        <v>36890</v>
      </c>
      <c r="B154">
        <v>41</v>
      </c>
      <c r="C154">
        <f t="shared" si="7"/>
        <v>1095</v>
      </c>
      <c r="D154">
        <f t="shared" si="8"/>
        <v>2352</v>
      </c>
    </row>
    <row r="155" spans="1:4">
      <c r="A155" s="4">
        <f t="shared" si="6"/>
        <v>36891</v>
      </c>
      <c r="B155">
        <v>42</v>
      </c>
      <c r="C155">
        <f t="shared" si="7"/>
        <v>1137</v>
      </c>
      <c r="D155">
        <f t="shared" si="8"/>
        <v>2394</v>
      </c>
    </row>
    <row r="156" spans="1:4">
      <c r="A156" s="4">
        <f t="shared" si="6"/>
        <v>36892</v>
      </c>
      <c r="B156">
        <v>42</v>
      </c>
      <c r="C156">
        <f t="shared" si="7"/>
        <v>42</v>
      </c>
      <c r="D156">
        <f t="shared" si="8"/>
        <v>2436</v>
      </c>
    </row>
    <row r="157" spans="1:4">
      <c r="A157" s="4">
        <f t="shared" si="6"/>
        <v>36893</v>
      </c>
      <c r="B157">
        <v>42</v>
      </c>
      <c r="C157">
        <f t="shared" si="7"/>
        <v>84</v>
      </c>
      <c r="D157">
        <f t="shared" si="8"/>
        <v>2478</v>
      </c>
    </row>
    <row r="158" spans="1:4">
      <c r="A158" s="4">
        <f t="shared" si="6"/>
        <v>36894</v>
      </c>
      <c r="B158">
        <v>42</v>
      </c>
      <c r="C158">
        <f t="shared" si="7"/>
        <v>126</v>
      </c>
      <c r="D158">
        <f t="shared" si="8"/>
        <v>2520</v>
      </c>
    </row>
    <row r="159" spans="1:4">
      <c r="A159" s="4">
        <f t="shared" si="6"/>
        <v>36895</v>
      </c>
      <c r="B159">
        <v>43</v>
      </c>
      <c r="C159">
        <f t="shared" si="7"/>
        <v>169</v>
      </c>
      <c r="D159">
        <f t="shared" si="8"/>
        <v>2563</v>
      </c>
    </row>
    <row r="160" spans="1:4">
      <c r="A160" s="4">
        <f t="shared" si="6"/>
        <v>36896</v>
      </c>
      <c r="B160">
        <v>43</v>
      </c>
      <c r="C160">
        <f t="shared" si="7"/>
        <v>212</v>
      </c>
      <c r="D160">
        <f t="shared" si="8"/>
        <v>2606</v>
      </c>
    </row>
    <row r="161" spans="1:4">
      <c r="A161" s="4">
        <f t="shared" si="6"/>
        <v>36897</v>
      </c>
      <c r="B161">
        <v>43</v>
      </c>
      <c r="C161">
        <f t="shared" si="7"/>
        <v>255</v>
      </c>
      <c r="D161">
        <f t="shared" si="8"/>
        <v>2649</v>
      </c>
    </row>
    <row r="162" spans="1:4">
      <c r="A162" s="4">
        <f t="shared" si="6"/>
        <v>36898</v>
      </c>
      <c r="B162">
        <v>43</v>
      </c>
      <c r="C162">
        <f t="shared" si="7"/>
        <v>298</v>
      </c>
      <c r="D162">
        <f t="shared" si="8"/>
        <v>2692</v>
      </c>
    </row>
    <row r="163" spans="1:4">
      <c r="A163" s="4">
        <f t="shared" si="6"/>
        <v>36899</v>
      </c>
      <c r="B163">
        <v>43</v>
      </c>
      <c r="C163">
        <f t="shared" si="7"/>
        <v>341</v>
      </c>
      <c r="D163">
        <f t="shared" si="8"/>
        <v>2735</v>
      </c>
    </row>
    <row r="164" spans="1:4">
      <c r="A164" s="4">
        <f t="shared" si="6"/>
        <v>36900</v>
      </c>
      <c r="B164">
        <v>43</v>
      </c>
      <c r="C164">
        <f t="shared" si="7"/>
        <v>384</v>
      </c>
      <c r="D164">
        <f t="shared" si="8"/>
        <v>2778</v>
      </c>
    </row>
    <row r="165" spans="1:4">
      <c r="A165" s="4">
        <f t="shared" si="6"/>
        <v>36901</v>
      </c>
      <c r="B165">
        <v>43</v>
      </c>
      <c r="C165">
        <f t="shared" si="7"/>
        <v>427</v>
      </c>
      <c r="D165">
        <f t="shared" si="8"/>
        <v>2821</v>
      </c>
    </row>
    <row r="166" spans="1:4">
      <c r="A166" s="4">
        <f t="shared" si="6"/>
        <v>36902</v>
      </c>
      <c r="B166">
        <v>43</v>
      </c>
      <c r="C166">
        <f t="shared" si="7"/>
        <v>470</v>
      </c>
      <c r="D166">
        <f t="shared" si="8"/>
        <v>2864</v>
      </c>
    </row>
    <row r="167" spans="1:4">
      <c r="A167" s="4">
        <f t="shared" si="6"/>
        <v>36903</v>
      </c>
      <c r="B167">
        <v>43</v>
      </c>
      <c r="C167">
        <f t="shared" si="7"/>
        <v>513</v>
      </c>
      <c r="D167">
        <f t="shared" si="8"/>
        <v>2907</v>
      </c>
    </row>
    <row r="168" spans="1:4">
      <c r="A168" s="4">
        <f t="shared" si="6"/>
        <v>36904</v>
      </c>
      <c r="B168">
        <v>43</v>
      </c>
      <c r="C168">
        <f t="shared" si="7"/>
        <v>556</v>
      </c>
      <c r="D168">
        <f t="shared" si="8"/>
        <v>2950</v>
      </c>
    </row>
    <row r="169" spans="1:4">
      <c r="A169" s="4">
        <f t="shared" si="6"/>
        <v>36905</v>
      </c>
      <c r="B169">
        <v>43</v>
      </c>
      <c r="C169">
        <f t="shared" si="7"/>
        <v>599</v>
      </c>
      <c r="D169">
        <f t="shared" si="8"/>
        <v>2993</v>
      </c>
    </row>
    <row r="170" spans="1:4">
      <c r="A170" s="4">
        <f t="shared" si="6"/>
        <v>36906</v>
      </c>
      <c r="B170">
        <v>44</v>
      </c>
      <c r="C170">
        <f t="shared" si="7"/>
        <v>643</v>
      </c>
      <c r="D170">
        <f t="shared" si="8"/>
        <v>3037</v>
      </c>
    </row>
    <row r="171" spans="1:4">
      <c r="A171" s="4">
        <f t="shared" si="6"/>
        <v>36907</v>
      </c>
      <c r="B171">
        <v>44</v>
      </c>
      <c r="C171">
        <f t="shared" si="7"/>
        <v>687</v>
      </c>
      <c r="D171">
        <f t="shared" si="8"/>
        <v>3081</v>
      </c>
    </row>
    <row r="172" spans="1:4">
      <c r="A172" s="4">
        <f t="shared" si="6"/>
        <v>36908</v>
      </c>
      <c r="B172">
        <v>45</v>
      </c>
      <c r="C172">
        <f t="shared" si="7"/>
        <v>732</v>
      </c>
      <c r="D172">
        <f t="shared" si="8"/>
        <v>3126</v>
      </c>
    </row>
    <row r="173" spans="1:4">
      <c r="A173" s="4">
        <f t="shared" si="6"/>
        <v>36909</v>
      </c>
      <c r="B173">
        <v>44</v>
      </c>
      <c r="C173">
        <f t="shared" si="7"/>
        <v>776</v>
      </c>
      <c r="D173">
        <f t="shared" si="8"/>
        <v>3170</v>
      </c>
    </row>
    <row r="174" spans="1:4">
      <c r="A174" s="4">
        <f t="shared" si="6"/>
        <v>36910</v>
      </c>
      <c r="B174">
        <v>44</v>
      </c>
      <c r="C174">
        <f t="shared" si="7"/>
        <v>820</v>
      </c>
      <c r="D174">
        <f t="shared" si="8"/>
        <v>3214</v>
      </c>
    </row>
    <row r="175" spans="1:4">
      <c r="A175" s="4">
        <f t="shared" si="6"/>
        <v>36911</v>
      </c>
      <c r="B175">
        <v>43</v>
      </c>
      <c r="C175">
        <f t="shared" si="7"/>
        <v>863</v>
      </c>
      <c r="D175">
        <f t="shared" si="8"/>
        <v>3257</v>
      </c>
    </row>
    <row r="176" spans="1:4">
      <c r="A176" s="4">
        <f t="shared" si="6"/>
        <v>36912</v>
      </c>
      <c r="B176">
        <v>43</v>
      </c>
      <c r="C176">
        <f t="shared" si="7"/>
        <v>906</v>
      </c>
      <c r="D176">
        <f t="shared" si="8"/>
        <v>3300</v>
      </c>
    </row>
    <row r="177" spans="1:4">
      <c r="A177" s="4">
        <f t="shared" si="6"/>
        <v>36913</v>
      </c>
      <c r="B177">
        <v>43</v>
      </c>
      <c r="C177">
        <f t="shared" si="7"/>
        <v>949</v>
      </c>
      <c r="D177">
        <f t="shared" si="8"/>
        <v>3343</v>
      </c>
    </row>
    <row r="178" spans="1:4">
      <c r="A178" s="4">
        <f t="shared" si="6"/>
        <v>36914</v>
      </c>
      <c r="B178">
        <v>43</v>
      </c>
      <c r="C178">
        <f t="shared" si="7"/>
        <v>992</v>
      </c>
      <c r="D178">
        <f t="shared" si="8"/>
        <v>3386</v>
      </c>
    </row>
    <row r="179" spans="1:4">
      <c r="A179" s="4">
        <f t="shared" si="6"/>
        <v>36915</v>
      </c>
      <c r="B179">
        <v>43</v>
      </c>
      <c r="C179">
        <f t="shared" si="7"/>
        <v>1035</v>
      </c>
      <c r="D179">
        <f t="shared" si="8"/>
        <v>3429</v>
      </c>
    </row>
    <row r="180" spans="1:4">
      <c r="A180" s="4">
        <f t="shared" si="6"/>
        <v>36916</v>
      </c>
      <c r="B180">
        <v>43</v>
      </c>
      <c r="C180">
        <f t="shared" si="7"/>
        <v>1078</v>
      </c>
      <c r="D180">
        <f t="shared" si="8"/>
        <v>3472</v>
      </c>
    </row>
    <row r="181" spans="1:4">
      <c r="A181" s="4">
        <f t="shared" si="6"/>
        <v>36917</v>
      </c>
      <c r="B181">
        <v>43</v>
      </c>
      <c r="C181">
        <f t="shared" si="7"/>
        <v>1121</v>
      </c>
      <c r="D181">
        <f t="shared" si="8"/>
        <v>3515</v>
      </c>
    </row>
    <row r="182" spans="1:4">
      <c r="A182" s="4">
        <f t="shared" si="6"/>
        <v>36918</v>
      </c>
      <c r="B182">
        <v>43</v>
      </c>
      <c r="C182">
        <f t="shared" si="7"/>
        <v>1164</v>
      </c>
      <c r="D182">
        <f t="shared" si="8"/>
        <v>3558</v>
      </c>
    </row>
    <row r="183" spans="1:4">
      <c r="A183" s="4">
        <f t="shared" si="6"/>
        <v>36919</v>
      </c>
      <c r="B183">
        <v>42</v>
      </c>
      <c r="C183">
        <f t="shared" si="7"/>
        <v>1206</v>
      </c>
      <c r="D183">
        <f t="shared" si="8"/>
        <v>3600</v>
      </c>
    </row>
    <row r="184" spans="1:4">
      <c r="A184" s="4">
        <f t="shared" si="6"/>
        <v>36920</v>
      </c>
      <c r="B184">
        <v>42</v>
      </c>
      <c r="C184">
        <f t="shared" si="7"/>
        <v>1248</v>
      </c>
      <c r="D184">
        <f t="shared" si="8"/>
        <v>3642</v>
      </c>
    </row>
    <row r="185" spans="1:4">
      <c r="A185" s="4">
        <f t="shared" si="6"/>
        <v>36921</v>
      </c>
      <c r="B185">
        <v>42</v>
      </c>
      <c r="C185">
        <f t="shared" si="7"/>
        <v>1290</v>
      </c>
      <c r="D185">
        <f t="shared" si="8"/>
        <v>3684</v>
      </c>
    </row>
    <row r="186" spans="1:4">
      <c r="A186" s="4">
        <f t="shared" si="6"/>
        <v>36922</v>
      </c>
      <c r="B186">
        <v>42</v>
      </c>
      <c r="C186">
        <f t="shared" si="7"/>
        <v>1332</v>
      </c>
      <c r="D186">
        <f t="shared" si="8"/>
        <v>3726</v>
      </c>
    </row>
    <row r="187" spans="1:4">
      <c r="A187" s="4">
        <f t="shared" si="6"/>
        <v>36923</v>
      </c>
      <c r="B187">
        <v>42</v>
      </c>
      <c r="C187">
        <f t="shared" si="7"/>
        <v>42</v>
      </c>
      <c r="D187">
        <f t="shared" si="8"/>
        <v>3768</v>
      </c>
    </row>
    <row r="188" spans="1:4">
      <c r="A188" s="4">
        <f t="shared" si="6"/>
        <v>36924</v>
      </c>
      <c r="B188">
        <v>42</v>
      </c>
      <c r="C188">
        <f t="shared" si="7"/>
        <v>84</v>
      </c>
      <c r="D188">
        <f t="shared" si="8"/>
        <v>3810</v>
      </c>
    </row>
    <row r="189" spans="1:4">
      <c r="A189" s="4">
        <f t="shared" si="6"/>
        <v>36925</v>
      </c>
      <c r="B189">
        <v>42</v>
      </c>
      <c r="C189">
        <f t="shared" si="7"/>
        <v>126</v>
      </c>
      <c r="D189">
        <f t="shared" si="8"/>
        <v>3852</v>
      </c>
    </row>
    <row r="190" spans="1:4">
      <c r="A190" s="4">
        <f t="shared" si="6"/>
        <v>36926</v>
      </c>
      <c r="B190">
        <v>42</v>
      </c>
      <c r="C190">
        <f t="shared" si="7"/>
        <v>168</v>
      </c>
      <c r="D190">
        <f t="shared" si="8"/>
        <v>3894</v>
      </c>
    </row>
    <row r="191" spans="1:4">
      <c r="A191" s="4">
        <f t="shared" si="6"/>
        <v>36927</v>
      </c>
      <c r="B191">
        <v>41</v>
      </c>
      <c r="C191">
        <f t="shared" si="7"/>
        <v>209</v>
      </c>
      <c r="D191">
        <f t="shared" si="8"/>
        <v>3935</v>
      </c>
    </row>
    <row r="192" spans="1:4">
      <c r="A192" s="4">
        <f t="shared" si="6"/>
        <v>36928</v>
      </c>
      <c r="B192">
        <v>41</v>
      </c>
      <c r="C192">
        <f t="shared" si="7"/>
        <v>250</v>
      </c>
      <c r="D192">
        <f t="shared" si="8"/>
        <v>3976</v>
      </c>
    </row>
    <row r="193" spans="1:4">
      <c r="A193" s="4">
        <f t="shared" si="6"/>
        <v>36929</v>
      </c>
      <c r="B193">
        <v>41</v>
      </c>
      <c r="C193">
        <f t="shared" si="7"/>
        <v>291</v>
      </c>
      <c r="D193">
        <f t="shared" si="8"/>
        <v>4017</v>
      </c>
    </row>
    <row r="194" spans="1:4">
      <c r="A194" s="4">
        <f t="shared" si="6"/>
        <v>36930</v>
      </c>
      <c r="B194">
        <v>41</v>
      </c>
      <c r="C194">
        <f t="shared" si="7"/>
        <v>332</v>
      </c>
      <c r="D194">
        <f t="shared" si="8"/>
        <v>4058</v>
      </c>
    </row>
    <row r="195" spans="1:4">
      <c r="A195" s="4">
        <f t="shared" si="6"/>
        <v>36931</v>
      </c>
      <c r="B195">
        <v>41</v>
      </c>
      <c r="C195">
        <f t="shared" si="7"/>
        <v>373</v>
      </c>
      <c r="D195">
        <f t="shared" si="8"/>
        <v>4099</v>
      </c>
    </row>
    <row r="196" spans="1:4">
      <c r="A196" s="4">
        <f t="shared" ref="A196:A259" si="9">A195+1</f>
        <v>36932</v>
      </c>
      <c r="B196">
        <v>40</v>
      </c>
      <c r="C196">
        <f t="shared" ref="C196:C259" si="10">IF(DAY(A196)=1,B196,C195+B196)</f>
        <v>413</v>
      </c>
      <c r="D196">
        <f t="shared" ref="D196:D259" si="11">B196+D195</f>
        <v>4139</v>
      </c>
    </row>
    <row r="197" spans="1:4">
      <c r="A197" s="4">
        <f t="shared" si="9"/>
        <v>36933</v>
      </c>
      <c r="B197">
        <v>40</v>
      </c>
      <c r="C197">
        <f t="shared" si="10"/>
        <v>453</v>
      </c>
      <c r="D197">
        <f t="shared" si="11"/>
        <v>4179</v>
      </c>
    </row>
    <row r="198" spans="1:4">
      <c r="A198" s="4">
        <f t="shared" si="9"/>
        <v>36934</v>
      </c>
      <c r="B198">
        <v>40</v>
      </c>
      <c r="C198">
        <f t="shared" si="10"/>
        <v>493</v>
      </c>
      <c r="D198">
        <f t="shared" si="11"/>
        <v>4219</v>
      </c>
    </row>
    <row r="199" spans="1:4">
      <c r="A199" s="4">
        <f t="shared" si="9"/>
        <v>36935</v>
      </c>
      <c r="B199">
        <v>39</v>
      </c>
      <c r="C199">
        <f t="shared" si="10"/>
        <v>532</v>
      </c>
      <c r="D199">
        <f t="shared" si="11"/>
        <v>4258</v>
      </c>
    </row>
    <row r="200" spans="1:4">
      <c r="A200" s="4">
        <f t="shared" si="9"/>
        <v>36936</v>
      </c>
      <c r="B200">
        <v>39</v>
      </c>
      <c r="C200">
        <f t="shared" si="10"/>
        <v>571</v>
      </c>
      <c r="D200">
        <f t="shared" si="11"/>
        <v>4297</v>
      </c>
    </row>
    <row r="201" spans="1:4">
      <c r="A201" s="4">
        <f t="shared" si="9"/>
        <v>36937</v>
      </c>
      <c r="B201">
        <v>39</v>
      </c>
      <c r="C201">
        <f t="shared" si="10"/>
        <v>610</v>
      </c>
      <c r="D201">
        <f t="shared" si="11"/>
        <v>4336</v>
      </c>
    </row>
    <row r="202" spans="1:4">
      <c r="A202" s="4">
        <f t="shared" si="9"/>
        <v>36938</v>
      </c>
      <c r="B202">
        <v>38</v>
      </c>
      <c r="C202">
        <f t="shared" si="10"/>
        <v>648</v>
      </c>
      <c r="D202">
        <f t="shared" si="11"/>
        <v>4374</v>
      </c>
    </row>
    <row r="203" spans="1:4">
      <c r="A203" s="4">
        <f t="shared" si="9"/>
        <v>36939</v>
      </c>
      <c r="B203">
        <v>37</v>
      </c>
      <c r="C203">
        <f t="shared" si="10"/>
        <v>685</v>
      </c>
      <c r="D203">
        <f t="shared" si="11"/>
        <v>4411</v>
      </c>
    </row>
    <row r="204" spans="1:4">
      <c r="A204" s="4">
        <f t="shared" si="9"/>
        <v>36940</v>
      </c>
      <c r="B204">
        <v>37</v>
      </c>
      <c r="C204">
        <f t="shared" si="10"/>
        <v>722</v>
      </c>
      <c r="D204">
        <f t="shared" si="11"/>
        <v>4448</v>
      </c>
    </row>
    <row r="205" spans="1:4">
      <c r="A205" s="4">
        <f t="shared" si="9"/>
        <v>36941</v>
      </c>
      <c r="B205">
        <v>36</v>
      </c>
      <c r="C205">
        <f t="shared" si="10"/>
        <v>758</v>
      </c>
      <c r="D205">
        <f t="shared" si="11"/>
        <v>4484</v>
      </c>
    </row>
    <row r="206" spans="1:4">
      <c r="A206" s="4">
        <f t="shared" si="9"/>
        <v>36942</v>
      </c>
      <c r="B206">
        <v>36</v>
      </c>
      <c r="C206">
        <f t="shared" si="10"/>
        <v>794</v>
      </c>
      <c r="D206">
        <f t="shared" si="11"/>
        <v>4520</v>
      </c>
    </row>
    <row r="207" spans="1:4">
      <c r="A207" s="4">
        <f t="shared" si="9"/>
        <v>36943</v>
      </c>
      <c r="B207">
        <v>36</v>
      </c>
      <c r="C207">
        <f t="shared" si="10"/>
        <v>830</v>
      </c>
      <c r="D207">
        <f t="shared" si="11"/>
        <v>4556</v>
      </c>
    </row>
    <row r="208" spans="1:4">
      <c r="A208" s="4">
        <f t="shared" si="9"/>
        <v>36944</v>
      </c>
      <c r="B208">
        <v>35</v>
      </c>
      <c r="C208">
        <f t="shared" si="10"/>
        <v>865</v>
      </c>
      <c r="D208">
        <f t="shared" si="11"/>
        <v>4591</v>
      </c>
    </row>
    <row r="209" spans="1:4">
      <c r="A209" s="4">
        <f t="shared" si="9"/>
        <v>36945</v>
      </c>
      <c r="B209">
        <v>35</v>
      </c>
      <c r="C209">
        <f t="shared" si="10"/>
        <v>900</v>
      </c>
      <c r="D209">
        <f t="shared" si="11"/>
        <v>4626</v>
      </c>
    </row>
    <row r="210" spans="1:4">
      <c r="A210" s="4">
        <f t="shared" si="9"/>
        <v>36946</v>
      </c>
      <c r="B210">
        <v>35</v>
      </c>
      <c r="C210">
        <f t="shared" si="10"/>
        <v>935</v>
      </c>
      <c r="D210">
        <f t="shared" si="11"/>
        <v>4661</v>
      </c>
    </row>
    <row r="211" spans="1:4">
      <c r="A211" s="4">
        <f t="shared" si="9"/>
        <v>36947</v>
      </c>
      <c r="B211">
        <v>34</v>
      </c>
      <c r="C211">
        <f t="shared" si="10"/>
        <v>969</v>
      </c>
      <c r="D211">
        <f t="shared" si="11"/>
        <v>4695</v>
      </c>
    </row>
    <row r="212" spans="1:4">
      <c r="A212" s="4">
        <f t="shared" si="9"/>
        <v>36948</v>
      </c>
      <c r="B212">
        <v>34</v>
      </c>
      <c r="C212">
        <f t="shared" si="10"/>
        <v>1003</v>
      </c>
      <c r="D212">
        <f t="shared" si="11"/>
        <v>4729</v>
      </c>
    </row>
    <row r="213" spans="1:4">
      <c r="A213" s="4">
        <f t="shared" si="9"/>
        <v>36949</v>
      </c>
      <c r="B213">
        <v>33</v>
      </c>
      <c r="C213">
        <f t="shared" si="10"/>
        <v>1036</v>
      </c>
      <c r="D213">
        <f t="shared" si="11"/>
        <v>4762</v>
      </c>
    </row>
    <row r="214" spans="1:4">
      <c r="A214" s="4">
        <f t="shared" si="9"/>
        <v>36950</v>
      </c>
      <c r="B214">
        <v>33</v>
      </c>
      <c r="C214">
        <f t="shared" si="10"/>
        <v>1069</v>
      </c>
      <c r="D214">
        <f t="shared" si="11"/>
        <v>4795</v>
      </c>
    </row>
    <row r="215" spans="1:4">
      <c r="A215" s="4">
        <f t="shared" si="9"/>
        <v>36951</v>
      </c>
      <c r="B215">
        <v>33</v>
      </c>
      <c r="C215">
        <f t="shared" si="10"/>
        <v>33</v>
      </c>
      <c r="D215">
        <f t="shared" si="11"/>
        <v>4828</v>
      </c>
    </row>
    <row r="216" spans="1:4">
      <c r="A216" s="4">
        <f t="shared" si="9"/>
        <v>36952</v>
      </c>
      <c r="B216">
        <v>33</v>
      </c>
      <c r="C216">
        <f t="shared" si="10"/>
        <v>66</v>
      </c>
      <c r="D216">
        <f t="shared" si="11"/>
        <v>4861</v>
      </c>
    </row>
    <row r="217" spans="1:4">
      <c r="A217" s="4">
        <f t="shared" si="9"/>
        <v>36953</v>
      </c>
      <c r="B217">
        <v>32</v>
      </c>
      <c r="C217">
        <f t="shared" si="10"/>
        <v>98</v>
      </c>
      <c r="D217">
        <f t="shared" si="11"/>
        <v>4893</v>
      </c>
    </row>
    <row r="218" spans="1:4">
      <c r="A218" s="4">
        <f t="shared" si="9"/>
        <v>36954</v>
      </c>
      <c r="B218">
        <v>32</v>
      </c>
      <c r="C218">
        <f t="shared" si="10"/>
        <v>130</v>
      </c>
      <c r="D218">
        <f t="shared" si="11"/>
        <v>4925</v>
      </c>
    </row>
    <row r="219" spans="1:4">
      <c r="A219" s="4">
        <f t="shared" si="9"/>
        <v>36955</v>
      </c>
      <c r="B219">
        <v>31</v>
      </c>
      <c r="C219">
        <f t="shared" si="10"/>
        <v>161</v>
      </c>
      <c r="D219">
        <f t="shared" si="11"/>
        <v>4956</v>
      </c>
    </row>
    <row r="220" spans="1:4">
      <c r="A220" s="4">
        <f t="shared" si="9"/>
        <v>36956</v>
      </c>
      <c r="B220">
        <v>31</v>
      </c>
      <c r="C220">
        <f t="shared" si="10"/>
        <v>192</v>
      </c>
      <c r="D220">
        <f t="shared" si="11"/>
        <v>4987</v>
      </c>
    </row>
    <row r="221" spans="1:4">
      <c r="A221" s="4">
        <f t="shared" si="9"/>
        <v>36957</v>
      </c>
      <c r="B221">
        <v>31</v>
      </c>
      <c r="C221">
        <f t="shared" si="10"/>
        <v>223</v>
      </c>
      <c r="D221">
        <f t="shared" si="11"/>
        <v>5018</v>
      </c>
    </row>
    <row r="222" spans="1:4">
      <c r="A222" s="4">
        <f t="shared" si="9"/>
        <v>36958</v>
      </c>
      <c r="B222">
        <v>30</v>
      </c>
      <c r="C222">
        <f t="shared" si="10"/>
        <v>253</v>
      </c>
      <c r="D222">
        <f t="shared" si="11"/>
        <v>5048</v>
      </c>
    </row>
    <row r="223" spans="1:4">
      <c r="A223" s="4">
        <f t="shared" si="9"/>
        <v>36959</v>
      </c>
      <c r="B223">
        <v>30</v>
      </c>
      <c r="C223">
        <f t="shared" si="10"/>
        <v>283</v>
      </c>
      <c r="D223">
        <f t="shared" si="11"/>
        <v>5078</v>
      </c>
    </row>
    <row r="224" spans="1:4">
      <c r="A224" s="4">
        <f t="shared" si="9"/>
        <v>36960</v>
      </c>
      <c r="B224">
        <v>30</v>
      </c>
      <c r="C224">
        <f t="shared" si="10"/>
        <v>313</v>
      </c>
      <c r="D224">
        <f t="shared" si="11"/>
        <v>5108</v>
      </c>
    </row>
    <row r="225" spans="1:4">
      <c r="A225" s="4">
        <f t="shared" si="9"/>
        <v>36961</v>
      </c>
      <c r="B225">
        <v>30</v>
      </c>
      <c r="C225">
        <f t="shared" si="10"/>
        <v>343</v>
      </c>
      <c r="D225">
        <f t="shared" si="11"/>
        <v>5138</v>
      </c>
    </row>
    <row r="226" spans="1:4">
      <c r="A226" s="4">
        <f t="shared" si="9"/>
        <v>36962</v>
      </c>
      <c r="B226">
        <v>29</v>
      </c>
      <c r="C226">
        <f t="shared" si="10"/>
        <v>372</v>
      </c>
      <c r="D226">
        <f t="shared" si="11"/>
        <v>5167</v>
      </c>
    </row>
    <row r="227" spans="1:4">
      <c r="A227" s="4">
        <f t="shared" si="9"/>
        <v>36963</v>
      </c>
      <c r="B227">
        <v>29</v>
      </c>
      <c r="C227">
        <f t="shared" si="10"/>
        <v>401</v>
      </c>
      <c r="D227">
        <f t="shared" si="11"/>
        <v>5196</v>
      </c>
    </row>
    <row r="228" spans="1:4">
      <c r="A228" s="4">
        <f t="shared" si="9"/>
        <v>36964</v>
      </c>
      <c r="B228">
        <v>29</v>
      </c>
      <c r="C228">
        <f t="shared" si="10"/>
        <v>430</v>
      </c>
      <c r="D228">
        <f t="shared" si="11"/>
        <v>5225</v>
      </c>
    </row>
    <row r="229" spans="1:4">
      <c r="A229" s="4">
        <f t="shared" si="9"/>
        <v>36965</v>
      </c>
      <c r="B229">
        <v>28</v>
      </c>
      <c r="C229">
        <f t="shared" si="10"/>
        <v>458</v>
      </c>
      <c r="D229">
        <f t="shared" si="11"/>
        <v>5253</v>
      </c>
    </row>
    <row r="230" spans="1:4">
      <c r="A230" s="4">
        <f t="shared" si="9"/>
        <v>36966</v>
      </c>
      <c r="B230">
        <v>28</v>
      </c>
      <c r="C230">
        <f t="shared" si="10"/>
        <v>486</v>
      </c>
      <c r="D230">
        <f t="shared" si="11"/>
        <v>5281</v>
      </c>
    </row>
    <row r="231" spans="1:4">
      <c r="A231" s="4">
        <f t="shared" si="9"/>
        <v>36967</v>
      </c>
      <c r="B231">
        <v>27</v>
      </c>
      <c r="C231">
        <f t="shared" si="10"/>
        <v>513</v>
      </c>
      <c r="D231">
        <f t="shared" si="11"/>
        <v>5308</v>
      </c>
    </row>
    <row r="232" spans="1:4">
      <c r="A232" s="4">
        <f t="shared" si="9"/>
        <v>36968</v>
      </c>
      <c r="B232">
        <v>27</v>
      </c>
      <c r="C232">
        <f t="shared" si="10"/>
        <v>540</v>
      </c>
      <c r="D232">
        <f t="shared" si="11"/>
        <v>5335</v>
      </c>
    </row>
    <row r="233" spans="1:4">
      <c r="A233" s="4">
        <f t="shared" si="9"/>
        <v>36969</v>
      </c>
      <c r="B233">
        <v>26</v>
      </c>
      <c r="C233">
        <f t="shared" si="10"/>
        <v>566</v>
      </c>
      <c r="D233">
        <f t="shared" si="11"/>
        <v>5361</v>
      </c>
    </row>
    <row r="234" spans="1:4">
      <c r="A234" s="4">
        <f t="shared" si="9"/>
        <v>36970</v>
      </c>
      <c r="B234">
        <v>26</v>
      </c>
      <c r="C234">
        <f t="shared" si="10"/>
        <v>592</v>
      </c>
      <c r="D234">
        <f t="shared" si="11"/>
        <v>5387</v>
      </c>
    </row>
    <row r="235" spans="1:4">
      <c r="A235" s="4">
        <f t="shared" si="9"/>
        <v>36971</v>
      </c>
      <c r="B235">
        <v>26</v>
      </c>
      <c r="C235">
        <f t="shared" si="10"/>
        <v>618</v>
      </c>
      <c r="D235">
        <f t="shared" si="11"/>
        <v>5413</v>
      </c>
    </row>
    <row r="236" spans="1:4">
      <c r="A236" s="4">
        <f t="shared" si="9"/>
        <v>36972</v>
      </c>
      <c r="B236">
        <v>25</v>
      </c>
      <c r="C236">
        <f t="shared" si="10"/>
        <v>643</v>
      </c>
      <c r="D236">
        <f t="shared" si="11"/>
        <v>5438</v>
      </c>
    </row>
    <row r="237" spans="1:4">
      <c r="A237" s="4">
        <f t="shared" si="9"/>
        <v>36973</v>
      </c>
      <c r="B237">
        <v>25</v>
      </c>
      <c r="C237">
        <f t="shared" si="10"/>
        <v>668</v>
      </c>
      <c r="D237">
        <f t="shared" si="11"/>
        <v>5463</v>
      </c>
    </row>
    <row r="238" spans="1:4">
      <c r="A238" s="4">
        <f t="shared" si="9"/>
        <v>36974</v>
      </c>
      <c r="B238">
        <v>24</v>
      </c>
      <c r="C238">
        <f t="shared" si="10"/>
        <v>692</v>
      </c>
      <c r="D238">
        <f t="shared" si="11"/>
        <v>5487</v>
      </c>
    </row>
    <row r="239" spans="1:4">
      <c r="A239" s="4">
        <f t="shared" si="9"/>
        <v>36975</v>
      </c>
      <c r="B239">
        <v>24</v>
      </c>
      <c r="C239">
        <f t="shared" si="10"/>
        <v>716</v>
      </c>
      <c r="D239">
        <f t="shared" si="11"/>
        <v>5511</v>
      </c>
    </row>
    <row r="240" spans="1:4">
      <c r="A240" s="4">
        <f t="shared" si="9"/>
        <v>36976</v>
      </c>
      <c r="B240">
        <v>24</v>
      </c>
      <c r="C240">
        <f t="shared" si="10"/>
        <v>740</v>
      </c>
      <c r="D240">
        <f t="shared" si="11"/>
        <v>5535</v>
      </c>
    </row>
    <row r="241" spans="1:4">
      <c r="A241" s="4">
        <f t="shared" si="9"/>
        <v>36977</v>
      </c>
      <c r="B241">
        <v>23</v>
      </c>
      <c r="C241">
        <f t="shared" si="10"/>
        <v>763</v>
      </c>
      <c r="D241">
        <f t="shared" si="11"/>
        <v>5558</v>
      </c>
    </row>
    <row r="242" spans="1:4">
      <c r="A242" s="4">
        <f t="shared" si="9"/>
        <v>36978</v>
      </c>
      <c r="B242">
        <v>23</v>
      </c>
      <c r="C242">
        <f t="shared" si="10"/>
        <v>786</v>
      </c>
      <c r="D242">
        <f t="shared" si="11"/>
        <v>5581</v>
      </c>
    </row>
    <row r="243" spans="1:4">
      <c r="A243" s="4">
        <f t="shared" si="9"/>
        <v>36979</v>
      </c>
      <c r="B243">
        <v>23</v>
      </c>
      <c r="C243">
        <f t="shared" si="10"/>
        <v>809</v>
      </c>
      <c r="D243">
        <f t="shared" si="11"/>
        <v>5604</v>
      </c>
    </row>
    <row r="244" spans="1:4">
      <c r="A244" s="4">
        <f t="shared" si="9"/>
        <v>36980</v>
      </c>
      <c r="B244">
        <v>22</v>
      </c>
      <c r="C244">
        <f t="shared" si="10"/>
        <v>831</v>
      </c>
      <c r="D244">
        <f t="shared" si="11"/>
        <v>5626</v>
      </c>
    </row>
    <row r="245" spans="1:4">
      <c r="A245" s="4">
        <f t="shared" si="9"/>
        <v>36981</v>
      </c>
      <c r="B245">
        <v>22</v>
      </c>
      <c r="C245">
        <f t="shared" si="10"/>
        <v>853</v>
      </c>
      <c r="D245">
        <f t="shared" si="11"/>
        <v>5648</v>
      </c>
    </row>
    <row r="246" spans="1:4">
      <c r="A246" s="4">
        <f t="shared" si="9"/>
        <v>36982</v>
      </c>
      <c r="B246">
        <v>22</v>
      </c>
      <c r="C246">
        <f t="shared" si="10"/>
        <v>22</v>
      </c>
      <c r="D246">
        <f t="shared" si="11"/>
        <v>5670</v>
      </c>
    </row>
    <row r="247" spans="1:4">
      <c r="A247" s="4">
        <f t="shared" si="9"/>
        <v>36983</v>
      </c>
      <c r="B247">
        <v>22</v>
      </c>
      <c r="C247">
        <f t="shared" si="10"/>
        <v>44</v>
      </c>
      <c r="D247">
        <f t="shared" si="11"/>
        <v>5692</v>
      </c>
    </row>
    <row r="248" spans="1:4">
      <c r="A248" s="4">
        <f t="shared" si="9"/>
        <v>36984</v>
      </c>
      <c r="B248">
        <v>22</v>
      </c>
      <c r="C248">
        <f t="shared" si="10"/>
        <v>66</v>
      </c>
      <c r="D248">
        <f t="shared" si="11"/>
        <v>5714</v>
      </c>
    </row>
    <row r="249" spans="1:4">
      <c r="A249" s="4">
        <f t="shared" si="9"/>
        <v>36985</v>
      </c>
      <c r="B249">
        <v>21</v>
      </c>
      <c r="C249">
        <f t="shared" si="10"/>
        <v>87</v>
      </c>
      <c r="D249">
        <f t="shared" si="11"/>
        <v>5735</v>
      </c>
    </row>
    <row r="250" spans="1:4">
      <c r="A250" s="4">
        <f t="shared" si="9"/>
        <v>36986</v>
      </c>
      <c r="B250">
        <v>21</v>
      </c>
      <c r="C250">
        <f t="shared" si="10"/>
        <v>108</v>
      </c>
      <c r="D250">
        <f t="shared" si="11"/>
        <v>5756</v>
      </c>
    </row>
    <row r="251" spans="1:4">
      <c r="A251" s="4">
        <f t="shared" si="9"/>
        <v>36987</v>
      </c>
      <c r="B251">
        <v>21</v>
      </c>
      <c r="C251">
        <f t="shared" si="10"/>
        <v>129</v>
      </c>
      <c r="D251">
        <f t="shared" si="11"/>
        <v>5777</v>
      </c>
    </row>
    <row r="252" spans="1:4">
      <c r="A252" s="4">
        <f t="shared" si="9"/>
        <v>36988</v>
      </c>
      <c r="B252">
        <v>20</v>
      </c>
      <c r="C252">
        <f t="shared" si="10"/>
        <v>149</v>
      </c>
      <c r="D252">
        <f t="shared" si="11"/>
        <v>5797</v>
      </c>
    </row>
    <row r="253" spans="1:4">
      <c r="A253" s="4">
        <f t="shared" si="9"/>
        <v>36989</v>
      </c>
      <c r="B253">
        <v>20</v>
      </c>
      <c r="C253">
        <f t="shared" si="10"/>
        <v>169</v>
      </c>
      <c r="D253">
        <f t="shared" si="11"/>
        <v>5817</v>
      </c>
    </row>
    <row r="254" spans="1:4">
      <c r="A254" s="4">
        <f t="shared" si="9"/>
        <v>36990</v>
      </c>
      <c r="B254">
        <v>20</v>
      </c>
      <c r="C254">
        <f t="shared" si="10"/>
        <v>189</v>
      </c>
      <c r="D254">
        <f t="shared" si="11"/>
        <v>5837</v>
      </c>
    </row>
    <row r="255" spans="1:4">
      <c r="A255" s="4">
        <f t="shared" si="9"/>
        <v>36991</v>
      </c>
      <c r="B255">
        <v>19</v>
      </c>
      <c r="C255">
        <f t="shared" si="10"/>
        <v>208</v>
      </c>
      <c r="D255">
        <f t="shared" si="11"/>
        <v>5856</v>
      </c>
    </row>
    <row r="256" spans="1:4">
      <c r="A256" s="4">
        <f t="shared" si="9"/>
        <v>36992</v>
      </c>
      <c r="B256">
        <v>19</v>
      </c>
      <c r="C256">
        <f t="shared" si="10"/>
        <v>227</v>
      </c>
      <c r="D256">
        <f t="shared" si="11"/>
        <v>5875</v>
      </c>
    </row>
    <row r="257" spans="1:4">
      <c r="A257" s="4">
        <f t="shared" si="9"/>
        <v>36993</v>
      </c>
      <c r="B257">
        <v>18</v>
      </c>
      <c r="C257">
        <f t="shared" si="10"/>
        <v>245</v>
      </c>
      <c r="D257">
        <f t="shared" si="11"/>
        <v>5893</v>
      </c>
    </row>
    <row r="258" spans="1:4">
      <c r="A258" s="4">
        <f t="shared" si="9"/>
        <v>36994</v>
      </c>
      <c r="B258">
        <v>17</v>
      </c>
      <c r="C258">
        <f t="shared" si="10"/>
        <v>262</v>
      </c>
      <c r="D258">
        <f t="shared" si="11"/>
        <v>5910</v>
      </c>
    </row>
    <row r="259" spans="1:4">
      <c r="A259" s="4">
        <f t="shared" si="9"/>
        <v>36995</v>
      </c>
      <c r="B259">
        <v>17</v>
      </c>
      <c r="C259">
        <f t="shared" si="10"/>
        <v>279</v>
      </c>
      <c r="D259">
        <f t="shared" si="11"/>
        <v>5927</v>
      </c>
    </row>
    <row r="260" spans="1:4">
      <c r="A260" s="4">
        <f t="shared" ref="A260:A323" si="12">A259+1</f>
        <v>36996</v>
      </c>
      <c r="B260">
        <v>17</v>
      </c>
      <c r="C260">
        <f t="shared" ref="C260:C323" si="13">IF(DAY(A260)=1,B260,C259+B260)</f>
        <v>296</v>
      </c>
      <c r="D260">
        <f t="shared" ref="D260:D323" si="14">B260+D259</f>
        <v>5944</v>
      </c>
    </row>
    <row r="261" spans="1:4">
      <c r="A261" s="4">
        <f t="shared" si="12"/>
        <v>36997</v>
      </c>
      <c r="B261">
        <v>16</v>
      </c>
      <c r="C261">
        <f t="shared" si="13"/>
        <v>312</v>
      </c>
      <c r="D261">
        <f t="shared" si="14"/>
        <v>5960</v>
      </c>
    </row>
    <row r="262" spans="1:4">
      <c r="A262" s="4">
        <f t="shared" si="12"/>
        <v>36998</v>
      </c>
      <c r="B262">
        <v>16</v>
      </c>
      <c r="C262">
        <f t="shared" si="13"/>
        <v>328</v>
      </c>
      <c r="D262">
        <f t="shared" si="14"/>
        <v>5976</v>
      </c>
    </row>
    <row r="263" spans="1:4">
      <c r="A263" s="4">
        <f t="shared" si="12"/>
        <v>36999</v>
      </c>
      <c r="B263">
        <v>16</v>
      </c>
      <c r="C263">
        <f t="shared" si="13"/>
        <v>344</v>
      </c>
      <c r="D263">
        <f t="shared" si="14"/>
        <v>5992</v>
      </c>
    </row>
    <row r="264" spans="1:4">
      <c r="A264" s="4">
        <f t="shared" si="12"/>
        <v>37000</v>
      </c>
      <c r="B264">
        <v>15</v>
      </c>
      <c r="C264">
        <f t="shared" si="13"/>
        <v>359</v>
      </c>
      <c r="D264">
        <f t="shared" si="14"/>
        <v>6007</v>
      </c>
    </row>
    <row r="265" spans="1:4">
      <c r="A265" s="4">
        <f t="shared" si="12"/>
        <v>37001</v>
      </c>
      <c r="B265">
        <v>15</v>
      </c>
      <c r="C265">
        <f t="shared" si="13"/>
        <v>374</v>
      </c>
      <c r="D265">
        <f t="shared" si="14"/>
        <v>6022</v>
      </c>
    </row>
    <row r="266" spans="1:4">
      <c r="A266" s="4">
        <f t="shared" si="12"/>
        <v>37002</v>
      </c>
      <c r="B266">
        <v>14</v>
      </c>
      <c r="C266">
        <f t="shared" si="13"/>
        <v>388</v>
      </c>
      <c r="D266">
        <f t="shared" si="14"/>
        <v>6036</v>
      </c>
    </row>
    <row r="267" spans="1:4">
      <c r="A267" s="4">
        <f t="shared" si="12"/>
        <v>37003</v>
      </c>
      <c r="B267">
        <v>14</v>
      </c>
      <c r="C267">
        <f t="shared" si="13"/>
        <v>402</v>
      </c>
      <c r="D267">
        <f t="shared" si="14"/>
        <v>6050</v>
      </c>
    </row>
    <row r="268" spans="1:4">
      <c r="A268" s="4">
        <f t="shared" si="12"/>
        <v>37004</v>
      </c>
      <c r="B268">
        <v>14</v>
      </c>
      <c r="C268">
        <f t="shared" si="13"/>
        <v>416</v>
      </c>
      <c r="D268">
        <f t="shared" si="14"/>
        <v>6064</v>
      </c>
    </row>
    <row r="269" spans="1:4">
      <c r="A269" s="4">
        <f t="shared" si="12"/>
        <v>37005</v>
      </c>
      <c r="B269">
        <v>13</v>
      </c>
      <c r="C269">
        <f t="shared" si="13"/>
        <v>429</v>
      </c>
      <c r="D269">
        <f t="shared" si="14"/>
        <v>6077</v>
      </c>
    </row>
    <row r="270" spans="1:4">
      <c r="A270" s="4">
        <f t="shared" si="12"/>
        <v>37006</v>
      </c>
      <c r="B270">
        <v>13</v>
      </c>
      <c r="C270">
        <f t="shared" si="13"/>
        <v>442</v>
      </c>
      <c r="D270">
        <f t="shared" si="14"/>
        <v>6090</v>
      </c>
    </row>
    <row r="271" spans="1:4">
      <c r="A271" s="4">
        <f t="shared" si="12"/>
        <v>37007</v>
      </c>
      <c r="B271">
        <v>13</v>
      </c>
      <c r="C271">
        <f t="shared" si="13"/>
        <v>455</v>
      </c>
      <c r="D271">
        <f t="shared" si="14"/>
        <v>6103</v>
      </c>
    </row>
    <row r="272" spans="1:4">
      <c r="A272" s="4">
        <f t="shared" si="12"/>
        <v>37008</v>
      </c>
      <c r="B272">
        <v>12</v>
      </c>
      <c r="C272">
        <f t="shared" si="13"/>
        <v>467</v>
      </c>
      <c r="D272">
        <f t="shared" si="14"/>
        <v>6115</v>
      </c>
    </row>
    <row r="273" spans="1:4">
      <c r="A273" s="4">
        <f t="shared" si="12"/>
        <v>37009</v>
      </c>
      <c r="B273">
        <v>12</v>
      </c>
      <c r="C273">
        <f t="shared" si="13"/>
        <v>479</v>
      </c>
      <c r="D273">
        <f t="shared" si="14"/>
        <v>6127</v>
      </c>
    </row>
    <row r="274" spans="1:4">
      <c r="A274" s="4">
        <f t="shared" si="12"/>
        <v>37010</v>
      </c>
      <c r="B274">
        <v>12</v>
      </c>
      <c r="C274">
        <f t="shared" si="13"/>
        <v>491</v>
      </c>
      <c r="D274">
        <f t="shared" si="14"/>
        <v>6139</v>
      </c>
    </row>
    <row r="275" spans="1:4">
      <c r="A275" s="4">
        <f t="shared" si="12"/>
        <v>37011</v>
      </c>
      <c r="B275">
        <v>12</v>
      </c>
      <c r="C275">
        <f t="shared" si="13"/>
        <v>503</v>
      </c>
      <c r="D275">
        <f t="shared" si="14"/>
        <v>6151</v>
      </c>
    </row>
    <row r="276" spans="1:4">
      <c r="A276" s="4">
        <f t="shared" si="12"/>
        <v>37012</v>
      </c>
      <c r="B276">
        <v>11</v>
      </c>
      <c r="C276">
        <f t="shared" si="13"/>
        <v>11</v>
      </c>
      <c r="D276">
        <f t="shared" si="14"/>
        <v>6162</v>
      </c>
    </row>
    <row r="277" spans="1:4">
      <c r="A277" s="4">
        <f t="shared" si="12"/>
        <v>37013</v>
      </c>
      <c r="B277">
        <v>11</v>
      </c>
      <c r="C277">
        <f t="shared" si="13"/>
        <v>22</v>
      </c>
      <c r="D277">
        <f t="shared" si="14"/>
        <v>6173</v>
      </c>
    </row>
    <row r="278" spans="1:4">
      <c r="A278" s="4">
        <f t="shared" si="12"/>
        <v>37014</v>
      </c>
      <c r="B278">
        <v>11</v>
      </c>
      <c r="C278">
        <f t="shared" si="13"/>
        <v>33</v>
      </c>
      <c r="D278">
        <f t="shared" si="14"/>
        <v>6184</v>
      </c>
    </row>
    <row r="279" spans="1:4">
      <c r="A279" s="4">
        <f t="shared" si="12"/>
        <v>37015</v>
      </c>
      <c r="B279">
        <v>11</v>
      </c>
      <c r="C279">
        <f t="shared" si="13"/>
        <v>44</v>
      </c>
      <c r="D279">
        <f t="shared" si="14"/>
        <v>6195</v>
      </c>
    </row>
    <row r="280" spans="1:4">
      <c r="A280" s="4">
        <f t="shared" si="12"/>
        <v>37016</v>
      </c>
      <c r="B280">
        <v>10</v>
      </c>
      <c r="C280">
        <f t="shared" si="13"/>
        <v>54</v>
      </c>
      <c r="D280">
        <f t="shared" si="14"/>
        <v>6205</v>
      </c>
    </row>
    <row r="281" spans="1:4">
      <c r="A281" s="4">
        <f t="shared" si="12"/>
        <v>37017</v>
      </c>
      <c r="B281">
        <v>10</v>
      </c>
      <c r="C281">
        <f t="shared" si="13"/>
        <v>64</v>
      </c>
      <c r="D281">
        <f t="shared" si="14"/>
        <v>6215</v>
      </c>
    </row>
    <row r="282" spans="1:4">
      <c r="A282" s="4">
        <f t="shared" si="12"/>
        <v>37018</v>
      </c>
      <c r="B282">
        <v>9</v>
      </c>
      <c r="C282">
        <f t="shared" si="13"/>
        <v>73</v>
      </c>
      <c r="D282">
        <f t="shared" si="14"/>
        <v>6224</v>
      </c>
    </row>
    <row r="283" spans="1:4">
      <c r="A283" s="4">
        <f t="shared" si="12"/>
        <v>37019</v>
      </c>
      <c r="B283">
        <v>9</v>
      </c>
      <c r="C283">
        <f t="shared" si="13"/>
        <v>82</v>
      </c>
      <c r="D283">
        <f t="shared" si="14"/>
        <v>6233</v>
      </c>
    </row>
    <row r="284" spans="1:4">
      <c r="A284" s="4">
        <f t="shared" si="12"/>
        <v>37020</v>
      </c>
      <c r="B284">
        <v>9</v>
      </c>
      <c r="C284">
        <f t="shared" si="13"/>
        <v>91</v>
      </c>
      <c r="D284">
        <f t="shared" si="14"/>
        <v>6242</v>
      </c>
    </row>
    <row r="285" spans="1:4">
      <c r="A285" s="4">
        <f t="shared" si="12"/>
        <v>37021</v>
      </c>
      <c r="B285">
        <v>8</v>
      </c>
      <c r="C285">
        <f t="shared" si="13"/>
        <v>99</v>
      </c>
      <c r="D285">
        <f t="shared" si="14"/>
        <v>6250</v>
      </c>
    </row>
    <row r="286" spans="1:4">
      <c r="A286" s="4">
        <f t="shared" si="12"/>
        <v>37022</v>
      </c>
      <c r="B286">
        <v>8</v>
      </c>
      <c r="C286">
        <f t="shared" si="13"/>
        <v>107</v>
      </c>
      <c r="D286">
        <f t="shared" si="14"/>
        <v>6258</v>
      </c>
    </row>
    <row r="287" spans="1:4">
      <c r="A287" s="4">
        <f t="shared" si="12"/>
        <v>37023</v>
      </c>
      <c r="B287">
        <v>8</v>
      </c>
      <c r="C287">
        <f t="shared" si="13"/>
        <v>115</v>
      </c>
      <c r="D287">
        <f t="shared" si="14"/>
        <v>6266</v>
      </c>
    </row>
    <row r="288" spans="1:4">
      <c r="A288" s="4">
        <f t="shared" si="12"/>
        <v>37024</v>
      </c>
      <c r="B288">
        <v>7</v>
      </c>
      <c r="C288">
        <f t="shared" si="13"/>
        <v>122</v>
      </c>
      <c r="D288">
        <f t="shared" si="14"/>
        <v>6273</v>
      </c>
    </row>
    <row r="289" spans="1:4">
      <c r="A289" s="4">
        <f t="shared" si="12"/>
        <v>37025</v>
      </c>
      <c r="B289">
        <v>7</v>
      </c>
      <c r="C289">
        <f t="shared" si="13"/>
        <v>129</v>
      </c>
      <c r="D289">
        <f t="shared" si="14"/>
        <v>6280</v>
      </c>
    </row>
    <row r="290" spans="1:4">
      <c r="A290" s="4">
        <f t="shared" si="12"/>
        <v>37026</v>
      </c>
      <c r="B290">
        <v>7</v>
      </c>
      <c r="C290">
        <f t="shared" si="13"/>
        <v>136</v>
      </c>
      <c r="D290">
        <f t="shared" si="14"/>
        <v>6287</v>
      </c>
    </row>
    <row r="291" spans="1:4">
      <c r="A291" s="4">
        <f t="shared" si="12"/>
        <v>37027</v>
      </c>
      <c r="B291">
        <v>7</v>
      </c>
      <c r="C291">
        <f t="shared" si="13"/>
        <v>143</v>
      </c>
      <c r="D291">
        <f t="shared" si="14"/>
        <v>6294</v>
      </c>
    </row>
    <row r="292" spans="1:4">
      <c r="A292" s="4">
        <f t="shared" si="12"/>
        <v>37028</v>
      </c>
      <c r="B292">
        <v>7</v>
      </c>
      <c r="C292">
        <f t="shared" si="13"/>
        <v>150</v>
      </c>
      <c r="D292">
        <f t="shared" si="14"/>
        <v>6301</v>
      </c>
    </row>
    <row r="293" spans="1:4">
      <c r="A293" s="4">
        <f t="shared" si="12"/>
        <v>37029</v>
      </c>
      <c r="B293">
        <v>7</v>
      </c>
      <c r="C293">
        <f t="shared" si="13"/>
        <v>157</v>
      </c>
      <c r="D293">
        <f t="shared" si="14"/>
        <v>6308</v>
      </c>
    </row>
    <row r="294" spans="1:4">
      <c r="A294" s="4">
        <f t="shared" si="12"/>
        <v>37030</v>
      </c>
      <c r="B294">
        <v>7</v>
      </c>
      <c r="C294">
        <f t="shared" si="13"/>
        <v>164</v>
      </c>
      <c r="D294">
        <f t="shared" si="14"/>
        <v>6315</v>
      </c>
    </row>
    <row r="295" spans="1:4">
      <c r="A295" s="4">
        <f t="shared" si="12"/>
        <v>37031</v>
      </c>
      <c r="B295">
        <v>7</v>
      </c>
      <c r="C295">
        <f t="shared" si="13"/>
        <v>171</v>
      </c>
      <c r="D295">
        <f t="shared" si="14"/>
        <v>6322</v>
      </c>
    </row>
    <row r="296" spans="1:4">
      <c r="A296" s="4">
        <f t="shared" si="12"/>
        <v>37032</v>
      </c>
      <c r="B296">
        <v>6</v>
      </c>
      <c r="C296">
        <f t="shared" si="13"/>
        <v>177</v>
      </c>
      <c r="D296">
        <f t="shared" si="14"/>
        <v>6328</v>
      </c>
    </row>
    <row r="297" spans="1:4">
      <c r="A297" s="4">
        <f t="shared" si="12"/>
        <v>37033</v>
      </c>
      <c r="B297">
        <v>6</v>
      </c>
      <c r="C297">
        <f t="shared" si="13"/>
        <v>183</v>
      </c>
      <c r="D297">
        <f t="shared" si="14"/>
        <v>6334</v>
      </c>
    </row>
    <row r="298" spans="1:4">
      <c r="A298" s="4">
        <f t="shared" si="12"/>
        <v>37034</v>
      </c>
      <c r="B298">
        <v>6</v>
      </c>
      <c r="C298">
        <f t="shared" si="13"/>
        <v>189</v>
      </c>
      <c r="D298">
        <f t="shared" si="14"/>
        <v>6340</v>
      </c>
    </row>
    <row r="299" spans="1:4">
      <c r="A299" s="4">
        <f t="shared" si="12"/>
        <v>37035</v>
      </c>
      <c r="B299">
        <v>5</v>
      </c>
      <c r="C299">
        <f t="shared" si="13"/>
        <v>194</v>
      </c>
      <c r="D299">
        <f t="shared" si="14"/>
        <v>6345</v>
      </c>
    </row>
    <row r="300" spans="1:4">
      <c r="A300" s="4">
        <f t="shared" si="12"/>
        <v>37036</v>
      </c>
      <c r="B300">
        <v>5</v>
      </c>
      <c r="C300">
        <f t="shared" si="13"/>
        <v>199</v>
      </c>
      <c r="D300">
        <f t="shared" si="14"/>
        <v>6350</v>
      </c>
    </row>
    <row r="301" spans="1:4">
      <c r="A301" s="4">
        <f t="shared" si="12"/>
        <v>37037</v>
      </c>
      <c r="B301">
        <v>5</v>
      </c>
      <c r="C301">
        <f t="shared" si="13"/>
        <v>204</v>
      </c>
      <c r="D301">
        <f t="shared" si="14"/>
        <v>6355</v>
      </c>
    </row>
    <row r="302" spans="1:4">
      <c r="A302" s="4">
        <f t="shared" si="12"/>
        <v>37038</v>
      </c>
      <c r="B302">
        <v>5</v>
      </c>
      <c r="C302">
        <f t="shared" si="13"/>
        <v>209</v>
      </c>
      <c r="D302">
        <f t="shared" si="14"/>
        <v>6360</v>
      </c>
    </row>
    <row r="303" spans="1:4">
      <c r="A303" s="4">
        <f t="shared" si="12"/>
        <v>37039</v>
      </c>
      <c r="B303">
        <v>4</v>
      </c>
      <c r="C303">
        <f t="shared" si="13"/>
        <v>213</v>
      </c>
      <c r="D303">
        <f t="shared" si="14"/>
        <v>6364</v>
      </c>
    </row>
    <row r="304" spans="1:4">
      <c r="A304" s="4">
        <f t="shared" si="12"/>
        <v>37040</v>
      </c>
      <c r="B304">
        <v>4</v>
      </c>
      <c r="C304">
        <f t="shared" si="13"/>
        <v>217</v>
      </c>
      <c r="D304">
        <f t="shared" si="14"/>
        <v>6368</v>
      </c>
    </row>
    <row r="305" spans="1:4">
      <c r="A305" s="4">
        <f t="shared" si="12"/>
        <v>37041</v>
      </c>
      <c r="B305">
        <v>4</v>
      </c>
      <c r="C305">
        <f t="shared" si="13"/>
        <v>221</v>
      </c>
      <c r="D305">
        <f t="shared" si="14"/>
        <v>6372</v>
      </c>
    </row>
    <row r="306" spans="1:4">
      <c r="A306" s="4">
        <f t="shared" si="12"/>
        <v>37042</v>
      </c>
      <c r="B306">
        <v>4</v>
      </c>
      <c r="C306">
        <f t="shared" si="13"/>
        <v>225</v>
      </c>
      <c r="D306">
        <f t="shared" si="14"/>
        <v>6376</v>
      </c>
    </row>
    <row r="307" spans="1:4">
      <c r="A307" s="4">
        <f t="shared" si="12"/>
        <v>37043</v>
      </c>
      <c r="B307">
        <v>4</v>
      </c>
      <c r="C307">
        <f t="shared" si="13"/>
        <v>4</v>
      </c>
      <c r="D307">
        <f t="shared" si="14"/>
        <v>6380</v>
      </c>
    </row>
    <row r="308" spans="1:4">
      <c r="A308" s="4">
        <f t="shared" si="12"/>
        <v>37044</v>
      </c>
      <c r="B308">
        <v>4</v>
      </c>
      <c r="C308">
        <f t="shared" si="13"/>
        <v>8</v>
      </c>
      <c r="D308">
        <f t="shared" si="14"/>
        <v>6384</v>
      </c>
    </row>
    <row r="309" spans="1:4">
      <c r="A309" s="4">
        <f t="shared" si="12"/>
        <v>37045</v>
      </c>
      <c r="B309">
        <v>4</v>
      </c>
      <c r="C309">
        <f t="shared" si="13"/>
        <v>12</v>
      </c>
      <c r="D309">
        <f t="shared" si="14"/>
        <v>6388</v>
      </c>
    </row>
    <row r="310" spans="1:4">
      <c r="A310" s="4">
        <f t="shared" si="12"/>
        <v>37046</v>
      </c>
      <c r="B310">
        <v>3</v>
      </c>
      <c r="C310">
        <f t="shared" si="13"/>
        <v>15</v>
      </c>
      <c r="D310">
        <f t="shared" si="14"/>
        <v>6391</v>
      </c>
    </row>
    <row r="311" spans="1:4">
      <c r="A311" s="4">
        <f t="shared" si="12"/>
        <v>37047</v>
      </c>
      <c r="B311">
        <v>3</v>
      </c>
      <c r="C311">
        <f t="shared" si="13"/>
        <v>18</v>
      </c>
      <c r="D311">
        <f t="shared" si="14"/>
        <v>6394</v>
      </c>
    </row>
    <row r="312" spans="1:4">
      <c r="A312" s="4">
        <f t="shared" si="12"/>
        <v>37048</v>
      </c>
      <c r="B312">
        <v>3</v>
      </c>
      <c r="C312">
        <f t="shared" si="13"/>
        <v>21</v>
      </c>
      <c r="D312">
        <f t="shared" si="14"/>
        <v>6397</v>
      </c>
    </row>
    <row r="313" spans="1:4">
      <c r="A313" s="4">
        <f t="shared" si="12"/>
        <v>37049</v>
      </c>
      <c r="B313">
        <v>3</v>
      </c>
      <c r="C313">
        <f t="shared" si="13"/>
        <v>24</v>
      </c>
      <c r="D313">
        <f t="shared" si="14"/>
        <v>6400</v>
      </c>
    </row>
    <row r="314" spans="1:4">
      <c r="A314" s="4">
        <f t="shared" si="12"/>
        <v>37050</v>
      </c>
      <c r="B314">
        <v>3</v>
      </c>
      <c r="C314">
        <f t="shared" si="13"/>
        <v>27</v>
      </c>
      <c r="D314">
        <f t="shared" si="14"/>
        <v>6403</v>
      </c>
    </row>
    <row r="315" spans="1:4">
      <c r="A315" s="4">
        <f t="shared" si="12"/>
        <v>37051</v>
      </c>
      <c r="B315">
        <v>3</v>
      </c>
      <c r="C315">
        <f t="shared" si="13"/>
        <v>30</v>
      </c>
      <c r="D315">
        <f t="shared" si="14"/>
        <v>6406</v>
      </c>
    </row>
    <row r="316" spans="1:4">
      <c r="A316" s="4">
        <f t="shared" si="12"/>
        <v>37052</v>
      </c>
      <c r="B316">
        <v>3</v>
      </c>
      <c r="C316">
        <f t="shared" si="13"/>
        <v>33</v>
      </c>
      <c r="D316">
        <f t="shared" si="14"/>
        <v>6409</v>
      </c>
    </row>
    <row r="317" spans="1:4">
      <c r="A317" s="4">
        <f t="shared" si="12"/>
        <v>37053</v>
      </c>
      <c r="B317">
        <v>3</v>
      </c>
      <c r="C317">
        <f t="shared" si="13"/>
        <v>36</v>
      </c>
      <c r="D317">
        <f t="shared" si="14"/>
        <v>6412</v>
      </c>
    </row>
    <row r="318" spans="1:4">
      <c r="A318" s="4">
        <f t="shared" si="12"/>
        <v>37054</v>
      </c>
      <c r="B318">
        <v>2</v>
      </c>
      <c r="C318">
        <f t="shared" si="13"/>
        <v>38</v>
      </c>
      <c r="D318">
        <f t="shared" si="14"/>
        <v>6414</v>
      </c>
    </row>
    <row r="319" spans="1:4">
      <c r="A319" s="4">
        <f t="shared" si="12"/>
        <v>37055</v>
      </c>
      <c r="B319">
        <v>2</v>
      </c>
      <c r="C319">
        <f t="shared" si="13"/>
        <v>40</v>
      </c>
      <c r="D319">
        <f t="shared" si="14"/>
        <v>6416</v>
      </c>
    </row>
    <row r="320" spans="1:4">
      <c r="A320" s="4">
        <f t="shared" si="12"/>
        <v>37056</v>
      </c>
      <c r="B320">
        <v>1</v>
      </c>
      <c r="C320">
        <f t="shared" si="13"/>
        <v>41</v>
      </c>
      <c r="D320">
        <f t="shared" si="14"/>
        <v>6417</v>
      </c>
    </row>
    <row r="321" spans="1:4">
      <c r="A321" s="4">
        <f t="shared" si="12"/>
        <v>37057</v>
      </c>
      <c r="B321">
        <v>1</v>
      </c>
      <c r="C321">
        <f t="shared" si="13"/>
        <v>42</v>
      </c>
      <c r="D321">
        <f t="shared" si="14"/>
        <v>6418</v>
      </c>
    </row>
    <row r="322" spans="1:4">
      <c r="A322" s="4">
        <f t="shared" si="12"/>
        <v>37058</v>
      </c>
      <c r="B322">
        <v>1</v>
      </c>
      <c r="C322">
        <f t="shared" si="13"/>
        <v>43</v>
      </c>
      <c r="D322">
        <f t="shared" si="14"/>
        <v>6419</v>
      </c>
    </row>
    <row r="323" spans="1:4">
      <c r="A323" s="4">
        <f t="shared" si="12"/>
        <v>37059</v>
      </c>
      <c r="B323">
        <v>1</v>
      </c>
      <c r="C323">
        <f t="shared" si="13"/>
        <v>44</v>
      </c>
      <c r="D323">
        <f t="shared" si="14"/>
        <v>6420</v>
      </c>
    </row>
    <row r="324" spans="1:4">
      <c r="A324" s="4">
        <f t="shared" ref="A324:A374" si="15">A323+1</f>
        <v>37060</v>
      </c>
      <c r="B324">
        <v>1</v>
      </c>
      <c r="C324">
        <f t="shared" ref="C324:C368" si="16">IF(DAY(A324)=1,B324,C323+B324)</f>
        <v>45</v>
      </c>
      <c r="D324">
        <f t="shared" ref="D324:D368" si="17">B324+D323</f>
        <v>6421</v>
      </c>
    </row>
    <row r="325" spans="1:4">
      <c r="A325" s="4">
        <f t="shared" si="15"/>
        <v>37061</v>
      </c>
      <c r="B325">
        <v>1</v>
      </c>
      <c r="C325">
        <f t="shared" si="16"/>
        <v>46</v>
      </c>
      <c r="D325">
        <f t="shared" si="17"/>
        <v>6422</v>
      </c>
    </row>
    <row r="326" spans="1:4">
      <c r="A326" s="4">
        <f t="shared" si="15"/>
        <v>37062</v>
      </c>
      <c r="B326">
        <v>0</v>
      </c>
      <c r="C326">
        <f t="shared" si="16"/>
        <v>46</v>
      </c>
      <c r="D326">
        <f t="shared" si="17"/>
        <v>6422</v>
      </c>
    </row>
    <row r="327" spans="1:4">
      <c r="A327" s="4">
        <f t="shared" si="15"/>
        <v>37063</v>
      </c>
      <c r="B327">
        <v>0</v>
      </c>
      <c r="C327">
        <f t="shared" si="16"/>
        <v>46</v>
      </c>
      <c r="D327">
        <f t="shared" si="17"/>
        <v>6422</v>
      </c>
    </row>
    <row r="328" spans="1:4">
      <c r="A328" s="4">
        <f t="shared" si="15"/>
        <v>37064</v>
      </c>
      <c r="B328">
        <v>0</v>
      </c>
      <c r="C328">
        <f t="shared" si="16"/>
        <v>46</v>
      </c>
      <c r="D328">
        <f t="shared" si="17"/>
        <v>6422</v>
      </c>
    </row>
    <row r="329" spans="1:4">
      <c r="A329" s="4">
        <f t="shared" si="15"/>
        <v>37065</v>
      </c>
      <c r="B329">
        <v>0</v>
      </c>
      <c r="C329">
        <f t="shared" si="16"/>
        <v>46</v>
      </c>
      <c r="D329">
        <f t="shared" si="17"/>
        <v>6422</v>
      </c>
    </row>
    <row r="330" spans="1:4">
      <c r="A330" s="4">
        <f t="shared" si="15"/>
        <v>37066</v>
      </c>
      <c r="B330">
        <v>0</v>
      </c>
      <c r="C330">
        <f t="shared" si="16"/>
        <v>46</v>
      </c>
      <c r="D330">
        <f t="shared" si="17"/>
        <v>6422</v>
      </c>
    </row>
    <row r="331" spans="1:4">
      <c r="A331" s="4">
        <f t="shared" si="15"/>
        <v>37067</v>
      </c>
      <c r="B331">
        <v>0</v>
      </c>
      <c r="C331">
        <f t="shared" si="16"/>
        <v>46</v>
      </c>
      <c r="D331">
        <f t="shared" si="17"/>
        <v>6422</v>
      </c>
    </row>
    <row r="332" spans="1:4">
      <c r="A332" s="4">
        <f t="shared" si="15"/>
        <v>37068</v>
      </c>
      <c r="B332">
        <v>0</v>
      </c>
      <c r="C332">
        <f t="shared" si="16"/>
        <v>46</v>
      </c>
      <c r="D332">
        <f t="shared" si="17"/>
        <v>6422</v>
      </c>
    </row>
    <row r="333" spans="1:4">
      <c r="A333" s="4">
        <f t="shared" si="15"/>
        <v>37069</v>
      </c>
      <c r="B333">
        <v>0</v>
      </c>
      <c r="C333">
        <f t="shared" si="16"/>
        <v>46</v>
      </c>
      <c r="D333">
        <f t="shared" si="17"/>
        <v>6422</v>
      </c>
    </row>
    <row r="334" spans="1:4">
      <c r="A334" s="4">
        <f t="shared" si="15"/>
        <v>37070</v>
      </c>
      <c r="B334">
        <v>0</v>
      </c>
      <c r="C334">
        <f t="shared" si="16"/>
        <v>46</v>
      </c>
      <c r="D334">
        <f t="shared" si="17"/>
        <v>6422</v>
      </c>
    </row>
    <row r="335" spans="1:4">
      <c r="A335" s="4">
        <f t="shared" si="15"/>
        <v>37071</v>
      </c>
      <c r="B335">
        <v>0</v>
      </c>
      <c r="C335">
        <f t="shared" si="16"/>
        <v>46</v>
      </c>
      <c r="D335">
        <f t="shared" si="17"/>
        <v>6422</v>
      </c>
    </row>
    <row r="336" spans="1:4">
      <c r="A336" s="4">
        <f t="shared" si="15"/>
        <v>37072</v>
      </c>
      <c r="B336">
        <v>0</v>
      </c>
      <c r="C336">
        <f t="shared" si="16"/>
        <v>46</v>
      </c>
      <c r="D336">
        <f t="shared" si="17"/>
        <v>6422</v>
      </c>
    </row>
    <row r="337" spans="1:4">
      <c r="A337" s="4">
        <f t="shared" si="15"/>
        <v>37073</v>
      </c>
      <c r="B337">
        <v>0</v>
      </c>
      <c r="C337">
        <f t="shared" si="16"/>
        <v>0</v>
      </c>
      <c r="D337">
        <f t="shared" si="17"/>
        <v>6422</v>
      </c>
    </row>
    <row r="338" spans="1:4">
      <c r="A338" s="4">
        <f t="shared" si="15"/>
        <v>37074</v>
      </c>
      <c r="B338">
        <v>0</v>
      </c>
      <c r="C338">
        <f t="shared" si="16"/>
        <v>0</v>
      </c>
      <c r="D338">
        <f t="shared" si="17"/>
        <v>6422</v>
      </c>
    </row>
    <row r="339" spans="1:4">
      <c r="A339" s="4">
        <f t="shared" si="15"/>
        <v>37075</v>
      </c>
      <c r="B339">
        <v>0</v>
      </c>
      <c r="C339">
        <f t="shared" si="16"/>
        <v>0</v>
      </c>
      <c r="D339">
        <f t="shared" si="17"/>
        <v>6422</v>
      </c>
    </row>
    <row r="340" spans="1:4">
      <c r="A340" s="4">
        <f t="shared" si="15"/>
        <v>37076</v>
      </c>
      <c r="B340">
        <v>0</v>
      </c>
      <c r="C340">
        <f t="shared" si="16"/>
        <v>0</v>
      </c>
      <c r="D340">
        <f t="shared" si="17"/>
        <v>6422</v>
      </c>
    </row>
    <row r="341" spans="1:4">
      <c r="A341" s="4">
        <f t="shared" si="15"/>
        <v>37077</v>
      </c>
      <c r="B341">
        <v>0</v>
      </c>
      <c r="C341">
        <f t="shared" si="16"/>
        <v>0</v>
      </c>
      <c r="D341">
        <f t="shared" si="17"/>
        <v>6422</v>
      </c>
    </row>
    <row r="342" spans="1:4">
      <c r="A342" s="4">
        <f t="shared" si="15"/>
        <v>37078</v>
      </c>
      <c r="B342">
        <v>0</v>
      </c>
      <c r="C342">
        <f t="shared" si="16"/>
        <v>0</v>
      </c>
      <c r="D342">
        <f t="shared" si="17"/>
        <v>6422</v>
      </c>
    </row>
    <row r="343" spans="1:4">
      <c r="A343" s="4">
        <f t="shared" si="15"/>
        <v>37079</v>
      </c>
      <c r="B343">
        <v>0</v>
      </c>
      <c r="C343">
        <f t="shared" si="16"/>
        <v>0</v>
      </c>
      <c r="D343">
        <f t="shared" si="17"/>
        <v>6422</v>
      </c>
    </row>
    <row r="344" spans="1:4">
      <c r="A344" s="4">
        <f t="shared" si="15"/>
        <v>37080</v>
      </c>
      <c r="B344">
        <v>0</v>
      </c>
      <c r="C344">
        <f t="shared" si="16"/>
        <v>0</v>
      </c>
      <c r="D344">
        <f t="shared" si="17"/>
        <v>6422</v>
      </c>
    </row>
    <row r="345" spans="1:4">
      <c r="A345" s="4">
        <f t="shared" si="15"/>
        <v>37081</v>
      </c>
      <c r="B345">
        <v>0</v>
      </c>
      <c r="C345">
        <f t="shared" si="16"/>
        <v>0</v>
      </c>
      <c r="D345">
        <f t="shared" si="17"/>
        <v>6422</v>
      </c>
    </row>
    <row r="346" spans="1:4">
      <c r="A346" s="4">
        <f t="shared" si="15"/>
        <v>37082</v>
      </c>
      <c r="B346">
        <v>0</v>
      </c>
      <c r="C346">
        <f t="shared" si="16"/>
        <v>0</v>
      </c>
      <c r="D346">
        <f t="shared" si="17"/>
        <v>6422</v>
      </c>
    </row>
    <row r="347" spans="1:4">
      <c r="A347" s="4">
        <f t="shared" si="15"/>
        <v>37083</v>
      </c>
      <c r="B347">
        <v>0</v>
      </c>
      <c r="C347">
        <f t="shared" si="16"/>
        <v>0</v>
      </c>
      <c r="D347">
        <f t="shared" si="17"/>
        <v>6422</v>
      </c>
    </row>
    <row r="348" spans="1:4">
      <c r="A348" s="4">
        <f t="shared" si="15"/>
        <v>37084</v>
      </c>
      <c r="B348">
        <v>0</v>
      </c>
      <c r="C348">
        <f t="shared" si="16"/>
        <v>0</v>
      </c>
      <c r="D348">
        <f t="shared" si="17"/>
        <v>6422</v>
      </c>
    </row>
    <row r="349" spans="1:4">
      <c r="A349" s="4">
        <f t="shared" si="15"/>
        <v>37085</v>
      </c>
      <c r="B349">
        <v>0</v>
      </c>
      <c r="C349">
        <f t="shared" si="16"/>
        <v>0</v>
      </c>
      <c r="D349">
        <f t="shared" si="17"/>
        <v>6422</v>
      </c>
    </row>
    <row r="350" spans="1:4">
      <c r="A350" s="4">
        <f t="shared" si="15"/>
        <v>37086</v>
      </c>
      <c r="B350">
        <v>0</v>
      </c>
      <c r="C350">
        <f t="shared" si="16"/>
        <v>0</v>
      </c>
      <c r="D350">
        <f t="shared" si="17"/>
        <v>6422</v>
      </c>
    </row>
    <row r="351" spans="1:4">
      <c r="A351" s="4">
        <f t="shared" si="15"/>
        <v>37087</v>
      </c>
      <c r="B351">
        <v>0</v>
      </c>
      <c r="C351">
        <f t="shared" si="16"/>
        <v>0</v>
      </c>
      <c r="D351">
        <f t="shared" si="17"/>
        <v>6422</v>
      </c>
    </row>
    <row r="352" spans="1:4">
      <c r="A352" s="4">
        <f t="shared" si="15"/>
        <v>37088</v>
      </c>
      <c r="B352">
        <v>0</v>
      </c>
      <c r="C352">
        <f t="shared" si="16"/>
        <v>0</v>
      </c>
      <c r="D352">
        <f t="shared" si="17"/>
        <v>6422</v>
      </c>
    </row>
    <row r="353" spans="1:4">
      <c r="A353" s="4">
        <f t="shared" si="15"/>
        <v>37089</v>
      </c>
      <c r="B353">
        <v>0</v>
      </c>
      <c r="C353">
        <f t="shared" si="16"/>
        <v>0</v>
      </c>
      <c r="D353">
        <f t="shared" si="17"/>
        <v>6422</v>
      </c>
    </row>
    <row r="354" spans="1:4">
      <c r="A354" s="4">
        <f t="shared" si="15"/>
        <v>37090</v>
      </c>
      <c r="B354">
        <v>0</v>
      </c>
      <c r="C354">
        <f t="shared" si="16"/>
        <v>0</v>
      </c>
      <c r="D354">
        <f t="shared" si="17"/>
        <v>6422</v>
      </c>
    </row>
    <row r="355" spans="1:4">
      <c r="A355" s="4">
        <f t="shared" si="15"/>
        <v>37091</v>
      </c>
      <c r="B355">
        <v>0</v>
      </c>
      <c r="C355">
        <f t="shared" si="16"/>
        <v>0</v>
      </c>
      <c r="D355">
        <f t="shared" si="17"/>
        <v>6422</v>
      </c>
    </row>
    <row r="356" spans="1:4">
      <c r="A356" s="4">
        <f t="shared" si="15"/>
        <v>37092</v>
      </c>
      <c r="B356">
        <v>0</v>
      </c>
      <c r="C356">
        <f t="shared" si="16"/>
        <v>0</v>
      </c>
      <c r="D356">
        <f t="shared" si="17"/>
        <v>6422</v>
      </c>
    </row>
    <row r="357" spans="1:4">
      <c r="A357" s="4">
        <f t="shared" si="15"/>
        <v>37093</v>
      </c>
      <c r="B357">
        <v>0</v>
      </c>
      <c r="C357">
        <f t="shared" si="16"/>
        <v>0</v>
      </c>
      <c r="D357">
        <f t="shared" si="17"/>
        <v>6422</v>
      </c>
    </row>
    <row r="358" spans="1:4">
      <c r="A358" s="4">
        <f t="shared" si="15"/>
        <v>37094</v>
      </c>
      <c r="B358">
        <v>0</v>
      </c>
      <c r="C358">
        <f t="shared" si="16"/>
        <v>0</v>
      </c>
      <c r="D358">
        <f t="shared" si="17"/>
        <v>6422</v>
      </c>
    </row>
    <row r="359" spans="1:4">
      <c r="A359" s="4">
        <f t="shared" si="15"/>
        <v>37095</v>
      </c>
      <c r="B359">
        <v>0</v>
      </c>
      <c r="C359">
        <f t="shared" si="16"/>
        <v>0</v>
      </c>
      <c r="D359">
        <f t="shared" si="17"/>
        <v>6422</v>
      </c>
    </row>
    <row r="360" spans="1:4">
      <c r="A360" s="4">
        <f t="shared" si="15"/>
        <v>37096</v>
      </c>
      <c r="B360">
        <v>0</v>
      </c>
      <c r="C360">
        <f t="shared" si="16"/>
        <v>0</v>
      </c>
      <c r="D360">
        <f t="shared" si="17"/>
        <v>6422</v>
      </c>
    </row>
    <row r="361" spans="1:4">
      <c r="A361" s="4">
        <f t="shared" si="15"/>
        <v>37097</v>
      </c>
      <c r="B361">
        <v>0</v>
      </c>
      <c r="C361">
        <f t="shared" si="16"/>
        <v>0</v>
      </c>
      <c r="D361">
        <f t="shared" si="17"/>
        <v>6422</v>
      </c>
    </row>
    <row r="362" spans="1:4">
      <c r="A362" s="4">
        <f t="shared" si="15"/>
        <v>37098</v>
      </c>
      <c r="B362">
        <v>0</v>
      </c>
      <c r="C362">
        <f t="shared" si="16"/>
        <v>0</v>
      </c>
      <c r="D362">
        <f t="shared" si="17"/>
        <v>6422</v>
      </c>
    </row>
    <row r="363" spans="1:4">
      <c r="A363" s="4">
        <f t="shared" si="15"/>
        <v>37099</v>
      </c>
      <c r="B363">
        <v>1</v>
      </c>
      <c r="C363">
        <f t="shared" si="16"/>
        <v>1</v>
      </c>
      <c r="D363">
        <f t="shared" si="17"/>
        <v>6423</v>
      </c>
    </row>
    <row r="364" spans="1:4">
      <c r="A364" s="4">
        <f t="shared" si="15"/>
        <v>37100</v>
      </c>
      <c r="B364">
        <v>1</v>
      </c>
      <c r="C364">
        <f t="shared" si="16"/>
        <v>2</v>
      </c>
      <c r="D364">
        <f t="shared" si="17"/>
        <v>6424</v>
      </c>
    </row>
    <row r="365" spans="1:4">
      <c r="A365" s="4">
        <f t="shared" si="15"/>
        <v>37101</v>
      </c>
      <c r="B365">
        <v>1</v>
      </c>
      <c r="C365">
        <f t="shared" si="16"/>
        <v>3</v>
      </c>
      <c r="D365">
        <f t="shared" si="17"/>
        <v>6425</v>
      </c>
    </row>
    <row r="366" spans="1:4">
      <c r="A366" s="4">
        <f t="shared" si="15"/>
        <v>37102</v>
      </c>
      <c r="B366">
        <v>1</v>
      </c>
      <c r="C366">
        <f t="shared" si="16"/>
        <v>4</v>
      </c>
      <c r="D366">
        <f t="shared" si="17"/>
        <v>6426</v>
      </c>
    </row>
    <row r="367" spans="1:4">
      <c r="A367" s="4">
        <f t="shared" si="15"/>
        <v>37103</v>
      </c>
      <c r="B367">
        <v>1</v>
      </c>
      <c r="C367">
        <f t="shared" si="16"/>
        <v>5</v>
      </c>
      <c r="D367">
        <f t="shared" si="17"/>
        <v>6427</v>
      </c>
    </row>
    <row r="368" spans="1:4">
      <c r="A368" s="4">
        <f t="shared" si="15"/>
        <v>37104</v>
      </c>
      <c r="B368">
        <v>0</v>
      </c>
      <c r="C368">
        <f t="shared" si="16"/>
        <v>0</v>
      </c>
      <c r="D368">
        <f t="shared" si="17"/>
        <v>6427</v>
      </c>
    </row>
    <row r="369" spans="1:4">
      <c r="A369" s="4">
        <f t="shared" si="15"/>
        <v>37105</v>
      </c>
      <c r="B369">
        <v>0</v>
      </c>
      <c r="C369">
        <v>0</v>
      </c>
      <c r="D369">
        <v>0</v>
      </c>
    </row>
    <row r="370" spans="1:4">
      <c r="A370" s="4">
        <f t="shared" si="15"/>
        <v>37106</v>
      </c>
      <c r="B370">
        <v>0</v>
      </c>
      <c r="C370">
        <v>0</v>
      </c>
      <c r="D370">
        <v>0</v>
      </c>
    </row>
    <row r="371" spans="1:4">
      <c r="A371" s="4">
        <f t="shared" si="15"/>
        <v>37107</v>
      </c>
      <c r="B371">
        <v>0</v>
      </c>
      <c r="C371">
        <v>0</v>
      </c>
      <c r="D371">
        <v>0</v>
      </c>
    </row>
    <row r="372" spans="1:4">
      <c r="A372" s="4">
        <f t="shared" si="15"/>
        <v>37108</v>
      </c>
      <c r="B372">
        <v>0</v>
      </c>
      <c r="C372">
        <v>0</v>
      </c>
      <c r="D372">
        <v>0</v>
      </c>
    </row>
    <row r="373" spans="1:4">
      <c r="A373" s="4">
        <f t="shared" si="15"/>
        <v>37109</v>
      </c>
      <c r="B373">
        <v>0</v>
      </c>
      <c r="C373">
        <v>0</v>
      </c>
      <c r="D373">
        <v>0</v>
      </c>
    </row>
    <row r="374" spans="1:4">
      <c r="A374" s="4">
        <f t="shared" si="15"/>
        <v>37110</v>
      </c>
      <c r="B374">
        <v>0</v>
      </c>
      <c r="C374">
        <v>0</v>
      </c>
      <c r="D374">
        <v>0</v>
      </c>
    </row>
  </sheetData>
  <sheetProtection sheet="1" objects="1" scenarios="1"/>
  <customSheetViews>
    <customSheetView guid="{66C35B70-1DF5-11D4-B46C-0004ACEC7D4A}" showRuler="0"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autoPageBreaks="0"/>
  </sheetPr>
  <dimension ref="A1:CN30"/>
  <sheetViews>
    <sheetView zoomScale="75" workbookViewId="0"/>
  </sheetViews>
  <sheetFormatPr defaultRowHeight="15"/>
  <cols>
    <col min="2" max="2" width="4.36328125" customWidth="1"/>
    <col min="3" max="3" width="8" customWidth="1"/>
    <col min="4" max="4" width="6.81640625" customWidth="1"/>
    <col min="5" max="18" width="7.90625" customWidth="1"/>
    <col min="19" max="20" width="9.54296875" customWidth="1"/>
    <col min="21" max="34" width="7.90625" customWidth="1"/>
    <col min="40" max="40" width="4.81640625" customWidth="1"/>
    <col min="41" max="50" width="7.90625" customWidth="1"/>
    <col min="51" max="51" width="4.81640625" customWidth="1"/>
    <col min="56" max="56" width="4.81640625" customWidth="1"/>
  </cols>
  <sheetData>
    <row r="1" spans="1:92">
      <c r="A1" s="233" t="s">
        <v>11</v>
      </c>
      <c r="B1" s="1"/>
      <c r="C1" s="1"/>
      <c r="D1" s="74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Z1" s="898" t="s">
        <v>730</v>
      </c>
      <c r="BE1" t="s">
        <v>731</v>
      </c>
    </row>
    <row r="2" spans="1:92">
      <c r="A2" s="1"/>
      <c r="B2" s="1"/>
      <c r="C2" s="1"/>
      <c r="D2" s="108" t="s">
        <v>36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09" t="s">
        <v>37</v>
      </c>
      <c r="AC2" s="110" t="s">
        <v>11</v>
      </c>
      <c r="AD2" s="110" t="s">
        <v>11</v>
      </c>
      <c r="AE2" s="157" t="s">
        <v>38</v>
      </c>
      <c r="AF2" s="157"/>
      <c r="AG2" s="157" t="s">
        <v>38</v>
      </c>
      <c r="AH2" s="109" t="s">
        <v>11</v>
      </c>
      <c r="AO2" s="433"/>
      <c r="AP2" s="433"/>
      <c r="AQ2" s="433"/>
      <c r="AR2" s="433"/>
      <c r="AS2" s="433"/>
      <c r="AT2" s="433"/>
      <c r="AU2" s="433" t="s">
        <v>11</v>
      </c>
      <c r="AV2" s="433"/>
      <c r="AW2" s="433"/>
      <c r="AX2" s="433"/>
      <c r="AZ2" s="198" t="s">
        <v>38</v>
      </c>
      <c r="BA2" t="s">
        <v>727</v>
      </c>
      <c r="BC2" t="s">
        <v>728</v>
      </c>
      <c r="BE2" s="1094">
        <v>1</v>
      </c>
      <c r="BF2" s="198" t="s">
        <v>728</v>
      </c>
    </row>
    <row r="3" spans="1:92">
      <c r="A3" s="1"/>
      <c r="B3" s="3" t="s">
        <v>39</v>
      </c>
      <c r="C3" s="1" t="s">
        <v>11</v>
      </c>
      <c r="D3" s="56" t="s">
        <v>41</v>
      </c>
      <c r="E3" s="3" t="s">
        <v>42</v>
      </c>
      <c r="F3" s="3" t="s">
        <v>42</v>
      </c>
      <c r="G3" s="156" t="s">
        <v>42</v>
      </c>
      <c r="H3" s="3" t="s">
        <v>43</v>
      </c>
      <c r="I3" s="3" t="s">
        <v>43</v>
      </c>
      <c r="J3" s="3" t="s">
        <v>43</v>
      </c>
      <c r="K3" s="3" t="s">
        <v>403</v>
      </c>
      <c r="L3" s="3" t="s">
        <v>44</v>
      </c>
      <c r="M3" s="3" t="s">
        <v>44</v>
      </c>
      <c r="N3" s="156" t="s">
        <v>45</v>
      </c>
      <c r="O3" s="3" t="s">
        <v>46</v>
      </c>
      <c r="P3" s="3" t="s">
        <v>47</v>
      </c>
      <c r="R3" s="3"/>
      <c r="S3" s="3"/>
      <c r="T3" s="3" t="s">
        <v>403</v>
      </c>
      <c r="U3" s="3" t="s">
        <v>15</v>
      </c>
      <c r="V3" s="3"/>
      <c r="W3" s="111"/>
      <c r="X3" s="1"/>
      <c r="Y3" s="1" t="s">
        <v>525</v>
      </c>
      <c r="Z3" s="1"/>
      <c r="AA3" s="1"/>
      <c r="AB3" s="3" t="s">
        <v>48</v>
      </c>
      <c r="AC3" s="156" t="s">
        <v>37</v>
      </c>
      <c r="AD3" s="3" t="s">
        <v>37</v>
      </c>
      <c r="AE3" s="3" t="s">
        <v>49</v>
      </c>
      <c r="AF3" s="156" t="s">
        <v>49</v>
      </c>
      <c r="AG3" s="3" t="s">
        <v>50</v>
      </c>
      <c r="AH3" s="3" t="s">
        <v>50</v>
      </c>
      <c r="AI3" s="156" t="s">
        <v>51</v>
      </c>
      <c r="AJ3" s="156" t="s">
        <v>52</v>
      </c>
      <c r="AK3" s="156" t="s">
        <v>53</v>
      </c>
      <c r="AL3" s="156" t="s">
        <v>54</v>
      </c>
      <c r="AM3" s="155" t="s">
        <v>55</v>
      </c>
      <c r="AO3" s="795" t="s">
        <v>709</v>
      </c>
      <c r="AP3" s="1074"/>
      <c r="AQ3" s="795" t="s">
        <v>710</v>
      </c>
      <c r="AR3" s="1074"/>
      <c r="AS3" s="795" t="s">
        <v>711</v>
      </c>
      <c r="AT3" s="1074"/>
      <c r="AU3" s="433" t="s">
        <v>184</v>
      </c>
      <c r="AV3" s="433" t="s">
        <v>184</v>
      </c>
      <c r="AW3" s="433"/>
      <c r="AX3" s="433" t="s">
        <v>184</v>
      </c>
      <c r="AZ3" s="122" t="s">
        <v>725</v>
      </c>
      <c r="BA3" s="122"/>
      <c r="BB3" s="162"/>
      <c r="BC3" s="122" t="s">
        <v>43</v>
      </c>
      <c r="BE3" s="1094" t="s">
        <v>526</v>
      </c>
    </row>
    <row r="4" spans="1:92">
      <c r="A4" s="1" t="s">
        <v>11</v>
      </c>
      <c r="B4" s="3" t="s">
        <v>26</v>
      </c>
      <c r="C4" s="3" t="s">
        <v>56</v>
      </c>
      <c r="D4" s="56" t="s">
        <v>57</v>
      </c>
      <c r="E4" s="3">
        <v>2</v>
      </c>
      <c r="F4" s="3">
        <v>3</v>
      </c>
      <c r="G4" s="3" t="s">
        <v>58</v>
      </c>
      <c r="H4" s="3" t="s">
        <v>59</v>
      </c>
      <c r="I4" s="3" t="s">
        <v>60</v>
      </c>
      <c r="J4" s="3" t="s">
        <v>61</v>
      </c>
      <c r="K4" s="3" t="s">
        <v>404</v>
      </c>
      <c r="L4" s="3">
        <v>1</v>
      </c>
      <c r="M4" s="3">
        <v>2</v>
      </c>
      <c r="N4" s="3" t="s">
        <v>62</v>
      </c>
      <c r="O4" s="3" t="s">
        <v>63</v>
      </c>
      <c r="P4" s="3" t="s">
        <v>64</v>
      </c>
      <c r="Q4" s="3" t="s">
        <v>65</v>
      </c>
      <c r="R4" s="3" t="s">
        <v>66</v>
      </c>
      <c r="S4" s="3" t="s">
        <v>67</v>
      </c>
      <c r="T4" s="3" t="s">
        <v>400</v>
      </c>
      <c r="U4" s="3" t="s">
        <v>56</v>
      </c>
      <c r="V4" s="3" t="s">
        <v>745</v>
      </c>
      <c r="W4" s="3" t="s">
        <v>68</v>
      </c>
      <c r="X4" s="3" t="s">
        <v>69</v>
      </c>
      <c r="Y4" s="3" t="s">
        <v>570</v>
      </c>
      <c r="Z4" s="3" t="s">
        <v>571</v>
      </c>
      <c r="AA4" s="3" t="s">
        <v>778</v>
      </c>
      <c r="AB4" s="3" t="s">
        <v>60</v>
      </c>
      <c r="AC4" s="3" t="s">
        <v>70</v>
      </c>
      <c r="AD4" s="3" t="s">
        <v>71</v>
      </c>
      <c r="AE4" s="3" t="s">
        <v>72</v>
      </c>
      <c r="AF4" s="3" t="s">
        <v>71</v>
      </c>
      <c r="AG4" s="3" t="s">
        <v>72</v>
      </c>
      <c r="AH4" s="3" t="s">
        <v>71</v>
      </c>
      <c r="AI4" s="156" t="s">
        <v>73</v>
      </c>
      <c r="AJ4" s="156" t="s">
        <v>74</v>
      </c>
      <c r="AK4" s="156" t="s">
        <v>74</v>
      </c>
      <c r="AL4" s="156" t="s">
        <v>75</v>
      </c>
      <c r="AM4" s="156" t="s">
        <v>76</v>
      </c>
      <c r="AN4" s="1"/>
      <c r="AO4" s="1073" t="s">
        <v>707</v>
      </c>
      <c r="AP4" s="3" t="s">
        <v>708</v>
      </c>
      <c r="AQ4" s="3" t="s">
        <v>707</v>
      </c>
      <c r="AR4" s="3" t="s">
        <v>708</v>
      </c>
      <c r="AS4" s="3" t="s">
        <v>707</v>
      </c>
      <c r="AT4" s="3" t="s">
        <v>708</v>
      </c>
      <c r="AU4" s="433" t="s">
        <v>203</v>
      </c>
      <c r="AV4" s="433" t="s">
        <v>743</v>
      </c>
      <c r="AW4" s="433" t="s">
        <v>212</v>
      </c>
      <c r="AX4" s="433" t="s">
        <v>706</v>
      </c>
      <c r="AY4" s="1"/>
      <c r="AZ4" s="1095" t="s">
        <v>42</v>
      </c>
      <c r="BA4" s="1096" t="s">
        <v>43</v>
      </c>
      <c r="BB4" s="1097" t="s">
        <v>724</v>
      </c>
      <c r="BC4" s="1097" t="s">
        <v>729</v>
      </c>
      <c r="BE4" s="198" t="s">
        <v>400</v>
      </c>
      <c r="BF4" s="198" t="s">
        <v>726</v>
      </c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</row>
    <row r="5" spans="1:92">
      <c r="A5" s="88">
        <f>SUM(First_date)</f>
        <v>37017</v>
      </c>
      <c r="B5" s="1">
        <f>(Weather_Input!B5+Weather_Input!C5)/2</f>
        <v>68.5</v>
      </c>
      <c r="C5" s="912">
        <v>230000</v>
      </c>
      <c r="D5" s="913">
        <v>0</v>
      </c>
      <c r="E5" s="913">
        <v>0</v>
      </c>
      <c r="F5" s="913">
        <v>0</v>
      </c>
      <c r="G5" s="913">
        <v>0</v>
      </c>
      <c r="H5" s="913">
        <v>0</v>
      </c>
      <c r="I5" s="913">
        <v>0</v>
      </c>
      <c r="J5" s="913">
        <v>0</v>
      </c>
      <c r="K5" s="913">
        <v>0</v>
      </c>
      <c r="L5" s="913">
        <v>0</v>
      </c>
      <c r="M5" s="913">
        <v>0</v>
      </c>
      <c r="N5" s="913">
        <v>0</v>
      </c>
      <c r="O5" s="913">
        <v>0</v>
      </c>
      <c r="P5" s="913">
        <v>0</v>
      </c>
      <c r="Q5" s="913">
        <v>0</v>
      </c>
      <c r="R5" s="913">
        <v>0</v>
      </c>
      <c r="S5" s="918">
        <v>4239</v>
      </c>
      <c r="T5" s="1161">
        <v>0</v>
      </c>
      <c r="U5" s="912">
        <f>SUM(D5:S5)-T5</f>
        <v>4239</v>
      </c>
      <c r="V5" s="912">
        <v>174878</v>
      </c>
      <c r="W5" s="11">
        <v>0</v>
      </c>
      <c r="X5" s="11">
        <v>0</v>
      </c>
      <c r="Y5" s="11">
        <v>0</v>
      </c>
      <c r="Z5" s="11">
        <v>183106</v>
      </c>
      <c r="AA5" s="11">
        <v>12328</v>
      </c>
      <c r="AB5" s="11">
        <v>0</v>
      </c>
      <c r="AC5" s="11">
        <v>0</v>
      </c>
      <c r="AD5" s="11">
        <v>0</v>
      </c>
      <c r="AE5" s="11">
        <v>0</v>
      </c>
      <c r="AF5" s="11">
        <v>0</v>
      </c>
      <c r="AG5" s="11">
        <v>0</v>
      </c>
      <c r="AH5" s="11">
        <v>0</v>
      </c>
      <c r="AI5" s="11">
        <v>0</v>
      </c>
      <c r="AJ5" s="11">
        <v>15026</v>
      </c>
      <c r="AK5" s="11">
        <v>0</v>
      </c>
      <c r="AL5" s="11">
        <v>0</v>
      </c>
      <c r="AM5" s="1">
        <v>1026</v>
      </c>
      <c r="AN5" s="1"/>
      <c r="AO5" s="1">
        <v>12911</v>
      </c>
      <c r="AP5" s="1">
        <v>0</v>
      </c>
      <c r="AQ5" s="1">
        <v>0</v>
      </c>
      <c r="AR5" s="1">
        <v>1442</v>
      </c>
      <c r="AS5" s="1">
        <v>0</v>
      </c>
      <c r="AT5" s="1">
        <v>1045</v>
      </c>
      <c r="AU5" s="1">
        <v>181680</v>
      </c>
      <c r="AV5" s="1">
        <v>630</v>
      </c>
      <c r="AW5" s="627">
        <f>AU5*0.015</f>
        <v>2725.2</v>
      </c>
      <c r="AX5" s="1">
        <v>0</v>
      </c>
      <c r="AY5" s="1"/>
      <c r="AZ5" s="1">
        <v>0</v>
      </c>
      <c r="BA5" s="1">
        <v>0</v>
      </c>
      <c r="BB5" s="1">
        <v>0</v>
      </c>
      <c r="BC5" s="1">
        <v>0</v>
      </c>
      <c r="BD5" s="1"/>
      <c r="BE5" s="1">
        <v>0</v>
      </c>
      <c r="BF5" s="1">
        <v>0</v>
      </c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</row>
    <row r="6" spans="1:92">
      <c r="A6" s="88">
        <f>A5+1</f>
        <v>37018</v>
      </c>
      <c r="B6" s="931">
        <f>(Weather_Input!B6+Weather_Input!C6)/2</f>
        <v>61.5</v>
      </c>
      <c r="C6" s="912">
        <v>255000</v>
      </c>
      <c r="D6" s="914" t="s">
        <v>11</v>
      </c>
      <c r="E6" s="915"/>
      <c r="F6" s="915"/>
      <c r="G6" s="915"/>
      <c r="H6" s="915"/>
      <c r="I6" s="915" t="s">
        <v>11</v>
      </c>
      <c r="J6" s="915"/>
      <c r="K6" s="915"/>
      <c r="L6" s="915" t="s">
        <v>11</v>
      </c>
      <c r="M6" s="915"/>
      <c r="N6" s="915"/>
      <c r="O6" s="915"/>
      <c r="P6" s="915"/>
      <c r="Q6" s="915"/>
      <c r="R6" s="915"/>
      <c r="S6" s="915"/>
      <c r="T6" s="915"/>
      <c r="U6" s="915"/>
      <c r="V6" s="915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 t="s">
        <v>11</v>
      </c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 t="s">
        <v>705</v>
      </c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</row>
    <row r="7" spans="1:92">
      <c r="A7" s="88">
        <f>A6+1</f>
        <v>37019</v>
      </c>
      <c r="B7" s="931">
        <f>(Weather_Input!B7+Weather_Input!C7)/2</f>
        <v>55</v>
      </c>
      <c r="C7" s="912">
        <v>290000</v>
      </c>
      <c r="D7" s="914" t="s">
        <v>11</v>
      </c>
      <c r="E7" s="915"/>
      <c r="F7" s="915"/>
      <c r="G7" s="915"/>
      <c r="H7" s="916" t="s">
        <v>77</v>
      </c>
      <c r="I7" s="915"/>
      <c r="J7" s="915"/>
      <c r="K7" s="915"/>
      <c r="L7" s="915"/>
      <c r="M7" s="915"/>
      <c r="N7" s="915"/>
      <c r="O7" s="915"/>
      <c r="P7" s="915"/>
      <c r="Q7" s="915"/>
      <c r="R7" s="915" t="s">
        <v>537</v>
      </c>
      <c r="S7" s="919">
        <v>0</v>
      </c>
      <c r="T7" s="919"/>
      <c r="U7" s="915"/>
      <c r="V7" s="915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 t="s">
        <v>11</v>
      </c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</row>
    <row r="8" spans="1:92">
      <c r="A8" s="88">
        <f>A7+1</f>
        <v>37020</v>
      </c>
      <c r="B8" s="931">
        <f>(Weather_Input!B8+Weather_Input!C8)/2</f>
        <v>55.5</v>
      </c>
      <c r="C8" s="912">
        <v>285000</v>
      </c>
      <c r="D8" s="914" t="s">
        <v>11</v>
      </c>
      <c r="E8" s="915" t="s">
        <v>11</v>
      </c>
      <c r="F8" s="915"/>
      <c r="G8" s="915"/>
      <c r="H8" s="917" t="s">
        <v>78</v>
      </c>
      <c r="I8" s="915"/>
      <c r="J8" s="915"/>
      <c r="K8" s="915"/>
      <c r="L8" s="915"/>
      <c r="M8" s="915"/>
      <c r="N8" s="915"/>
      <c r="O8" s="915"/>
      <c r="P8" s="915"/>
      <c r="Q8" s="915"/>
      <c r="R8" s="915" t="s">
        <v>538</v>
      </c>
      <c r="S8" s="919">
        <v>0</v>
      </c>
      <c r="T8" s="919"/>
      <c r="U8" s="915"/>
      <c r="V8" s="915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</row>
    <row r="9" spans="1:92">
      <c r="A9" s="88">
        <f>A8+1</f>
        <v>37021</v>
      </c>
      <c r="B9" s="931">
        <f>(Weather_Input!B9+Weather_Input!C9)/2</f>
        <v>61.5</v>
      </c>
      <c r="C9" s="912">
        <v>255000</v>
      </c>
      <c r="D9" s="914" t="s">
        <v>11</v>
      </c>
      <c r="E9" s="915"/>
      <c r="F9" s="915"/>
      <c r="G9" s="915"/>
      <c r="H9" s="915" t="s">
        <v>79</v>
      </c>
      <c r="I9" s="915"/>
      <c r="J9" s="915"/>
      <c r="K9" s="915"/>
      <c r="L9" s="915"/>
      <c r="M9" s="915"/>
      <c r="N9" s="915"/>
      <c r="O9" s="915"/>
      <c r="P9" s="915"/>
      <c r="Q9" s="915"/>
      <c r="R9" s="915" t="s">
        <v>539</v>
      </c>
      <c r="S9" s="919">
        <v>0</v>
      </c>
      <c r="T9" s="919"/>
      <c r="U9" s="915"/>
      <c r="V9" s="915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</row>
    <row r="10" spans="1:92">
      <c r="A10" s="88">
        <f>A9+1</f>
        <v>37022</v>
      </c>
      <c r="B10" s="931">
        <f>(Weather_Input!B10+Weather_Input!C10)/2</f>
        <v>61.5</v>
      </c>
      <c r="C10" s="912">
        <v>235000</v>
      </c>
      <c r="D10" s="914" t="s">
        <v>11</v>
      </c>
      <c r="E10" s="915" t="s">
        <v>11</v>
      </c>
      <c r="F10" s="915"/>
      <c r="G10" s="915"/>
      <c r="H10" s="915" t="s">
        <v>80</v>
      </c>
      <c r="I10" s="915"/>
      <c r="J10" s="915"/>
      <c r="K10" s="915"/>
      <c r="L10" s="915"/>
      <c r="M10" s="915"/>
      <c r="N10" s="915"/>
      <c r="O10" s="915"/>
      <c r="P10" s="915"/>
      <c r="Q10" s="915"/>
      <c r="R10" s="915" t="s">
        <v>542</v>
      </c>
      <c r="S10" s="919">
        <v>0</v>
      </c>
      <c r="T10" s="919"/>
      <c r="U10" s="915"/>
      <c r="V10" s="915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</row>
    <row r="11" spans="1:92">
      <c r="A11" t="s">
        <v>172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 t="s">
        <v>540</v>
      </c>
      <c r="S11" s="77">
        <v>0</v>
      </c>
      <c r="T11" s="77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</row>
    <row r="12" spans="1:92">
      <c r="B12" s="417"/>
      <c r="C12" s="417"/>
      <c r="D12" s="417"/>
      <c r="E12" s="417"/>
      <c r="F12" s="417"/>
      <c r="G12" s="417"/>
      <c r="H12" s="417"/>
      <c r="I12" s="417"/>
      <c r="J12" s="417"/>
      <c r="K12" s="417"/>
      <c r="L12" s="417"/>
      <c r="M12" s="417"/>
      <c r="N12" s="1"/>
      <c r="O12" s="1"/>
      <c r="P12" s="1"/>
      <c r="Q12" s="1"/>
      <c r="R12" s="1" t="s">
        <v>541</v>
      </c>
      <c r="S12" s="77">
        <v>0</v>
      </c>
      <c r="T12" s="77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</row>
    <row r="13" spans="1:92">
      <c r="N13" s="1"/>
      <c r="O13" s="1"/>
      <c r="P13" s="1"/>
      <c r="Q13" s="1"/>
      <c r="R13" s="1" t="s">
        <v>543</v>
      </c>
      <c r="S13" s="77">
        <v>0</v>
      </c>
      <c r="T13" s="77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</row>
    <row r="14" spans="1:92">
      <c r="N14" s="1"/>
      <c r="O14" s="1"/>
      <c r="P14" s="1"/>
      <c r="Q14" s="1"/>
      <c r="R14" s="1" t="s">
        <v>544</v>
      </c>
      <c r="S14" s="77">
        <v>0</v>
      </c>
      <c r="T14" s="77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</row>
    <row r="15" spans="1:92">
      <c r="N15" s="1"/>
      <c r="O15" s="1"/>
      <c r="P15" s="1"/>
      <c r="Q15" s="1"/>
      <c r="R15" s="1" t="s">
        <v>545</v>
      </c>
      <c r="S15" s="77">
        <v>0</v>
      </c>
      <c r="T15" s="77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</row>
    <row r="16" spans="1:92">
      <c r="N16" s="1"/>
      <c r="O16" s="1"/>
      <c r="P16" s="1"/>
      <c r="Q16" s="1"/>
      <c r="R16" s="1"/>
      <c r="S16" s="832" t="s">
        <v>11</v>
      </c>
      <c r="T16" s="832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</row>
    <row r="17" spans="3:92" ht="15.75" customHeight="1"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</row>
    <row r="18" spans="3:92">
      <c r="C18" t="s">
        <v>172</v>
      </c>
      <c r="F18" s="490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</row>
    <row r="19" spans="3:92"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</row>
    <row r="29" spans="3:92">
      <c r="S29" s="797"/>
      <c r="T29" s="797"/>
    </row>
    <row r="30" spans="3:92">
      <c r="S30" s="797"/>
      <c r="T30" s="797"/>
    </row>
  </sheetData>
  <customSheetViews>
    <customSheetView guid="{66C35B70-1DF5-11D4-B46C-0004ACEC7D4A}" scale="75" showRuler="0">
      <selection activeCell="C5" sqref="C5"/>
      <pageMargins left="0.75" right="0.75" top="1" bottom="1" header="0.5" footer="0.5"/>
      <printOptions gridLines="1"/>
      <pageSetup orientation="landscape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landscape" horizontalDpi="4294967292" r:id="rId2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N104"/>
  <sheetViews>
    <sheetView zoomScale="75" workbookViewId="0"/>
  </sheetViews>
  <sheetFormatPr defaultColWidth="8.90625" defaultRowHeight="13.2"/>
  <cols>
    <col min="1" max="2" width="8.90625" style="1"/>
    <col min="3" max="3" width="11.90625" style="1" bestFit="1" customWidth="1"/>
    <col min="4" max="4" width="9.453125" style="1" customWidth="1"/>
    <col min="5" max="6" width="9.08984375" style="1" customWidth="1"/>
    <col min="7" max="7" width="8.90625" style="1"/>
    <col min="8" max="8" width="12.54296875" style="1" customWidth="1"/>
    <col min="9" max="16384" width="8.90625" style="1"/>
  </cols>
  <sheetData>
    <row r="1" spans="1:14">
      <c r="A1" s="10" t="s">
        <v>11</v>
      </c>
      <c r="B1" s="10"/>
      <c r="C1" s="10"/>
      <c r="M1" s="1" t="s">
        <v>68</v>
      </c>
      <c r="N1" s="1" t="s">
        <v>68</v>
      </c>
    </row>
    <row r="2" spans="1:14" ht="15">
      <c r="K2" t="s">
        <v>703</v>
      </c>
      <c r="L2" t="s">
        <v>703</v>
      </c>
      <c r="M2" t="s">
        <v>703</v>
      </c>
      <c r="N2" t="s">
        <v>703</v>
      </c>
    </row>
    <row r="3" spans="1:14" ht="15">
      <c r="B3" s="11" t="s">
        <v>39</v>
      </c>
      <c r="C3" s="1" t="s">
        <v>56</v>
      </c>
      <c r="D3" s="3" t="s">
        <v>81</v>
      </c>
      <c r="F3" s="3" t="s">
        <v>637</v>
      </c>
      <c r="G3" s="156" t="s">
        <v>82</v>
      </c>
      <c r="H3" s="3" t="s">
        <v>15</v>
      </c>
      <c r="I3" s="156" t="s">
        <v>83</v>
      </c>
      <c r="K3" t="s">
        <v>704</v>
      </c>
      <c r="L3" t="s">
        <v>704</v>
      </c>
      <c r="M3" t="s">
        <v>704</v>
      </c>
      <c r="N3" t="s">
        <v>704</v>
      </c>
    </row>
    <row r="4" spans="1:14">
      <c r="B4" s="11" t="s">
        <v>84</v>
      </c>
      <c r="D4" s="3" t="s">
        <v>85</v>
      </c>
      <c r="E4" s="3" t="s">
        <v>86</v>
      </c>
      <c r="F4" s="3" t="s">
        <v>85</v>
      </c>
      <c r="G4" s="156" t="s">
        <v>85</v>
      </c>
      <c r="H4" s="3" t="s">
        <v>56</v>
      </c>
      <c r="I4" s="156" t="s">
        <v>87</v>
      </c>
      <c r="K4" s="1" t="s">
        <v>701</v>
      </c>
      <c r="L4" s="1" t="s">
        <v>702</v>
      </c>
      <c r="M4" s="1" t="s">
        <v>701</v>
      </c>
      <c r="N4" s="1" t="s">
        <v>702</v>
      </c>
    </row>
    <row r="5" spans="1:14">
      <c r="A5" s="12">
        <f>Weather_Input!A5</f>
        <v>37017</v>
      </c>
      <c r="B5" s="1">
        <f>(Weather_Input!B5+Weather_Input!C5)/2</f>
        <v>68.5</v>
      </c>
      <c r="C5" s="912">
        <v>44000</v>
      </c>
      <c r="D5" s="912">
        <v>0</v>
      </c>
      <c r="E5" s="912">
        <v>0</v>
      </c>
      <c r="F5" s="912">
        <v>0</v>
      </c>
      <c r="G5" s="912">
        <v>0</v>
      </c>
      <c r="H5" s="920">
        <f>SUM(D5:G5)</f>
        <v>0</v>
      </c>
      <c r="I5" s="1">
        <v>1009</v>
      </c>
      <c r="J5" s="1" t="s">
        <v>11</v>
      </c>
      <c r="K5" s="1">
        <v>0</v>
      </c>
      <c r="L5" s="1">
        <v>22489</v>
      </c>
      <c r="M5" s="1">
        <v>20000</v>
      </c>
      <c r="N5" s="1">
        <v>0</v>
      </c>
    </row>
    <row r="6" spans="1:14">
      <c r="A6" s="12">
        <f>A5+1</f>
        <v>37018</v>
      </c>
      <c r="B6" s="931">
        <f>(Weather_Input!B6+Weather_Input!C6)/2</f>
        <v>61.5</v>
      </c>
      <c r="C6" s="912">
        <v>48000</v>
      </c>
      <c r="D6" s="915" t="s">
        <v>11</v>
      </c>
      <c r="E6" s="915"/>
      <c r="F6" s="915"/>
      <c r="G6" s="915"/>
      <c r="H6" s="15"/>
      <c r="I6" s="1" t="s">
        <v>11</v>
      </c>
    </row>
    <row r="7" spans="1:14">
      <c r="A7" s="12">
        <f>A6+1</f>
        <v>37019</v>
      </c>
      <c r="B7" s="931">
        <f>(Weather_Input!B7+Weather_Input!C7)/2</f>
        <v>55</v>
      </c>
      <c r="C7" s="912">
        <v>55000</v>
      </c>
      <c r="D7" s="915" t="s">
        <v>11</v>
      </c>
      <c r="E7" s="915" t="s">
        <v>11</v>
      </c>
      <c r="F7" s="915"/>
      <c r="G7" s="915"/>
      <c r="H7" s="15"/>
    </row>
    <row r="8" spans="1:14">
      <c r="A8" s="12">
        <f>A7+1</f>
        <v>37020</v>
      </c>
      <c r="B8" s="931">
        <f>(Weather_Input!B8+Weather_Input!C8)/2</f>
        <v>55.5</v>
      </c>
      <c r="C8" s="912">
        <v>54000</v>
      </c>
      <c r="D8" s="915" t="s">
        <v>11</v>
      </c>
      <c r="E8" s="915"/>
      <c r="F8" s="915"/>
      <c r="G8" s="915"/>
      <c r="H8" s="15"/>
    </row>
    <row r="9" spans="1:14">
      <c r="A9" s="12">
        <f>A8+1</f>
        <v>37021</v>
      </c>
      <c r="B9" s="931">
        <f>(Weather_Input!B9+Weather_Input!C9)/2</f>
        <v>61.5</v>
      </c>
      <c r="C9" s="912">
        <v>48000</v>
      </c>
      <c r="D9" s="915" t="s">
        <v>11</v>
      </c>
      <c r="E9" s="915"/>
      <c r="F9" s="915"/>
      <c r="G9" s="915"/>
      <c r="H9" s="15"/>
    </row>
    <row r="10" spans="1:14">
      <c r="A10" s="12">
        <f>A9+1</f>
        <v>37022</v>
      </c>
      <c r="B10" s="931">
        <f>(Weather_Input!B10+Weather_Input!C10)/2</f>
        <v>61.5</v>
      </c>
      <c r="C10" s="912">
        <v>45000</v>
      </c>
      <c r="D10" s="915" t="s">
        <v>11</v>
      </c>
      <c r="E10" s="915"/>
      <c r="F10" s="915"/>
      <c r="G10" s="915"/>
      <c r="H10" s="15"/>
    </row>
    <row r="11" spans="1:14">
      <c r="A11" s="1" t="s">
        <v>172</v>
      </c>
      <c r="C11" s="1191" t="s">
        <v>11</v>
      </c>
    </row>
    <row r="12" spans="1:14">
      <c r="C12" s="1" t="s">
        <v>11</v>
      </c>
    </row>
    <row r="17" spans="11:11">
      <c r="K17" s="1" t="s">
        <v>11</v>
      </c>
    </row>
    <row r="104" spans="4:4">
      <c r="D104" s="1" t="s">
        <v>11</v>
      </c>
    </row>
  </sheetData>
  <customSheetViews>
    <customSheetView guid="{66C35B70-1DF5-11D4-B46C-0004ACEC7D4A}" scale="75" showRuler="0">
      <selection activeCell="A5" sqref="A5"/>
      <pageMargins left="0.75" right="0.75" top="1" bottom="1" header="0.5" footer="0.5"/>
      <printOptions gridLines="1"/>
      <pageSetup orientation="landscape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landscape" horizontalDpi="4294967292" r:id="rId2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autoPageBreaks="0"/>
  </sheetPr>
  <dimension ref="A1:CK17"/>
  <sheetViews>
    <sheetView zoomScale="75" workbookViewId="0"/>
  </sheetViews>
  <sheetFormatPr defaultRowHeight="15"/>
  <cols>
    <col min="1" max="8" width="8.6328125" customWidth="1"/>
    <col min="9" max="9" width="9" bestFit="1" customWidth="1"/>
    <col min="10" max="10" width="10.36328125" customWidth="1"/>
    <col min="11" max="35" width="9" bestFit="1" customWidth="1"/>
    <col min="36" max="36" width="10.08984375" bestFit="1" customWidth="1"/>
  </cols>
  <sheetData>
    <row r="1" spans="1:89" ht="15.6">
      <c r="A1" s="10"/>
      <c r="B1" s="5"/>
      <c r="C1" s="5"/>
      <c r="D1" s="5"/>
      <c r="E1" s="5"/>
      <c r="F1" s="5"/>
      <c r="G1" s="5"/>
      <c r="H1" s="5"/>
    </row>
    <row r="2" spans="1:89" s="1" customFormat="1" ht="13.2">
      <c r="A2" s="10"/>
      <c r="B2" s="10"/>
      <c r="C2" s="76"/>
      <c r="D2" s="10"/>
      <c r="E2" s="10"/>
      <c r="F2" s="10"/>
      <c r="G2" s="10"/>
      <c r="H2" s="10"/>
    </row>
    <row r="3" spans="1:89" s="50" customFormat="1" ht="13.2">
      <c r="B3" s="71"/>
      <c r="C3" s="78" t="s">
        <v>88</v>
      </c>
      <c r="D3" s="53"/>
      <c r="E3" s="53"/>
      <c r="F3" s="62"/>
      <c r="G3" s="71"/>
      <c r="H3" s="1190">
        <v>1</v>
      </c>
      <c r="I3" s="52" t="s">
        <v>89</v>
      </c>
      <c r="J3" s="52"/>
      <c r="K3" s="52"/>
      <c r="L3" s="52"/>
      <c r="M3" s="52"/>
      <c r="N3" s="62"/>
      <c r="O3" s="62"/>
      <c r="P3" s="52" t="s">
        <v>72</v>
      </c>
      <c r="Q3" s="52"/>
      <c r="R3" s="52"/>
      <c r="S3" s="52"/>
      <c r="T3" s="52"/>
      <c r="U3" s="52"/>
      <c r="V3" s="63" t="s">
        <v>91</v>
      </c>
      <c r="W3" s="52"/>
      <c r="X3" s="52"/>
      <c r="Y3" s="52"/>
      <c r="Z3" s="52"/>
    </row>
    <row r="4" spans="1:89" s="1" customFormat="1" ht="13.2">
      <c r="B4" s="64"/>
      <c r="C4" s="60"/>
      <c r="F4" s="64"/>
      <c r="G4" s="64"/>
      <c r="H4" s="805" t="s">
        <v>636</v>
      </c>
      <c r="I4" s="3" t="s">
        <v>1</v>
      </c>
      <c r="J4" s="3" t="s">
        <v>756</v>
      </c>
      <c r="N4" s="64"/>
      <c r="O4" s="58"/>
      <c r="P4" s="66"/>
      <c r="Q4" s="66"/>
      <c r="V4" s="55" t="s">
        <v>68</v>
      </c>
      <c r="W4" s="53"/>
      <c r="X4" s="65"/>
      <c r="Y4" s="53" t="s">
        <v>38</v>
      </c>
      <c r="Z4" s="53"/>
      <c r="AA4" s="53"/>
      <c r="AB4" s="53"/>
      <c r="AC4" s="55" t="s">
        <v>93</v>
      </c>
      <c r="AD4" s="53"/>
      <c r="AE4" s="53"/>
      <c r="AF4" s="74"/>
      <c r="AG4" s="3" t="s">
        <v>416</v>
      </c>
    </row>
    <row r="5" spans="1:89" s="1" customFormat="1" ht="13.2">
      <c r="B5" s="67" t="s">
        <v>94</v>
      </c>
      <c r="C5" s="59"/>
      <c r="F5" s="252"/>
      <c r="G5" s="67" t="s">
        <v>11</v>
      </c>
      <c r="H5" s="805" t="s">
        <v>400</v>
      </c>
      <c r="I5" s="109" t="s">
        <v>722</v>
      </c>
      <c r="J5" s="54" t="s">
        <v>745</v>
      </c>
      <c r="N5" s="64"/>
      <c r="O5" s="117" t="s">
        <v>38</v>
      </c>
      <c r="P5" s="3" t="s">
        <v>55</v>
      </c>
      <c r="Q5" s="3" t="s">
        <v>60</v>
      </c>
      <c r="R5" s="3" t="s">
        <v>60</v>
      </c>
      <c r="S5" s="3" t="s">
        <v>38</v>
      </c>
      <c r="T5" s="109" t="s">
        <v>184</v>
      </c>
      <c r="U5" s="1139" t="s">
        <v>769</v>
      </c>
      <c r="V5" s="56" t="s">
        <v>97</v>
      </c>
      <c r="W5" s="3" t="s">
        <v>97</v>
      </c>
      <c r="X5" s="3" t="s">
        <v>97</v>
      </c>
      <c r="Y5" s="3" t="s">
        <v>97</v>
      </c>
      <c r="Z5" s="3" t="s">
        <v>97</v>
      </c>
      <c r="AA5" s="3" t="s">
        <v>97</v>
      </c>
      <c r="AB5" s="3" t="s">
        <v>97</v>
      </c>
      <c r="AC5" s="56" t="s">
        <v>97</v>
      </c>
      <c r="AD5" s="3" t="s">
        <v>97</v>
      </c>
      <c r="AE5" s="3" t="s">
        <v>97</v>
      </c>
      <c r="AF5" s="56" t="s">
        <v>97</v>
      </c>
      <c r="AG5" s="3" t="s">
        <v>97</v>
      </c>
      <c r="AH5" s="3" t="s">
        <v>97</v>
      </c>
      <c r="AI5" s="3" t="s">
        <v>97</v>
      </c>
    </row>
    <row r="6" spans="1:89" s="1" customFormat="1" ht="13.2">
      <c r="A6" s="68"/>
      <c r="B6" s="69" t="s">
        <v>98</v>
      </c>
      <c r="C6" s="54" t="s">
        <v>68</v>
      </c>
      <c r="D6" s="54" t="s">
        <v>93</v>
      </c>
      <c r="E6" s="54" t="s">
        <v>416</v>
      </c>
      <c r="F6" s="253" t="s">
        <v>96</v>
      </c>
      <c r="G6" s="54" t="s">
        <v>99</v>
      </c>
      <c r="H6" s="806" t="s">
        <v>416</v>
      </c>
      <c r="I6" s="1075" t="s">
        <v>723</v>
      </c>
      <c r="J6" s="54" t="s">
        <v>755</v>
      </c>
      <c r="K6" s="54" t="s">
        <v>416</v>
      </c>
      <c r="L6" s="54" t="s">
        <v>38</v>
      </c>
      <c r="M6" s="54" t="s">
        <v>400</v>
      </c>
      <c r="N6" s="54" t="s">
        <v>96</v>
      </c>
      <c r="O6" s="83" t="s">
        <v>90</v>
      </c>
      <c r="P6" s="54" t="s">
        <v>60</v>
      </c>
      <c r="Q6" s="54" t="s">
        <v>101</v>
      </c>
      <c r="R6" s="54" t="s">
        <v>740</v>
      </c>
      <c r="S6" s="54" t="s">
        <v>103</v>
      </c>
      <c r="T6" s="1076" t="s">
        <v>719</v>
      </c>
      <c r="U6" s="1075" t="s">
        <v>90</v>
      </c>
      <c r="V6" s="54" t="s">
        <v>68</v>
      </c>
      <c r="W6" s="54" t="s">
        <v>38</v>
      </c>
      <c r="X6" s="54" t="s">
        <v>93</v>
      </c>
      <c r="Y6" s="54" t="s">
        <v>38</v>
      </c>
      <c r="Z6" s="54" t="s">
        <v>68</v>
      </c>
      <c r="AA6" s="54" t="s">
        <v>93</v>
      </c>
      <c r="AB6" s="54" t="s">
        <v>416</v>
      </c>
      <c r="AC6" s="54" t="s">
        <v>68</v>
      </c>
      <c r="AD6" s="54" t="s">
        <v>38</v>
      </c>
      <c r="AE6" s="54" t="s">
        <v>93</v>
      </c>
      <c r="AF6" s="54" t="s">
        <v>68</v>
      </c>
      <c r="AG6" s="54" t="s">
        <v>38</v>
      </c>
      <c r="AH6" s="54" t="s">
        <v>93</v>
      </c>
      <c r="AI6" s="54" t="s">
        <v>416</v>
      </c>
    </row>
    <row r="7" spans="1:89" s="1" customFormat="1" ht="13.2">
      <c r="A7" s="833">
        <f>Weather_Input!A5</f>
        <v>37017</v>
      </c>
      <c r="B7" s="921">
        <v>0</v>
      </c>
      <c r="C7" s="922">
        <v>0</v>
      </c>
      <c r="D7" s="625">
        <v>0</v>
      </c>
      <c r="E7" s="625">
        <v>0</v>
      </c>
      <c r="F7" s="921">
        <v>0</v>
      </c>
      <c r="G7" s="921">
        <v>0</v>
      </c>
      <c r="H7" s="923">
        <v>24830</v>
      </c>
      <c r="I7" s="624">
        <v>0</v>
      </c>
      <c r="J7" s="624">
        <v>3100</v>
      </c>
      <c r="K7" s="625">
        <v>0</v>
      </c>
      <c r="L7" s="624">
        <v>0</v>
      </c>
      <c r="M7" s="625">
        <v>0</v>
      </c>
      <c r="N7" s="625">
        <v>0</v>
      </c>
      <c r="O7" s="626">
        <v>6240</v>
      </c>
      <c r="P7" s="625">
        <v>190000</v>
      </c>
      <c r="Q7" s="627">
        <f t="shared" ref="Q7:Q12" si="0">P7*0.015</f>
        <v>2850</v>
      </c>
      <c r="R7" s="625">
        <v>630</v>
      </c>
      <c r="S7" s="625">
        <v>0</v>
      </c>
      <c r="T7" s="625">
        <v>0</v>
      </c>
      <c r="U7" s="624">
        <v>40200</v>
      </c>
      <c r="V7" s="625">
        <v>0</v>
      </c>
      <c r="W7" s="625">
        <v>0</v>
      </c>
      <c r="X7" s="625">
        <v>0</v>
      </c>
      <c r="Y7" s="625">
        <v>0</v>
      </c>
      <c r="Z7" s="625">
        <v>0</v>
      </c>
      <c r="AA7" s="624">
        <v>0</v>
      </c>
      <c r="AB7" s="624">
        <v>0</v>
      </c>
      <c r="AC7" s="624">
        <v>0</v>
      </c>
      <c r="AD7" s="624">
        <v>0</v>
      </c>
      <c r="AE7" s="624">
        <v>0</v>
      </c>
      <c r="AF7" s="624">
        <v>0</v>
      </c>
      <c r="AG7" s="624">
        <v>0</v>
      </c>
      <c r="AH7" s="624">
        <v>0</v>
      </c>
      <c r="AI7" s="624">
        <v>0</v>
      </c>
      <c r="AJ7" s="833">
        <f>Weather_Input!A5</f>
        <v>37017</v>
      </c>
    </row>
    <row r="8" spans="1:89" s="1" customFormat="1" ht="13.2">
      <c r="A8" s="833">
        <f>A7+1</f>
        <v>37018</v>
      </c>
      <c r="B8" s="921">
        <v>0</v>
      </c>
      <c r="C8" s="922">
        <v>0</v>
      </c>
      <c r="D8" s="625">
        <v>0</v>
      </c>
      <c r="E8" s="625">
        <v>0</v>
      </c>
      <c r="F8" s="921">
        <v>0</v>
      </c>
      <c r="G8" s="921">
        <v>0</v>
      </c>
      <c r="H8" s="923">
        <v>20000</v>
      </c>
      <c r="I8" s="624">
        <v>0</v>
      </c>
      <c r="J8" s="624">
        <v>0</v>
      </c>
      <c r="K8" s="625">
        <v>0</v>
      </c>
      <c r="L8" s="624">
        <v>0</v>
      </c>
      <c r="M8" s="625">
        <v>0</v>
      </c>
      <c r="N8" s="625">
        <v>0</v>
      </c>
      <c r="O8" s="626">
        <v>0</v>
      </c>
      <c r="P8" s="625">
        <v>150000</v>
      </c>
      <c r="Q8" s="627">
        <f t="shared" si="0"/>
        <v>2250</v>
      </c>
      <c r="R8" s="625">
        <v>630</v>
      </c>
      <c r="S8" s="625">
        <v>0</v>
      </c>
      <c r="T8" s="625">
        <v>0</v>
      </c>
      <c r="U8" s="624">
        <v>40200</v>
      </c>
      <c r="V8" s="625">
        <v>0</v>
      </c>
      <c r="W8" s="625">
        <v>0</v>
      </c>
      <c r="X8" s="625">
        <v>0</v>
      </c>
      <c r="Y8" s="625">
        <v>0</v>
      </c>
      <c r="Z8" s="625">
        <v>0</v>
      </c>
      <c r="AA8" s="624">
        <v>0</v>
      </c>
      <c r="AB8" s="624">
        <v>0</v>
      </c>
      <c r="AC8" s="624">
        <v>0</v>
      </c>
      <c r="AD8" s="624">
        <v>0</v>
      </c>
      <c r="AE8" s="624">
        <v>0</v>
      </c>
      <c r="AF8" s="624">
        <v>0</v>
      </c>
      <c r="AG8" s="624">
        <v>0</v>
      </c>
      <c r="AH8" s="624">
        <v>0</v>
      </c>
      <c r="AI8" s="624">
        <v>0</v>
      </c>
      <c r="AJ8" s="833">
        <f>AJ7+1</f>
        <v>37018</v>
      </c>
      <c r="AK8" s="624"/>
      <c r="AL8" s="624"/>
      <c r="AM8" s="624"/>
      <c r="AO8" s="624"/>
      <c r="AP8" s="624"/>
      <c r="AQ8" s="624"/>
      <c r="AR8" s="624"/>
      <c r="AS8" s="624"/>
      <c r="AT8" s="624"/>
      <c r="AU8" s="624"/>
      <c r="AV8" s="624"/>
      <c r="AW8" s="624"/>
      <c r="AX8" s="624"/>
      <c r="AY8" s="624"/>
      <c r="AZ8" s="624"/>
      <c r="BA8" s="624"/>
      <c r="BB8" s="624"/>
      <c r="BC8" s="624"/>
    </row>
    <row r="9" spans="1:89" s="1" customFormat="1" ht="13.2">
      <c r="A9" s="833">
        <f>A8+1</f>
        <v>37019</v>
      </c>
      <c r="B9" s="921">
        <v>0</v>
      </c>
      <c r="C9" s="922">
        <v>0</v>
      </c>
      <c r="D9" s="625">
        <v>0</v>
      </c>
      <c r="E9" s="625">
        <v>0</v>
      </c>
      <c r="F9" s="921">
        <v>0</v>
      </c>
      <c r="G9" s="921">
        <v>0</v>
      </c>
      <c r="H9" s="923">
        <v>0</v>
      </c>
      <c r="I9" s="624">
        <v>0</v>
      </c>
      <c r="J9" s="624">
        <v>0</v>
      </c>
      <c r="K9" s="625">
        <v>0</v>
      </c>
      <c r="L9" s="624">
        <v>0</v>
      </c>
      <c r="M9" s="625">
        <v>0</v>
      </c>
      <c r="N9" s="625">
        <v>0</v>
      </c>
      <c r="O9" s="626">
        <v>0</v>
      </c>
      <c r="P9" s="625">
        <v>150000</v>
      </c>
      <c r="Q9" s="627">
        <f t="shared" si="0"/>
        <v>2250</v>
      </c>
      <c r="R9" s="625">
        <v>630</v>
      </c>
      <c r="S9" s="625">
        <v>0</v>
      </c>
      <c r="T9" s="625">
        <v>0</v>
      </c>
      <c r="U9" s="624">
        <v>40200</v>
      </c>
      <c r="V9" s="625">
        <v>0</v>
      </c>
      <c r="W9" s="625">
        <v>0</v>
      </c>
      <c r="X9" s="625">
        <v>0</v>
      </c>
      <c r="Y9" s="625">
        <v>0</v>
      </c>
      <c r="Z9" s="625">
        <v>0</v>
      </c>
      <c r="AA9" s="624">
        <v>0</v>
      </c>
      <c r="AB9" s="624">
        <v>0</v>
      </c>
      <c r="AC9" s="624">
        <v>0</v>
      </c>
      <c r="AD9" s="624">
        <v>0</v>
      </c>
      <c r="AE9" s="624">
        <v>0</v>
      </c>
      <c r="AF9" s="624">
        <v>0</v>
      </c>
      <c r="AG9" s="624">
        <v>0</v>
      </c>
      <c r="AH9" s="624">
        <v>0</v>
      </c>
      <c r="AI9" s="624">
        <v>0</v>
      </c>
      <c r="AJ9" s="833">
        <f>AJ8+1</f>
        <v>37019</v>
      </c>
      <c r="AN9" s="624"/>
    </row>
    <row r="10" spans="1:89" s="1" customFormat="1" ht="13.2">
      <c r="A10" s="833">
        <f>A9+1</f>
        <v>37020</v>
      </c>
      <c r="B10" s="921">
        <v>0</v>
      </c>
      <c r="C10" s="922">
        <v>0</v>
      </c>
      <c r="D10" s="625">
        <v>0</v>
      </c>
      <c r="E10" s="625">
        <v>0</v>
      </c>
      <c r="F10" s="921">
        <v>0</v>
      </c>
      <c r="G10" s="921">
        <v>0</v>
      </c>
      <c r="H10" s="923">
        <v>0</v>
      </c>
      <c r="I10" s="624">
        <v>0</v>
      </c>
      <c r="J10" s="624">
        <v>0</v>
      </c>
      <c r="K10" s="625">
        <v>0</v>
      </c>
      <c r="L10" s="624">
        <v>0</v>
      </c>
      <c r="M10" s="625">
        <v>0</v>
      </c>
      <c r="N10" s="625">
        <v>0</v>
      </c>
      <c r="O10" s="626">
        <v>0</v>
      </c>
      <c r="P10" s="625">
        <v>150000</v>
      </c>
      <c r="Q10" s="627">
        <f t="shared" si="0"/>
        <v>2250</v>
      </c>
      <c r="R10" s="625">
        <v>630</v>
      </c>
      <c r="S10" s="625">
        <v>0</v>
      </c>
      <c r="T10" s="625">
        <v>0</v>
      </c>
      <c r="U10" s="624">
        <v>40200</v>
      </c>
      <c r="V10" s="625">
        <v>0</v>
      </c>
      <c r="W10" s="625">
        <v>0</v>
      </c>
      <c r="X10" s="625">
        <v>0</v>
      </c>
      <c r="Y10" s="625">
        <v>0</v>
      </c>
      <c r="Z10" s="625">
        <v>0</v>
      </c>
      <c r="AA10" s="624">
        <v>0</v>
      </c>
      <c r="AB10" s="624">
        <v>0</v>
      </c>
      <c r="AC10" s="624">
        <v>0</v>
      </c>
      <c r="AD10" s="624">
        <v>0</v>
      </c>
      <c r="AE10" s="624">
        <v>0</v>
      </c>
      <c r="AF10" s="624">
        <v>0</v>
      </c>
      <c r="AG10" s="624">
        <v>0</v>
      </c>
      <c r="AH10" s="624">
        <v>0</v>
      </c>
      <c r="AI10" s="624">
        <v>0</v>
      </c>
      <c r="AJ10" s="833">
        <f>AJ9+1</f>
        <v>37020</v>
      </c>
    </row>
    <row r="11" spans="1:89" s="1" customFormat="1" ht="13.2">
      <c r="A11" s="833">
        <f>A10+1</f>
        <v>37021</v>
      </c>
      <c r="B11" s="921">
        <v>0</v>
      </c>
      <c r="C11" s="922">
        <v>0</v>
      </c>
      <c r="D11" s="625">
        <v>0</v>
      </c>
      <c r="E11" s="625">
        <v>0</v>
      </c>
      <c r="F11" s="921">
        <v>0</v>
      </c>
      <c r="G11" s="921">
        <v>0</v>
      </c>
      <c r="H11" s="923">
        <v>0</v>
      </c>
      <c r="I11" s="624">
        <v>0</v>
      </c>
      <c r="J11" s="624">
        <v>0</v>
      </c>
      <c r="K11" s="625">
        <v>0</v>
      </c>
      <c r="L11" s="624">
        <v>0</v>
      </c>
      <c r="M11" s="625">
        <v>0</v>
      </c>
      <c r="N11" s="625">
        <v>0</v>
      </c>
      <c r="O11" s="626">
        <v>0</v>
      </c>
      <c r="P11" s="625">
        <v>150000</v>
      </c>
      <c r="Q11" s="627">
        <f t="shared" si="0"/>
        <v>2250</v>
      </c>
      <c r="R11" s="625">
        <v>630</v>
      </c>
      <c r="S11" s="625">
        <v>0</v>
      </c>
      <c r="T11" s="625">
        <v>0</v>
      </c>
      <c r="U11" s="624">
        <v>40200</v>
      </c>
      <c r="V11" s="625">
        <v>0</v>
      </c>
      <c r="W11" s="625">
        <v>0</v>
      </c>
      <c r="X11" s="625">
        <v>0</v>
      </c>
      <c r="Y11" s="625">
        <v>0</v>
      </c>
      <c r="Z11" s="625">
        <v>0</v>
      </c>
      <c r="AA11" s="624">
        <v>0</v>
      </c>
      <c r="AB11" s="624">
        <v>0</v>
      </c>
      <c r="AC11" s="624">
        <v>0</v>
      </c>
      <c r="AD11" s="624">
        <v>0</v>
      </c>
      <c r="AE11" s="624">
        <v>0</v>
      </c>
      <c r="AF11" s="624">
        <v>0</v>
      </c>
      <c r="AG11" s="624">
        <v>0</v>
      </c>
      <c r="AH11" s="624">
        <v>0</v>
      </c>
      <c r="AI11" s="624">
        <v>0</v>
      </c>
      <c r="AJ11" s="833">
        <f>AJ10+1</f>
        <v>37021</v>
      </c>
    </row>
    <row r="12" spans="1:89" s="1" customFormat="1" ht="13.2">
      <c r="A12" s="833">
        <f>A11+1</f>
        <v>37022</v>
      </c>
      <c r="B12" s="921">
        <v>0</v>
      </c>
      <c r="C12" s="922">
        <v>0</v>
      </c>
      <c r="D12" s="625">
        <v>0</v>
      </c>
      <c r="E12" s="625">
        <v>0</v>
      </c>
      <c r="F12" s="921">
        <v>0</v>
      </c>
      <c r="G12" s="921">
        <v>0</v>
      </c>
      <c r="H12" s="923">
        <v>0</v>
      </c>
      <c r="I12" s="624">
        <v>0</v>
      </c>
      <c r="J12" s="624">
        <v>0</v>
      </c>
      <c r="K12" s="625">
        <v>0</v>
      </c>
      <c r="L12" s="624">
        <v>0</v>
      </c>
      <c r="M12" s="625">
        <v>0</v>
      </c>
      <c r="N12" s="625">
        <v>0</v>
      </c>
      <c r="O12" s="626">
        <v>0</v>
      </c>
      <c r="P12" s="625">
        <v>150000</v>
      </c>
      <c r="Q12" s="627">
        <f t="shared" si="0"/>
        <v>2250</v>
      </c>
      <c r="R12" s="625">
        <v>630</v>
      </c>
      <c r="S12" s="625">
        <v>0</v>
      </c>
      <c r="T12" s="625">
        <v>0</v>
      </c>
      <c r="U12" s="624">
        <v>40200</v>
      </c>
      <c r="V12" s="625">
        <v>0</v>
      </c>
      <c r="W12" s="625">
        <v>0</v>
      </c>
      <c r="X12" s="625">
        <v>0</v>
      </c>
      <c r="Y12" s="625">
        <v>0</v>
      </c>
      <c r="Z12" s="625">
        <v>0</v>
      </c>
      <c r="AA12" s="624">
        <v>0</v>
      </c>
      <c r="AB12" s="624">
        <v>0</v>
      </c>
      <c r="AC12" s="624">
        <v>0</v>
      </c>
      <c r="AD12" s="624">
        <v>0</v>
      </c>
      <c r="AE12" s="624">
        <v>0</v>
      </c>
      <c r="AF12" s="624">
        <v>0</v>
      </c>
      <c r="AG12" s="624">
        <v>0</v>
      </c>
      <c r="AH12" s="624">
        <v>0</v>
      </c>
      <c r="AI12" s="624">
        <v>0</v>
      </c>
      <c r="AJ12" s="833">
        <f>AJ11+1</f>
        <v>37022</v>
      </c>
    </row>
    <row r="13" spans="1:89">
      <c r="A13" s="1"/>
      <c r="B13" s="1"/>
      <c r="C13" s="1"/>
      <c r="D13" s="1" t="s">
        <v>11</v>
      </c>
      <c r="E13" s="1"/>
      <c r="F13" s="1"/>
      <c r="G13" s="1"/>
      <c r="H13" s="1"/>
      <c r="I13" s="1"/>
      <c r="J13" s="11"/>
      <c r="K13" s="11"/>
      <c r="L13" s="624"/>
      <c r="M13" s="1"/>
      <c r="N13" s="625" t="s">
        <v>11</v>
      </c>
      <c r="O13" s="1"/>
      <c r="P13" s="1"/>
      <c r="Q13" s="1"/>
      <c r="R13" s="1"/>
      <c r="S13" s="1"/>
      <c r="T13" s="1"/>
      <c r="U13" s="624" t="s">
        <v>11</v>
      </c>
      <c r="V13" s="1"/>
      <c r="W13" s="1"/>
      <c r="X13" s="1"/>
      <c r="Y13" s="1"/>
      <c r="Z13" s="1" t="s">
        <v>11</v>
      </c>
      <c r="AA13" s="1"/>
      <c r="AB13" s="624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</row>
    <row r="14" spans="1:89">
      <c r="A14" s="1"/>
      <c r="B14" s="1"/>
      <c r="C14" s="1"/>
      <c r="D14" s="1" t="s">
        <v>695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625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</row>
    <row r="15" spans="1:89">
      <c r="A15" s="1"/>
      <c r="B15" s="1"/>
      <c r="C15" s="1"/>
      <c r="D15" s="1"/>
      <c r="E15" s="1"/>
      <c r="F15" s="1"/>
      <c r="G15" s="1"/>
      <c r="H15" s="1"/>
      <c r="I15" s="1"/>
      <c r="J15" s="11" t="s">
        <v>11</v>
      </c>
      <c r="K15" s="11"/>
      <c r="L15" s="1"/>
      <c r="M15" s="1"/>
      <c r="N15" s="1"/>
      <c r="O15" s="1"/>
      <c r="P15" s="1"/>
      <c r="Q15" s="1"/>
      <c r="R15" s="1"/>
      <c r="S15" s="1"/>
      <c r="T15" s="625"/>
      <c r="U15" s="70"/>
      <c r="V15" s="60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</row>
    <row r="16" spans="1:89">
      <c r="A16" s="1"/>
      <c r="B16" s="1"/>
      <c r="C16" s="1"/>
      <c r="D16" s="1"/>
      <c r="E16" s="1"/>
      <c r="F16" s="1"/>
      <c r="G16" s="1"/>
      <c r="H16" s="1"/>
      <c r="I16" s="1" t="s">
        <v>11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625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</row>
    <row r="17" spans="20:20">
      <c r="T17" s="625"/>
    </row>
  </sheetData>
  <customSheetViews>
    <customSheetView guid="{66C35B70-1DF5-11D4-B46C-0004ACEC7D4A}" scale="75" showRuler="0">
      <selection activeCell="A7" sqref="A7"/>
      <pageMargins left="0.75" right="0.75" top="1" bottom="1" header="0.5" footer="0.5"/>
      <printOptions gridLines="1"/>
      <pageSetup scale="200" orientation="landscape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scale="200" orientation="landscape" horizontalDpi="4294967292" r:id="rId2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K25"/>
  <sheetViews>
    <sheetView zoomScale="75" workbookViewId="0"/>
  </sheetViews>
  <sheetFormatPr defaultColWidth="8.81640625" defaultRowHeight="13.2"/>
  <cols>
    <col min="1" max="16" width="8.81640625" style="1" customWidth="1"/>
    <col min="17" max="17" width="9.54296875" style="1" customWidth="1"/>
    <col min="18" max="23" width="8.81640625" style="1" customWidth="1"/>
    <col min="24" max="24" width="10.54296875" style="1" customWidth="1"/>
    <col min="25" max="16384" width="8.81640625" style="1"/>
  </cols>
  <sheetData>
    <row r="1" spans="1:37">
      <c r="A1" s="418"/>
      <c r="B1" s="10"/>
      <c r="C1" s="10"/>
      <c r="D1" s="10"/>
      <c r="E1" s="10"/>
      <c r="F1" s="10"/>
      <c r="G1" s="10"/>
      <c r="H1" s="10"/>
      <c r="I1" s="10"/>
      <c r="J1" s="10"/>
      <c r="X1" s="1" t="s">
        <v>11</v>
      </c>
    </row>
    <row r="2" spans="1:37">
      <c r="U2" s="60"/>
    </row>
    <row r="3" spans="1:37">
      <c r="C3" s="73" t="s">
        <v>105</v>
      </c>
      <c r="D3" s="72"/>
      <c r="E3" s="72"/>
      <c r="F3" s="72"/>
      <c r="G3" s="75"/>
      <c r="H3" s="52" t="s">
        <v>106</v>
      </c>
      <c r="I3" s="53"/>
      <c r="J3" s="58"/>
      <c r="K3" s="58"/>
      <c r="L3" s="55"/>
      <c r="M3" s="52" t="s">
        <v>108</v>
      </c>
      <c r="N3" s="53"/>
      <c r="O3" s="53"/>
      <c r="P3" s="53"/>
      <c r="Q3" s="53"/>
      <c r="R3" s="53"/>
      <c r="S3" s="58"/>
      <c r="T3" s="58"/>
      <c r="U3" s="786"/>
      <c r="V3" s="451"/>
      <c r="W3" s="451"/>
      <c r="X3" s="53"/>
      <c r="Y3" s="58"/>
      <c r="Z3" s="78" t="s">
        <v>109</v>
      </c>
      <c r="AA3" s="53"/>
      <c r="AB3" s="53"/>
      <c r="AC3" s="53"/>
      <c r="AD3" s="53"/>
      <c r="AE3" s="65"/>
    </row>
    <row r="4" spans="1:37">
      <c r="C4" s="74"/>
      <c r="G4" s="64"/>
      <c r="K4" s="64"/>
      <c r="L4" s="58"/>
      <c r="M4" s="55"/>
      <c r="S4" s="64"/>
      <c r="T4" s="805" t="s">
        <v>635</v>
      </c>
      <c r="V4" s="3" t="s">
        <v>767</v>
      </c>
      <c r="Y4" s="64"/>
      <c r="Z4" s="60"/>
      <c r="AE4" s="64"/>
    </row>
    <row r="5" spans="1:37">
      <c r="B5" s="3" t="s">
        <v>40</v>
      </c>
      <c r="C5" s="56"/>
      <c r="D5" s="3"/>
      <c r="E5" s="3"/>
      <c r="F5" s="3"/>
      <c r="G5" s="67"/>
      <c r="H5" s="3"/>
      <c r="I5" s="3"/>
      <c r="J5" s="3"/>
      <c r="K5" s="67" t="s">
        <v>54</v>
      </c>
      <c r="L5" s="59" t="s">
        <v>38</v>
      </c>
      <c r="M5" s="56" t="s">
        <v>55</v>
      </c>
      <c r="N5" s="56" t="s">
        <v>11</v>
      </c>
      <c r="O5" s="3" t="s">
        <v>11</v>
      </c>
      <c r="P5" s="3" t="s">
        <v>11</v>
      </c>
      <c r="Q5" s="3" t="s">
        <v>7</v>
      </c>
      <c r="R5" s="109" t="s">
        <v>68</v>
      </c>
      <c r="S5" s="67" t="s">
        <v>11</v>
      </c>
      <c r="T5" s="805" t="s">
        <v>400</v>
      </c>
      <c r="U5" s="109" t="s">
        <v>722</v>
      </c>
      <c r="V5" s="3" t="s">
        <v>765</v>
      </c>
      <c r="W5" s="3"/>
      <c r="X5" s="59" t="s">
        <v>745</v>
      </c>
      <c r="Y5" s="64"/>
      <c r="Z5" s="3"/>
      <c r="AA5" s="3"/>
      <c r="AB5" s="3"/>
      <c r="AE5" s="67" t="s">
        <v>493</v>
      </c>
    </row>
    <row r="6" spans="1:37">
      <c r="B6" s="54" t="s">
        <v>110</v>
      </c>
      <c r="C6" s="57" t="s">
        <v>68</v>
      </c>
      <c r="D6" s="54" t="s">
        <v>93</v>
      </c>
      <c r="E6" s="54" t="s">
        <v>416</v>
      </c>
      <c r="F6" s="54" t="s">
        <v>400</v>
      </c>
      <c r="G6" s="69" t="s">
        <v>96</v>
      </c>
      <c r="H6" s="54" t="s">
        <v>94</v>
      </c>
      <c r="I6" s="54" t="s">
        <v>74</v>
      </c>
      <c r="J6" s="54" t="s">
        <v>61</v>
      </c>
      <c r="K6" s="69" t="s">
        <v>75</v>
      </c>
      <c r="L6" s="54" t="s">
        <v>696</v>
      </c>
      <c r="M6" s="57" t="s">
        <v>60</v>
      </c>
      <c r="N6" s="54" t="s">
        <v>11</v>
      </c>
      <c r="O6" s="54" t="s">
        <v>11</v>
      </c>
      <c r="P6" s="54" t="s">
        <v>11</v>
      </c>
      <c r="Q6" s="1138" t="s">
        <v>6</v>
      </c>
      <c r="R6" s="1076" t="s">
        <v>90</v>
      </c>
      <c r="S6" s="69" t="s">
        <v>11</v>
      </c>
      <c r="T6" s="806" t="s">
        <v>416</v>
      </c>
      <c r="U6" s="1076" t="s">
        <v>723</v>
      </c>
      <c r="V6" s="54" t="s">
        <v>766</v>
      </c>
      <c r="W6" s="54" t="s">
        <v>11</v>
      </c>
      <c r="X6" s="1126" t="s">
        <v>752</v>
      </c>
      <c r="Y6" s="69" t="s">
        <v>745</v>
      </c>
      <c r="Z6" s="54" t="s">
        <v>68</v>
      </c>
      <c r="AA6" s="54" t="s">
        <v>93</v>
      </c>
      <c r="AB6" s="54" t="s">
        <v>416</v>
      </c>
      <c r="AC6" s="54" t="s">
        <v>38</v>
      </c>
      <c r="AD6" s="54" t="s">
        <v>96</v>
      </c>
      <c r="AE6" s="69" t="s">
        <v>492</v>
      </c>
    </row>
    <row r="7" spans="1:37">
      <c r="A7" s="833">
        <f>Weather_Input!A5</f>
        <v>37017</v>
      </c>
      <c r="B7" s="627">
        <v>0</v>
      </c>
      <c r="C7" s="628">
        <v>0</v>
      </c>
      <c r="D7" s="627">
        <v>0</v>
      </c>
      <c r="E7" s="627">
        <v>2800</v>
      </c>
      <c r="F7" s="627">
        <v>0</v>
      </c>
      <c r="G7" s="921">
        <v>0</v>
      </c>
      <c r="H7" s="625">
        <v>1000</v>
      </c>
      <c r="I7" s="625">
        <v>15000</v>
      </c>
      <c r="J7" s="625">
        <v>0</v>
      </c>
      <c r="K7" s="924">
        <v>0</v>
      </c>
      <c r="L7" s="626">
        <v>0</v>
      </c>
      <c r="M7" s="925">
        <v>0</v>
      </c>
      <c r="N7" s="625">
        <v>0</v>
      </c>
      <c r="O7" s="625">
        <v>0</v>
      </c>
      <c r="P7" s="625">
        <v>0</v>
      </c>
      <c r="Q7" s="625">
        <v>0</v>
      </c>
      <c r="R7" s="625">
        <v>0</v>
      </c>
      <c r="S7" s="924">
        <v>0</v>
      </c>
      <c r="T7" s="926">
        <v>20000</v>
      </c>
      <c r="U7" s="625">
        <v>0</v>
      </c>
      <c r="V7" s="626">
        <v>177744</v>
      </c>
      <c r="W7" s="626">
        <v>0</v>
      </c>
      <c r="X7" s="624">
        <v>0</v>
      </c>
      <c r="Y7" s="924">
        <v>172515</v>
      </c>
      <c r="Z7" s="626">
        <v>40200</v>
      </c>
      <c r="AA7" s="1">
        <v>0</v>
      </c>
      <c r="AB7" s="624">
        <v>183855</v>
      </c>
      <c r="AC7" s="624">
        <v>60064</v>
      </c>
      <c r="AD7" s="624">
        <v>0</v>
      </c>
      <c r="AE7" s="924">
        <v>0</v>
      </c>
      <c r="AF7" s="51">
        <f>Weather_Input!A5</f>
        <v>37017</v>
      </c>
      <c r="AI7" s="624"/>
      <c r="AJ7" s="624"/>
      <c r="AK7" s="624"/>
    </row>
    <row r="8" spans="1:37">
      <c r="A8" s="833">
        <f>A7+1</f>
        <v>37018</v>
      </c>
      <c r="B8" s="627">
        <v>0</v>
      </c>
      <c r="C8" s="628">
        <v>0</v>
      </c>
      <c r="D8" s="627">
        <v>0</v>
      </c>
      <c r="E8" s="627">
        <v>0</v>
      </c>
      <c r="F8" s="627">
        <v>0</v>
      </c>
      <c r="G8" s="921">
        <v>0</v>
      </c>
      <c r="H8" s="625">
        <v>1000</v>
      </c>
      <c r="I8" s="625">
        <v>15000</v>
      </c>
      <c r="J8" s="625">
        <v>0</v>
      </c>
      <c r="K8" s="924">
        <v>0</v>
      </c>
      <c r="L8" s="626">
        <v>0</v>
      </c>
      <c r="M8" s="925">
        <v>0</v>
      </c>
      <c r="N8" s="625">
        <v>0</v>
      </c>
      <c r="O8" s="625">
        <v>0</v>
      </c>
      <c r="P8" s="625">
        <v>0</v>
      </c>
      <c r="Q8" s="625">
        <v>0</v>
      </c>
      <c r="R8" s="625">
        <v>0</v>
      </c>
      <c r="S8" s="924">
        <v>0</v>
      </c>
      <c r="T8" s="926">
        <v>23644</v>
      </c>
      <c r="U8" s="625">
        <v>0</v>
      </c>
      <c r="V8" s="626">
        <v>177744</v>
      </c>
      <c r="W8" s="626">
        <v>0</v>
      </c>
      <c r="X8" s="624">
        <v>0</v>
      </c>
      <c r="Y8" s="924">
        <v>172515</v>
      </c>
      <c r="Z8" s="626">
        <v>40200</v>
      </c>
      <c r="AA8" s="1">
        <v>0</v>
      </c>
      <c r="AB8" s="624">
        <v>183855</v>
      </c>
      <c r="AC8" s="624">
        <v>60064</v>
      </c>
      <c r="AD8" s="624">
        <v>0</v>
      </c>
      <c r="AE8" s="924">
        <v>0</v>
      </c>
      <c r="AF8" s="833">
        <f>AF7+1</f>
        <v>37018</v>
      </c>
      <c r="AI8" s="624"/>
      <c r="AJ8" s="624"/>
      <c r="AK8" s="624"/>
    </row>
    <row r="9" spans="1:37" s="624" customFormat="1">
      <c r="A9" s="833">
        <f>A8+1</f>
        <v>37019</v>
      </c>
      <c r="B9" s="627">
        <v>0</v>
      </c>
      <c r="C9" s="628">
        <v>0</v>
      </c>
      <c r="D9" s="627">
        <v>0</v>
      </c>
      <c r="E9" s="627">
        <v>0</v>
      </c>
      <c r="F9" s="627">
        <v>0</v>
      </c>
      <c r="G9" s="921">
        <v>0</v>
      </c>
      <c r="H9" s="625">
        <v>1000</v>
      </c>
      <c r="I9" s="625">
        <v>15000</v>
      </c>
      <c r="J9" s="625">
        <v>0</v>
      </c>
      <c r="K9" s="924">
        <v>0</v>
      </c>
      <c r="L9" s="626">
        <v>0</v>
      </c>
      <c r="M9" s="925">
        <v>0</v>
      </c>
      <c r="N9" s="625">
        <v>0</v>
      </c>
      <c r="O9" s="625">
        <v>0</v>
      </c>
      <c r="P9" s="625">
        <v>0</v>
      </c>
      <c r="Q9" s="625">
        <v>0</v>
      </c>
      <c r="R9" s="625">
        <v>0</v>
      </c>
      <c r="S9" s="924">
        <v>0</v>
      </c>
      <c r="T9" s="926">
        <v>0</v>
      </c>
      <c r="U9" s="625">
        <v>0</v>
      </c>
      <c r="V9" s="626">
        <v>177744</v>
      </c>
      <c r="W9" s="626">
        <v>0</v>
      </c>
      <c r="X9" s="624">
        <v>0</v>
      </c>
      <c r="Y9" s="924">
        <v>172515</v>
      </c>
      <c r="Z9" s="626">
        <v>40200</v>
      </c>
      <c r="AA9" s="1">
        <v>0</v>
      </c>
      <c r="AB9" s="624">
        <v>183855</v>
      </c>
      <c r="AC9" s="624">
        <v>116064</v>
      </c>
      <c r="AD9" s="624">
        <v>0</v>
      </c>
      <c r="AE9" s="924">
        <v>0</v>
      </c>
      <c r="AF9" s="833">
        <f>AF8+1</f>
        <v>37019</v>
      </c>
    </row>
    <row r="10" spans="1:37">
      <c r="A10" s="833">
        <f>A9+1</f>
        <v>37020</v>
      </c>
      <c r="B10" s="627">
        <v>0</v>
      </c>
      <c r="C10" s="628">
        <v>0</v>
      </c>
      <c r="D10" s="627">
        <v>0</v>
      </c>
      <c r="E10" s="627">
        <v>0</v>
      </c>
      <c r="F10" s="627">
        <v>0</v>
      </c>
      <c r="G10" s="921">
        <v>0</v>
      </c>
      <c r="H10" s="625">
        <v>1000</v>
      </c>
      <c r="I10" s="625">
        <v>15000</v>
      </c>
      <c r="J10" s="625">
        <v>0</v>
      </c>
      <c r="K10" s="924">
        <v>0</v>
      </c>
      <c r="L10" s="626">
        <v>0</v>
      </c>
      <c r="M10" s="925">
        <v>0</v>
      </c>
      <c r="N10" s="625">
        <v>0</v>
      </c>
      <c r="O10" s="625">
        <v>0</v>
      </c>
      <c r="P10" s="625">
        <v>0</v>
      </c>
      <c r="Q10" s="625">
        <v>0</v>
      </c>
      <c r="R10" s="625">
        <v>0</v>
      </c>
      <c r="S10" s="924">
        <v>0</v>
      </c>
      <c r="T10" s="926">
        <v>0</v>
      </c>
      <c r="U10" s="625">
        <v>0</v>
      </c>
      <c r="V10" s="626">
        <v>177744</v>
      </c>
      <c r="W10" s="626">
        <v>0</v>
      </c>
      <c r="X10" s="624">
        <v>0</v>
      </c>
      <c r="Y10" s="924">
        <v>172515</v>
      </c>
      <c r="Z10" s="626">
        <v>40200</v>
      </c>
      <c r="AA10" s="1">
        <v>0</v>
      </c>
      <c r="AB10" s="624">
        <v>183855</v>
      </c>
      <c r="AC10" s="624">
        <v>116064</v>
      </c>
      <c r="AD10" s="624">
        <v>0</v>
      </c>
      <c r="AE10" s="924">
        <v>0</v>
      </c>
      <c r="AF10" s="833">
        <f>AF9+1</f>
        <v>37020</v>
      </c>
      <c r="AI10" s="624"/>
      <c r="AJ10" s="624"/>
      <c r="AK10" s="624"/>
    </row>
    <row r="11" spans="1:37">
      <c r="A11" s="833">
        <f>A10+1</f>
        <v>37021</v>
      </c>
      <c r="B11" s="627">
        <v>0</v>
      </c>
      <c r="C11" s="628">
        <v>0</v>
      </c>
      <c r="D11" s="627">
        <v>0</v>
      </c>
      <c r="E11" s="627">
        <v>0</v>
      </c>
      <c r="F11" s="627">
        <v>0</v>
      </c>
      <c r="G11" s="921">
        <v>0</v>
      </c>
      <c r="H11" s="625">
        <v>1000</v>
      </c>
      <c r="I11" s="625">
        <v>15000</v>
      </c>
      <c r="J11" s="625">
        <v>0</v>
      </c>
      <c r="K11" s="924">
        <v>0</v>
      </c>
      <c r="L11" s="626">
        <v>0</v>
      </c>
      <c r="M11" s="925">
        <v>0</v>
      </c>
      <c r="N11" s="625">
        <v>0</v>
      </c>
      <c r="O11" s="625">
        <v>0</v>
      </c>
      <c r="P11" s="625">
        <v>0</v>
      </c>
      <c r="Q11" s="625">
        <v>0</v>
      </c>
      <c r="R11" s="625">
        <v>0</v>
      </c>
      <c r="S11" s="924">
        <v>0</v>
      </c>
      <c r="T11" s="926">
        <v>0</v>
      </c>
      <c r="U11" s="625">
        <v>0</v>
      </c>
      <c r="V11" s="626">
        <v>177744</v>
      </c>
      <c r="W11" s="626">
        <v>0</v>
      </c>
      <c r="X11" s="624">
        <v>0</v>
      </c>
      <c r="Y11" s="924">
        <v>172515</v>
      </c>
      <c r="Z11" s="626">
        <v>40200</v>
      </c>
      <c r="AA11" s="1">
        <v>0</v>
      </c>
      <c r="AB11" s="624">
        <v>183855</v>
      </c>
      <c r="AC11" s="624">
        <v>116064</v>
      </c>
      <c r="AD11" s="624">
        <v>0</v>
      </c>
      <c r="AE11" s="924">
        <v>0</v>
      </c>
      <c r="AF11" s="833">
        <f>AF10+1</f>
        <v>37021</v>
      </c>
    </row>
    <row r="12" spans="1:37">
      <c r="A12" s="833">
        <f>A11+1</f>
        <v>37022</v>
      </c>
      <c r="B12" s="627">
        <v>0</v>
      </c>
      <c r="C12" s="628">
        <v>0</v>
      </c>
      <c r="D12" s="627">
        <v>0</v>
      </c>
      <c r="E12" s="627">
        <v>0</v>
      </c>
      <c r="F12" s="627">
        <v>0</v>
      </c>
      <c r="G12" s="921">
        <v>0</v>
      </c>
      <c r="H12" s="625">
        <v>1000</v>
      </c>
      <c r="I12" s="625">
        <v>15000</v>
      </c>
      <c r="J12" s="625">
        <v>0</v>
      </c>
      <c r="K12" s="924">
        <v>0</v>
      </c>
      <c r="L12" s="626">
        <v>0</v>
      </c>
      <c r="M12" s="925">
        <v>0</v>
      </c>
      <c r="N12" s="625">
        <v>0</v>
      </c>
      <c r="O12" s="625">
        <v>0</v>
      </c>
      <c r="P12" s="625">
        <v>0</v>
      </c>
      <c r="Q12" s="625">
        <v>0</v>
      </c>
      <c r="R12" s="625">
        <v>0</v>
      </c>
      <c r="S12" s="924">
        <v>0</v>
      </c>
      <c r="T12" s="926">
        <v>0</v>
      </c>
      <c r="U12" s="625">
        <v>0</v>
      </c>
      <c r="V12" s="626">
        <v>177744</v>
      </c>
      <c r="W12" s="626">
        <v>0</v>
      </c>
      <c r="X12" s="624">
        <v>0</v>
      </c>
      <c r="Y12" s="924">
        <v>172515</v>
      </c>
      <c r="Z12" s="626">
        <v>40200</v>
      </c>
      <c r="AA12" s="1">
        <v>0</v>
      </c>
      <c r="AB12" s="624">
        <v>183855</v>
      </c>
      <c r="AC12" s="624">
        <v>116064</v>
      </c>
      <c r="AD12" s="624">
        <v>0</v>
      </c>
      <c r="AE12" s="924">
        <v>0</v>
      </c>
      <c r="AF12" s="833">
        <f>AF11+1</f>
        <v>37022</v>
      </c>
    </row>
    <row r="13" spans="1:37">
      <c r="G13" s="1" t="s">
        <v>11</v>
      </c>
      <c r="I13" s="11"/>
      <c r="P13" s="1" t="s">
        <v>11</v>
      </c>
      <c r="T13" s="926"/>
      <c r="U13" s="1" t="s">
        <v>11</v>
      </c>
      <c r="V13" s="11" t="s">
        <v>11</v>
      </c>
      <c r="W13" s="626" t="s">
        <v>11</v>
      </c>
      <c r="X13" s="624"/>
      <c r="Z13" s="60"/>
      <c r="AB13" s="624"/>
      <c r="AD13" s="624"/>
    </row>
    <row r="14" spans="1:37">
      <c r="A14" s="1" t="s">
        <v>11</v>
      </c>
      <c r="I14" s="11"/>
      <c r="X14" s="11"/>
      <c r="Z14" s="1" t="s">
        <v>11</v>
      </c>
      <c r="AB14" s="624"/>
    </row>
    <row r="15" spans="1:37">
      <c r="I15" s="11"/>
      <c r="X15" s="11"/>
    </row>
    <row r="17" spans="16:33">
      <c r="P17" s="1" t="s">
        <v>11</v>
      </c>
    </row>
    <row r="18" spans="16:33">
      <c r="AC18" s="1" t="s">
        <v>11</v>
      </c>
    </row>
    <row r="19" spans="16:33">
      <c r="AA19" s="1" t="s">
        <v>11</v>
      </c>
      <c r="AG19" s="624"/>
    </row>
    <row r="20" spans="16:33">
      <c r="Z20" s="70" t="s">
        <v>11</v>
      </c>
      <c r="AG20" s="624"/>
    </row>
    <row r="21" spans="16:33">
      <c r="AG21" s="624"/>
    </row>
    <row r="22" spans="16:33">
      <c r="AG22" s="624"/>
    </row>
    <row r="23" spans="16:33">
      <c r="AG23" s="624"/>
    </row>
    <row r="25" spans="16:33">
      <c r="AB25" s="624" t="s">
        <v>11</v>
      </c>
    </row>
  </sheetData>
  <customSheetViews>
    <customSheetView guid="{66C35B70-1DF5-11D4-B46C-0004ACEC7D4A}" scale="75" showRuler="0">
      <selection activeCell="A7" sqref="A7"/>
      <pageMargins left="0" right="0" top="1" bottom="1" header="0.5" footer="0.5"/>
      <printOptions gridLines="1"/>
      <pageSetup scale="140" orientation="landscape" horizontalDpi="300" verticalDpi="300" r:id="rId1"/>
      <headerFooter alignWithMargins="0">
        <oddHeader>&amp;A</oddHeader>
        <oddFooter>Page &amp;P</oddFooter>
      </headerFooter>
    </customSheetView>
  </customSheetViews>
  <printOptions gridLines="1" gridLinesSet="0"/>
  <pageMargins left="0" right="0" top="1" bottom="1" header="0.5" footer="0.5"/>
  <pageSetup scale="140" orientation="landscape" horizontalDpi="300" verticalDpi="300" r:id="rId2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autoPageBreaks="0"/>
  </sheetPr>
  <dimension ref="A1:DX18"/>
  <sheetViews>
    <sheetView zoomScale="75" workbookViewId="0"/>
  </sheetViews>
  <sheetFormatPr defaultRowHeight="15"/>
  <cols>
    <col min="1" max="11" width="8.6328125" customWidth="1"/>
    <col min="37" max="37" width="7.6328125" customWidth="1"/>
  </cols>
  <sheetData>
    <row r="1" spans="1:128" ht="15.6">
      <c r="A1" s="216" t="s">
        <v>11</v>
      </c>
      <c r="B1" s="5"/>
      <c r="C1" s="5"/>
      <c r="D1" s="5"/>
      <c r="E1" s="5"/>
      <c r="F1" s="5"/>
      <c r="G1" s="5"/>
      <c r="H1" s="5"/>
      <c r="I1" s="5"/>
      <c r="J1" s="5"/>
      <c r="K1" s="5"/>
    </row>
    <row r="2" spans="1:128" s="1" customFormat="1" ht="13.2">
      <c r="A2" s="10"/>
      <c r="B2" s="10"/>
      <c r="C2" s="10"/>
      <c r="D2" s="76"/>
      <c r="E2" s="76"/>
      <c r="F2" s="76"/>
      <c r="G2" s="10"/>
      <c r="H2" s="10"/>
      <c r="I2" s="10"/>
      <c r="J2" s="10"/>
      <c r="K2" s="10"/>
    </row>
    <row r="3" spans="1:128" s="50" customFormat="1" ht="13.2">
      <c r="B3" s="82" t="s">
        <v>115</v>
      </c>
      <c r="C3" s="52" t="s">
        <v>116</v>
      </c>
      <c r="D3" s="53"/>
      <c r="E3" s="53"/>
      <c r="F3" s="53"/>
      <c r="G3" s="63" t="s">
        <v>117</v>
      </c>
      <c r="H3" s="53"/>
      <c r="I3" s="53"/>
      <c r="J3" s="53"/>
      <c r="K3" s="55"/>
      <c r="L3" s="78" t="s">
        <v>72</v>
      </c>
      <c r="M3" s="78"/>
      <c r="N3" s="78"/>
      <c r="O3" s="53"/>
      <c r="P3" s="53"/>
      <c r="Q3" s="53"/>
      <c r="R3" s="53"/>
      <c r="S3" s="63" t="s">
        <v>118</v>
      </c>
      <c r="T3" s="53"/>
      <c r="U3" s="53"/>
      <c r="V3" s="53"/>
      <c r="W3" s="53"/>
      <c r="X3" s="53"/>
      <c r="Y3" s="77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</row>
    <row r="4" spans="1:128" s="1" customFormat="1" ht="13.2">
      <c r="B4" s="82" t="s">
        <v>119</v>
      </c>
      <c r="G4" s="55" t="s">
        <v>120</v>
      </c>
      <c r="H4" s="53"/>
      <c r="I4" s="3" t="s">
        <v>92</v>
      </c>
      <c r="J4" s="3"/>
      <c r="K4" s="117" t="s">
        <v>121</v>
      </c>
      <c r="L4" s="117" t="s">
        <v>121</v>
      </c>
      <c r="M4" s="234" t="s">
        <v>121</v>
      </c>
      <c r="N4" s="59" t="s">
        <v>83</v>
      </c>
      <c r="R4" s="3"/>
      <c r="S4" s="79"/>
      <c r="Z4" s="53"/>
    </row>
    <row r="5" spans="1:128" s="1" customFormat="1" ht="13.2">
      <c r="B5" s="64"/>
      <c r="G5" s="56" t="s">
        <v>111</v>
      </c>
      <c r="H5" s="156" t="s">
        <v>38</v>
      </c>
      <c r="I5" s="80">
        <v>0.05</v>
      </c>
      <c r="J5" s="80" t="s">
        <v>68</v>
      </c>
      <c r="K5" s="59" t="s">
        <v>60</v>
      </c>
      <c r="L5" s="59" t="s">
        <v>60</v>
      </c>
      <c r="M5" s="59" t="s">
        <v>60</v>
      </c>
      <c r="N5" s="59" t="s">
        <v>60</v>
      </c>
      <c r="O5" s="3" t="s">
        <v>68</v>
      </c>
      <c r="P5" s="3" t="s">
        <v>38</v>
      </c>
      <c r="Q5" s="3" t="s">
        <v>38</v>
      </c>
      <c r="R5" s="80" t="s">
        <v>38</v>
      </c>
      <c r="S5" s="55" t="s">
        <v>68</v>
      </c>
      <c r="T5" s="53"/>
      <c r="U5" s="53"/>
      <c r="V5" s="53" t="s">
        <v>11</v>
      </c>
      <c r="W5" s="53" t="s">
        <v>93</v>
      </c>
      <c r="X5" s="53" t="s">
        <v>11</v>
      </c>
      <c r="Z5" s="3" t="s">
        <v>38</v>
      </c>
      <c r="AA5" s="53"/>
      <c r="AB5" s="53" t="s">
        <v>11</v>
      </c>
      <c r="AC5" s="111" t="s">
        <v>522</v>
      </c>
      <c r="AE5" s="53" t="s">
        <v>11</v>
      </c>
    </row>
    <row r="6" spans="1:128" s="1" customFormat="1" ht="13.2">
      <c r="A6" s="68"/>
      <c r="B6" s="69" t="s">
        <v>400</v>
      </c>
      <c r="C6" s="54" t="s">
        <v>38</v>
      </c>
      <c r="D6" s="54" t="s">
        <v>68</v>
      </c>
      <c r="E6" s="54" t="s">
        <v>93</v>
      </c>
      <c r="F6" s="54" t="s">
        <v>416</v>
      </c>
      <c r="G6" s="57" t="s">
        <v>122</v>
      </c>
      <c r="H6" s="54" t="s">
        <v>696</v>
      </c>
      <c r="I6" s="54" t="s">
        <v>100</v>
      </c>
      <c r="J6" s="54" t="s">
        <v>90</v>
      </c>
      <c r="K6" s="54" t="s">
        <v>554</v>
      </c>
      <c r="L6" s="54" t="s">
        <v>123</v>
      </c>
      <c r="M6" s="54" t="s">
        <v>124</v>
      </c>
      <c r="N6" s="54" t="s">
        <v>125</v>
      </c>
      <c r="O6" s="54">
        <v>50</v>
      </c>
      <c r="P6" s="54" t="s">
        <v>102</v>
      </c>
      <c r="Q6" s="54" t="s">
        <v>103</v>
      </c>
      <c r="R6" s="54" t="s">
        <v>104</v>
      </c>
      <c r="S6" s="57" t="s">
        <v>126</v>
      </c>
      <c r="T6" s="54" t="s">
        <v>127</v>
      </c>
      <c r="U6" s="54" t="s">
        <v>128</v>
      </c>
      <c r="V6" s="57" t="s">
        <v>126</v>
      </c>
      <c r="W6" s="54" t="s">
        <v>127</v>
      </c>
      <c r="X6" s="54" t="s">
        <v>128</v>
      </c>
      <c r="Y6" s="57" t="s">
        <v>126</v>
      </c>
      <c r="Z6" s="54" t="s">
        <v>127</v>
      </c>
      <c r="AA6" s="54" t="s">
        <v>128</v>
      </c>
      <c r="AB6" s="57" t="s">
        <v>126</v>
      </c>
      <c r="AC6" s="54" t="s">
        <v>127</v>
      </c>
      <c r="AD6" s="54" t="s">
        <v>128</v>
      </c>
      <c r="AE6" s="83" t="s">
        <v>521</v>
      </c>
    </row>
    <row r="7" spans="1:128" s="1" customFormat="1" ht="13.2">
      <c r="A7" s="834">
        <f>Weather_Input!A5</f>
        <v>37017</v>
      </c>
      <c r="B7" s="921">
        <v>0</v>
      </c>
      <c r="C7" s="625">
        <v>0</v>
      </c>
      <c r="D7" s="625">
        <v>0</v>
      </c>
      <c r="E7" s="625">
        <v>0</v>
      </c>
      <c r="F7" s="625">
        <v>0</v>
      </c>
      <c r="G7" s="925">
        <v>0</v>
      </c>
      <c r="H7" s="625">
        <v>0</v>
      </c>
      <c r="I7" s="922">
        <v>7197</v>
      </c>
      <c r="J7" s="922">
        <v>20000</v>
      </c>
      <c r="K7" s="628">
        <v>0</v>
      </c>
      <c r="L7" s="927">
        <v>0</v>
      </c>
      <c r="M7" s="927">
        <v>0</v>
      </c>
      <c r="N7" s="927">
        <v>0</v>
      </c>
      <c r="O7" s="927">
        <v>0</v>
      </c>
      <c r="P7" s="625">
        <v>0</v>
      </c>
      <c r="Q7" s="927">
        <v>0</v>
      </c>
      <c r="R7" s="625">
        <v>0</v>
      </c>
      <c r="S7" s="835">
        <v>0</v>
      </c>
      <c r="T7" s="625">
        <v>0</v>
      </c>
      <c r="U7" s="625">
        <v>0</v>
      </c>
      <c r="V7" s="835">
        <v>0</v>
      </c>
      <c r="W7" s="625">
        <v>0</v>
      </c>
      <c r="X7" s="625">
        <v>0</v>
      </c>
      <c r="Y7" s="835">
        <v>0</v>
      </c>
      <c r="Z7" s="625">
        <v>0</v>
      </c>
      <c r="AA7" s="625">
        <v>0</v>
      </c>
      <c r="AB7" s="925">
        <v>0</v>
      </c>
      <c r="AC7" s="625">
        <v>0</v>
      </c>
      <c r="AD7" s="625">
        <v>0</v>
      </c>
      <c r="AE7" s="625">
        <v>0</v>
      </c>
      <c r="AF7" s="833">
        <f>Weather_Input!A5</f>
        <v>37017</v>
      </c>
      <c r="AG7" s="624"/>
      <c r="AH7" s="624"/>
      <c r="AI7" s="624"/>
      <c r="AJ7" s="624"/>
      <c r="AK7" s="624"/>
    </row>
    <row r="8" spans="1:128" s="1" customFormat="1" ht="13.2">
      <c r="A8" s="834">
        <f>Weather_Input!A6</f>
        <v>37018</v>
      </c>
      <c r="B8" s="921">
        <v>0</v>
      </c>
      <c r="C8" s="625">
        <v>0</v>
      </c>
      <c r="D8" s="625">
        <v>0</v>
      </c>
      <c r="E8" s="625">
        <v>0</v>
      </c>
      <c r="F8" s="625">
        <v>0</v>
      </c>
      <c r="G8" s="925">
        <v>0</v>
      </c>
      <c r="H8" s="625">
        <v>0</v>
      </c>
      <c r="I8" s="922">
        <v>7197</v>
      </c>
      <c r="J8" s="922">
        <v>20000</v>
      </c>
      <c r="K8" s="628">
        <v>0</v>
      </c>
      <c r="L8" s="927">
        <v>0</v>
      </c>
      <c r="M8" s="927">
        <v>0</v>
      </c>
      <c r="N8" s="927">
        <v>0</v>
      </c>
      <c r="O8" s="927">
        <v>0</v>
      </c>
      <c r="P8" s="625">
        <v>0</v>
      </c>
      <c r="Q8" s="927">
        <v>0</v>
      </c>
      <c r="R8" s="625">
        <v>0</v>
      </c>
      <c r="S8" s="835">
        <v>0</v>
      </c>
      <c r="T8" s="625">
        <v>0</v>
      </c>
      <c r="U8" s="625">
        <v>0</v>
      </c>
      <c r="V8" s="835">
        <v>0</v>
      </c>
      <c r="W8" s="625">
        <v>0</v>
      </c>
      <c r="X8" s="625">
        <v>0</v>
      </c>
      <c r="Y8" s="835">
        <v>0</v>
      </c>
      <c r="Z8" s="625">
        <v>0</v>
      </c>
      <c r="AA8" s="625">
        <v>0</v>
      </c>
      <c r="AB8" s="925">
        <v>0</v>
      </c>
      <c r="AC8" s="625">
        <v>0</v>
      </c>
      <c r="AD8" s="625">
        <v>0</v>
      </c>
      <c r="AE8" s="625">
        <v>0</v>
      </c>
      <c r="AF8" s="834">
        <f>AF7+1</f>
        <v>37018</v>
      </c>
      <c r="AG8" s="624"/>
      <c r="AH8" s="624"/>
      <c r="AI8" s="624"/>
      <c r="AJ8" s="624"/>
      <c r="AK8" s="624"/>
    </row>
    <row r="9" spans="1:128" s="1" customFormat="1" ht="13.2">
      <c r="A9" s="833">
        <f>A8+1</f>
        <v>37019</v>
      </c>
      <c r="B9" s="921">
        <v>0</v>
      </c>
      <c r="C9" s="625">
        <v>0</v>
      </c>
      <c r="D9" s="625">
        <v>0</v>
      </c>
      <c r="E9" s="625">
        <v>0</v>
      </c>
      <c r="F9" s="625">
        <v>0</v>
      </c>
      <c r="G9" s="925">
        <v>0</v>
      </c>
      <c r="H9" s="625">
        <v>0</v>
      </c>
      <c r="I9" s="922">
        <v>7197</v>
      </c>
      <c r="J9" s="922">
        <v>20000</v>
      </c>
      <c r="K9" s="628">
        <v>0</v>
      </c>
      <c r="L9" s="927">
        <v>0</v>
      </c>
      <c r="M9" s="927">
        <v>0</v>
      </c>
      <c r="N9" s="927">
        <v>0</v>
      </c>
      <c r="O9" s="927">
        <v>0</v>
      </c>
      <c r="P9" s="625">
        <v>0</v>
      </c>
      <c r="Q9" s="927">
        <v>0</v>
      </c>
      <c r="R9" s="625">
        <v>0</v>
      </c>
      <c r="S9" s="835">
        <v>0</v>
      </c>
      <c r="T9" s="625">
        <v>0</v>
      </c>
      <c r="U9" s="625">
        <v>0</v>
      </c>
      <c r="V9" s="835">
        <v>0</v>
      </c>
      <c r="W9" s="625">
        <v>0</v>
      </c>
      <c r="X9" s="625">
        <v>0</v>
      </c>
      <c r="Y9" s="835">
        <v>0</v>
      </c>
      <c r="Z9" s="625">
        <v>0</v>
      </c>
      <c r="AA9" s="625">
        <v>0</v>
      </c>
      <c r="AB9" s="925">
        <v>0</v>
      </c>
      <c r="AC9" s="625">
        <v>0</v>
      </c>
      <c r="AD9" s="625">
        <v>0</v>
      </c>
      <c r="AE9" s="625">
        <v>0</v>
      </c>
      <c r="AF9" s="833">
        <f>AF8+1</f>
        <v>37019</v>
      </c>
      <c r="AG9" s="624"/>
      <c r="AH9" s="624"/>
      <c r="AI9" s="624"/>
      <c r="AJ9" s="624"/>
      <c r="AK9" s="624"/>
    </row>
    <row r="10" spans="1:128" s="1" customFormat="1" ht="13.2">
      <c r="A10" s="833">
        <f>A9+1</f>
        <v>37020</v>
      </c>
      <c r="B10" s="921">
        <v>0</v>
      </c>
      <c r="C10" s="625">
        <v>0</v>
      </c>
      <c r="D10" s="625">
        <v>0</v>
      </c>
      <c r="E10" s="625">
        <v>0</v>
      </c>
      <c r="F10" s="625">
        <v>0</v>
      </c>
      <c r="G10" s="925">
        <v>0</v>
      </c>
      <c r="H10" s="625">
        <v>0</v>
      </c>
      <c r="I10" s="922">
        <v>7197</v>
      </c>
      <c r="J10" s="922">
        <v>20000</v>
      </c>
      <c r="K10" s="628">
        <v>0</v>
      </c>
      <c r="L10" s="927">
        <v>0</v>
      </c>
      <c r="M10" s="927">
        <v>0</v>
      </c>
      <c r="N10" s="927">
        <v>0</v>
      </c>
      <c r="O10" s="927">
        <v>0</v>
      </c>
      <c r="P10" s="625">
        <v>0</v>
      </c>
      <c r="Q10" s="927">
        <v>0</v>
      </c>
      <c r="R10" s="625">
        <v>0</v>
      </c>
      <c r="S10" s="835">
        <v>0</v>
      </c>
      <c r="T10" s="625">
        <v>0</v>
      </c>
      <c r="U10" s="625">
        <v>0</v>
      </c>
      <c r="V10" s="835">
        <v>0</v>
      </c>
      <c r="W10" s="625">
        <v>0</v>
      </c>
      <c r="X10" s="625">
        <v>0</v>
      </c>
      <c r="Y10" s="835">
        <v>0</v>
      </c>
      <c r="Z10" s="625">
        <v>0</v>
      </c>
      <c r="AA10" s="625">
        <v>0</v>
      </c>
      <c r="AB10" s="925">
        <v>0</v>
      </c>
      <c r="AC10" s="625">
        <v>0</v>
      </c>
      <c r="AD10" s="625">
        <v>0</v>
      </c>
      <c r="AE10" s="625">
        <v>0</v>
      </c>
      <c r="AF10" s="833">
        <f>AF9+1</f>
        <v>37020</v>
      </c>
      <c r="AG10" s="624"/>
      <c r="AH10" s="624"/>
      <c r="AI10" s="624"/>
      <c r="AJ10" s="624"/>
      <c r="AK10" s="624"/>
    </row>
    <row r="11" spans="1:128" s="1" customFormat="1" ht="13.2">
      <c r="A11" s="833">
        <f>A10+1</f>
        <v>37021</v>
      </c>
      <c r="B11" s="921">
        <v>0</v>
      </c>
      <c r="C11" s="625">
        <v>0</v>
      </c>
      <c r="D11" s="625">
        <v>0</v>
      </c>
      <c r="E11" s="625">
        <v>0</v>
      </c>
      <c r="F11" s="625">
        <v>0</v>
      </c>
      <c r="G11" s="925">
        <v>0</v>
      </c>
      <c r="H11" s="625">
        <v>0</v>
      </c>
      <c r="I11" s="922">
        <v>7197</v>
      </c>
      <c r="J11" s="922">
        <v>20000</v>
      </c>
      <c r="K11" s="628">
        <v>0</v>
      </c>
      <c r="L11" s="927">
        <v>0</v>
      </c>
      <c r="M11" s="927">
        <v>0</v>
      </c>
      <c r="N11" s="927">
        <v>0</v>
      </c>
      <c r="O11" s="927">
        <v>0</v>
      </c>
      <c r="P11" s="625">
        <v>0</v>
      </c>
      <c r="Q11" s="927">
        <v>0</v>
      </c>
      <c r="R11" s="625">
        <v>0</v>
      </c>
      <c r="S11" s="835">
        <v>0</v>
      </c>
      <c r="T11" s="625">
        <v>0</v>
      </c>
      <c r="U11" s="625">
        <v>0</v>
      </c>
      <c r="V11" s="835">
        <v>0</v>
      </c>
      <c r="W11" s="625">
        <v>0</v>
      </c>
      <c r="X11" s="625">
        <v>0</v>
      </c>
      <c r="Y11" s="835">
        <v>0</v>
      </c>
      <c r="Z11" s="625">
        <v>0</v>
      </c>
      <c r="AA11" s="625">
        <v>0</v>
      </c>
      <c r="AB11" s="925">
        <v>0</v>
      </c>
      <c r="AC11" s="625">
        <v>0</v>
      </c>
      <c r="AD11" s="625">
        <v>0</v>
      </c>
      <c r="AE11" s="625">
        <v>0</v>
      </c>
      <c r="AF11" s="833">
        <f>AF10+1</f>
        <v>37021</v>
      </c>
      <c r="AG11" s="624"/>
      <c r="AH11" s="624"/>
      <c r="AI11" s="624"/>
      <c r="AJ11" s="624"/>
      <c r="AK11" s="624"/>
    </row>
    <row r="12" spans="1:128" s="1" customFormat="1" ht="13.2">
      <c r="A12" s="833">
        <f>A11+1</f>
        <v>37022</v>
      </c>
      <c r="B12" s="921">
        <v>0</v>
      </c>
      <c r="C12" s="625">
        <v>0</v>
      </c>
      <c r="D12" s="625">
        <v>0</v>
      </c>
      <c r="E12" s="625">
        <v>0</v>
      </c>
      <c r="F12" s="625">
        <v>0</v>
      </c>
      <c r="G12" s="925">
        <v>0</v>
      </c>
      <c r="H12" s="625">
        <v>0</v>
      </c>
      <c r="I12" s="922">
        <v>7197</v>
      </c>
      <c r="J12" s="922">
        <v>20000</v>
      </c>
      <c r="K12" s="628">
        <v>0</v>
      </c>
      <c r="L12" s="927">
        <v>0</v>
      </c>
      <c r="M12" s="927">
        <v>0</v>
      </c>
      <c r="N12" s="927">
        <v>0</v>
      </c>
      <c r="O12" s="927">
        <v>0</v>
      </c>
      <c r="P12" s="625">
        <v>0</v>
      </c>
      <c r="Q12" s="927">
        <v>0</v>
      </c>
      <c r="R12" s="625">
        <v>0</v>
      </c>
      <c r="S12" s="835">
        <v>0</v>
      </c>
      <c r="T12" s="625">
        <v>0</v>
      </c>
      <c r="U12" s="625">
        <v>0</v>
      </c>
      <c r="V12" s="835">
        <v>0</v>
      </c>
      <c r="W12" s="625">
        <v>0</v>
      </c>
      <c r="X12" s="625">
        <v>0</v>
      </c>
      <c r="Y12" s="835">
        <v>0</v>
      </c>
      <c r="Z12" s="625">
        <v>0</v>
      </c>
      <c r="AA12" s="625">
        <v>0</v>
      </c>
      <c r="AB12" s="925">
        <v>0</v>
      </c>
      <c r="AC12" s="625">
        <v>0</v>
      </c>
      <c r="AD12" s="625">
        <v>0</v>
      </c>
      <c r="AE12" s="625">
        <v>0</v>
      </c>
      <c r="AF12" s="833">
        <f>AF11+1</f>
        <v>37022</v>
      </c>
      <c r="AG12" s="624"/>
      <c r="AH12" s="624"/>
      <c r="AI12" s="624"/>
      <c r="AJ12" s="624"/>
      <c r="AK12" s="624"/>
    </row>
    <row r="13" spans="1:128" s="1" customFormat="1" ht="13.2">
      <c r="A13" s="624"/>
      <c r="B13" s="624"/>
      <c r="C13" s="625"/>
      <c r="D13" s="624"/>
      <c r="E13" s="625"/>
      <c r="F13" s="625"/>
      <c r="G13" s="624"/>
      <c r="H13" s="624" t="s">
        <v>11</v>
      </c>
      <c r="I13" s="624"/>
      <c r="J13" s="624"/>
      <c r="K13" s="624"/>
      <c r="L13" s="624" t="s">
        <v>11</v>
      </c>
      <c r="M13" s="624"/>
      <c r="N13" s="624"/>
      <c r="P13" s="624"/>
      <c r="Q13" s="624"/>
      <c r="R13" s="624"/>
      <c r="S13" s="835"/>
      <c r="T13" s="624"/>
      <c r="U13" s="624"/>
      <c r="V13" s="629"/>
      <c r="W13" s="624"/>
      <c r="X13" s="624"/>
      <c r="Y13" s="624"/>
      <c r="Z13" s="624"/>
      <c r="AA13" s="624"/>
      <c r="AB13" s="624"/>
      <c r="AC13" s="624"/>
      <c r="AD13" s="624"/>
      <c r="AE13" s="624"/>
      <c r="AF13" s="624"/>
      <c r="AG13" s="624"/>
      <c r="AH13" s="624"/>
      <c r="AI13" s="624"/>
      <c r="AJ13" s="624"/>
      <c r="AK13" s="626"/>
    </row>
    <row r="14" spans="1:128" s="1" customFormat="1" ht="13.2">
      <c r="A14" s="624"/>
      <c r="B14" s="624"/>
      <c r="C14" s="624"/>
      <c r="D14" s="624"/>
      <c r="E14" s="624"/>
      <c r="F14" s="624"/>
      <c r="G14" s="624"/>
      <c r="H14" s="624"/>
      <c r="I14" s="624"/>
      <c r="J14" s="624"/>
      <c r="K14" s="624"/>
      <c r="L14" s="624"/>
      <c r="M14" s="624"/>
      <c r="N14" s="624"/>
      <c r="P14" s="624"/>
      <c r="Q14" s="624"/>
      <c r="R14" s="624"/>
      <c r="S14" s="624"/>
      <c r="T14" s="624"/>
      <c r="U14" s="624"/>
      <c r="V14" s="624"/>
      <c r="W14" s="624"/>
      <c r="X14" s="624"/>
      <c r="Y14" s="624"/>
      <c r="Z14" s="624"/>
      <c r="AA14" s="624"/>
      <c r="AB14" s="624"/>
      <c r="AC14" s="624"/>
      <c r="AD14" s="624"/>
      <c r="AE14" s="624"/>
      <c r="AF14" s="624"/>
      <c r="AG14" s="624"/>
      <c r="AH14" s="624"/>
      <c r="AI14" s="624"/>
      <c r="AJ14" s="624"/>
      <c r="AK14" s="627"/>
    </row>
    <row r="15" spans="1:128" s="1" customFormat="1" ht="13.2"/>
    <row r="16" spans="1:128" s="1" customFormat="1" ht="13.2">
      <c r="AL16" s="52"/>
    </row>
    <row r="17" s="1" customFormat="1" ht="13.2"/>
    <row r="18" s="1" customFormat="1" ht="13.2"/>
  </sheetData>
  <customSheetViews>
    <customSheetView guid="{66C35B70-1DF5-11D4-B46C-0004ACEC7D4A}" scale="75" showRuler="0">
      <selection activeCell="A7" sqref="A7"/>
      <pageMargins left="0" right="0" top="1" bottom="1" header="0.5" footer="0.5"/>
      <printOptions headings="1" gridLines="1"/>
      <pageSetup scale="125" orientation="landscape" horizontalDpi="4294967292" r:id="rId1"/>
      <headerFooter alignWithMargins="0">
        <oddHeader>&amp;A</oddHeader>
        <oddFooter>Page &amp;P</oddFooter>
      </headerFooter>
    </customSheetView>
  </customSheetViews>
  <printOptions headings="1" gridLines="1" gridLinesSet="0"/>
  <pageMargins left="0" right="0" top="1" bottom="1" header="0.5" footer="0.5"/>
  <pageSetup scale="125" orientation="landscape" horizontalDpi="4294967292" r:id="rId2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autoPageBreaks="0"/>
  </sheetPr>
  <dimension ref="A1:CR30"/>
  <sheetViews>
    <sheetView zoomScale="75" workbookViewId="0"/>
  </sheetViews>
  <sheetFormatPr defaultColWidth="8.81640625" defaultRowHeight="13.2"/>
  <cols>
    <col min="1" max="16384" width="8.81640625" style="1"/>
  </cols>
  <sheetData>
    <row r="1" spans="1:24">
      <c r="A1" s="418" t="s">
        <v>172</v>
      </c>
      <c r="B1" s="10"/>
      <c r="C1" s="1" t="s">
        <v>11</v>
      </c>
      <c r="P1" s="1" t="s">
        <v>11</v>
      </c>
    </row>
    <row r="3" spans="1:24">
      <c r="B3" s="81" t="s">
        <v>115</v>
      </c>
      <c r="C3" s="63" t="s">
        <v>107</v>
      </c>
      <c r="D3" s="53"/>
      <c r="E3" s="53"/>
      <c r="F3" s="55"/>
      <c r="G3" s="65"/>
      <c r="H3" s="52" t="s">
        <v>108</v>
      </c>
      <c r="I3" s="53"/>
      <c r="J3" s="53"/>
      <c r="K3" s="53"/>
      <c r="L3" s="53"/>
      <c r="M3" s="65"/>
      <c r="N3" s="58"/>
      <c r="O3" s="52" t="s">
        <v>129</v>
      </c>
      <c r="P3" s="53"/>
      <c r="Q3" s="53"/>
      <c r="R3" s="53"/>
      <c r="S3" s="53"/>
      <c r="T3" s="53"/>
      <c r="U3" s="65"/>
    </row>
    <row r="4" spans="1:24">
      <c r="B4" s="81" t="s">
        <v>130</v>
      </c>
      <c r="C4" s="55"/>
      <c r="D4" s="53"/>
      <c r="E4" s="53"/>
      <c r="F4" s="58"/>
      <c r="G4" s="59" t="s">
        <v>92</v>
      </c>
      <c r="H4" s="55"/>
      <c r="M4" s="64"/>
      <c r="N4" s="60"/>
      <c r="P4" s="3" t="s">
        <v>634</v>
      </c>
      <c r="Q4" s="3"/>
      <c r="U4" s="64"/>
    </row>
    <row r="5" spans="1:24">
      <c r="C5" s="56" t="s">
        <v>38</v>
      </c>
      <c r="D5" s="3" t="s">
        <v>95</v>
      </c>
      <c r="E5" s="3" t="s">
        <v>68</v>
      </c>
      <c r="F5" s="59" t="s">
        <v>38</v>
      </c>
      <c r="G5" s="61">
        <v>0.05</v>
      </c>
      <c r="H5" s="56" t="s">
        <v>55</v>
      </c>
      <c r="I5" s="3" t="s">
        <v>38</v>
      </c>
      <c r="J5" s="3" t="s">
        <v>38</v>
      </c>
      <c r="K5" s="3" t="s">
        <v>38</v>
      </c>
      <c r="L5" s="3" t="s">
        <v>68</v>
      </c>
      <c r="M5" s="67" t="s">
        <v>68</v>
      </c>
      <c r="N5" s="3" t="s">
        <v>416</v>
      </c>
      <c r="O5" s="3"/>
      <c r="P5" s="3" t="s">
        <v>131</v>
      </c>
      <c r="Q5" s="3" t="s">
        <v>131</v>
      </c>
      <c r="R5" s="3" t="s">
        <v>38</v>
      </c>
      <c r="S5" s="1" t="s">
        <v>523</v>
      </c>
      <c r="U5" s="67"/>
    </row>
    <row r="6" spans="1:24">
      <c r="B6" s="54" t="s">
        <v>400</v>
      </c>
      <c r="C6" s="57" t="s">
        <v>111</v>
      </c>
      <c r="D6" s="54" t="s">
        <v>112</v>
      </c>
      <c r="E6" s="83" t="s">
        <v>90</v>
      </c>
      <c r="F6" s="54" t="s">
        <v>696</v>
      </c>
      <c r="G6" s="54" t="s">
        <v>100</v>
      </c>
      <c r="H6" s="57" t="s">
        <v>60</v>
      </c>
      <c r="I6" s="54" t="s">
        <v>102</v>
      </c>
      <c r="J6" s="54" t="s">
        <v>103</v>
      </c>
      <c r="K6" s="54" t="s">
        <v>104</v>
      </c>
      <c r="L6" s="54" t="s">
        <v>114</v>
      </c>
      <c r="M6" s="69" t="s">
        <v>113</v>
      </c>
      <c r="N6" s="83" t="s">
        <v>529</v>
      </c>
      <c r="O6" s="54" t="s">
        <v>93</v>
      </c>
      <c r="P6" s="83" t="s">
        <v>133</v>
      </c>
      <c r="Q6" s="83" t="s">
        <v>638</v>
      </c>
      <c r="R6" s="54" t="s">
        <v>131</v>
      </c>
      <c r="S6" s="1076" t="s">
        <v>38</v>
      </c>
      <c r="T6" s="54" t="s">
        <v>416</v>
      </c>
      <c r="U6" s="69" t="s">
        <v>61</v>
      </c>
    </row>
    <row r="7" spans="1:24">
      <c r="A7" s="833">
        <f>Weather_Input!A5</f>
        <v>37017</v>
      </c>
      <c r="B7" s="627">
        <v>0</v>
      </c>
      <c r="C7" s="628">
        <v>0</v>
      </c>
      <c r="D7" s="627">
        <v>0</v>
      </c>
      <c r="E7" s="627">
        <v>0</v>
      </c>
      <c r="F7" s="627">
        <v>12460</v>
      </c>
      <c r="G7" s="627">
        <f>(R7+S7+C7+PGL_Requirements!Y7+PGL_Requirements!Z7-NSG_Requirements!C7)*0.05</f>
        <v>2606.3500000000004</v>
      </c>
      <c r="H7" s="628">
        <v>0</v>
      </c>
      <c r="I7" s="627">
        <v>0</v>
      </c>
      <c r="J7" s="627">
        <v>0</v>
      </c>
      <c r="K7" s="627">
        <v>0</v>
      </c>
      <c r="L7" s="627">
        <v>0</v>
      </c>
      <c r="M7" s="627">
        <v>0</v>
      </c>
      <c r="N7" s="628">
        <v>0</v>
      </c>
      <c r="O7" s="922">
        <v>0</v>
      </c>
      <c r="P7" s="627">
        <v>0</v>
      </c>
      <c r="Q7" s="627">
        <v>20000</v>
      </c>
      <c r="R7" s="627">
        <v>31536</v>
      </c>
      <c r="S7" s="627">
        <v>20591</v>
      </c>
      <c r="T7" s="627">
        <v>0</v>
      </c>
      <c r="U7" s="627">
        <v>0</v>
      </c>
      <c r="V7" s="833">
        <f>Weather_Input!A5</f>
        <v>37017</v>
      </c>
      <c r="W7" s="624"/>
      <c r="X7" s="624"/>
    </row>
    <row r="8" spans="1:24">
      <c r="A8" s="833">
        <f>A7+1</f>
        <v>37018</v>
      </c>
      <c r="B8" s="627">
        <v>0</v>
      </c>
      <c r="C8" s="628">
        <v>0</v>
      </c>
      <c r="D8" s="627">
        <v>0</v>
      </c>
      <c r="E8" s="627">
        <v>0</v>
      </c>
      <c r="F8" s="627">
        <v>0</v>
      </c>
      <c r="G8" s="627">
        <f>(R8+S8+C8+PGL_Requirements!Y8+PGL_Requirements!Z8-NSG_Requirements!C8)*0.05</f>
        <v>2606.3500000000004</v>
      </c>
      <c r="H8" s="628">
        <v>0</v>
      </c>
      <c r="I8" s="627">
        <v>0</v>
      </c>
      <c r="J8" s="627">
        <v>0</v>
      </c>
      <c r="K8" s="627">
        <v>0</v>
      </c>
      <c r="L8" s="627">
        <v>0</v>
      </c>
      <c r="M8" s="627">
        <v>0</v>
      </c>
      <c r="N8" s="628">
        <v>0</v>
      </c>
      <c r="O8" s="922">
        <v>0</v>
      </c>
      <c r="P8" s="627">
        <v>0</v>
      </c>
      <c r="Q8" s="627">
        <v>20000</v>
      </c>
      <c r="R8" s="627">
        <v>31536</v>
      </c>
      <c r="S8" s="627">
        <v>20591</v>
      </c>
      <c r="T8" s="627">
        <v>0</v>
      </c>
      <c r="U8" s="627">
        <v>0</v>
      </c>
      <c r="V8" s="833">
        <f>V7+1</f>
        <v>37018</v>
      </c>
      <c r="W8" s="624"/>
      <c r="X8" s="624"/>
    </row>
    <row r="9" spans="1:24">
      <c r="A9" s="833">
        <f>A8+1</f>
        <v>37019</v>
      </c>
      <c r="B9" s="627">
        <v>0</v>
      </c>
      <c r="C9" s="628">
        <v>0</v>
      </c>
      <c r="D9" s="627">
        <v>0</v>
      </c>
      <c r="E9" s="627">
        <v>0</v>
      </c>
      <c r="F9" s="627">
        <v>0</v>
      </c>
      <c r="G9" s="627">
        <f>(R9+S9+C9+PGL_Requirements!Y9+PGL_Requirements!Z9-NSG_Requirements!C9)*0.05</f>
        <v>2606.3500000000004</v>
      </c>
      <c r="H9" s="628">
        <v>0</v>
      </c>
      <c r="I9" s="627">
        <v>0</v>
      </c>
      <c r="J9" s="627">
        <v>0</v>
      </c>
      <c r="K9" s="627">
        <v>0</v>
      </c>
      <c r="L9" s="627">
        <v>0</v>
      </c>
      <c r="M9" s="627">
        <v>0</v>
      </c>
      <c r="N9" s="628">
        <v>0</v>
      </c>
      <c r="O9" s="922">
        <v>0</v>
      </c>
      <c r="P9" s="627">
        <v>0</v>
      </c>
      <c r="Q9" s="627">
        <v>20000</v>
      </c>
      <c r="R9" s="627">
        <v>31536</v>
      </c>
      <c r="S9" s="627">
        <v>20591</v>
      </c>
      <c r="T9" s="627">
        <v>0</v>
      </c>
      <c r="U9" s="627">
        <v>0</v>
      </c>
      <c r="V9" s="833">
        <f>V8+1</f>
        <v>37019</v>
      </c>
      <c r="W9" s="624"/>
      <c r="X9" s="624"/>
    </row>
    <row r="10" spans="1:24">
      <c r="A10" s="833">
        <f>A9+1</f>
        <v>37020</v>
      </c>
      <c r="B10" s="627">
        <v>0</v>
      </c>
      <c r="C10" s="628">
        <v>0</v>
      </c>
      <c r="D10" s="627">
        <v>0</v>
      </c>
      <c r="E10" s="627">
        <v>0</v>
      </c>
      <c r="F10" s="627">
        <v>0</v>
      </c>
      <c r="G10" s="627">
        <f>(R10+S10+C10+PGL_Requirements!Y10+PGL_Requirements!Z10-NSG_Requirements!C10)*0.05</f>
        <v>2606.3500000000004</v>
      </c>
      <c r="H10" s="628">
        <v>0</v>
      </c>
      <c r="I10" s="627">
        <v>0</v>
      </c>
      <c r="J10" s="627">
        <v>0</v>
      </c>
      <c r="K10" s="627">
        <v>0</v>
      </c>
      <c r="L10" s="627">
        <v>0</v>
      </c>
      <c r="M10" s="627">
        <v>0</v>
      </c>
      <c r="N10" s="628">
        <v>0</v>
      </c>
      <c r="O10" s="922">
        <v>0</v>
      </c>
      <c r="P10" s="627">
        <v>0</v>
      </c>
      <c r="Q10" s="627">
        <v>20000</v>
      </c>
      <c r="R10" s="627">
        <v>31536</v>
      </c>
      <c r="S10" s="627">
        <v>20591</v>
      </c>
      <c r="T10" s="627">
        <v>0</v>
      </c>
      <c r="U10" s="627">
        <v>0</v>
      </c>
      <c r="V10" s="833">
        <f>V9+1</f>
        <v>37020</v>
      </c>
      <c r="W10" s="624"/>
      <c r="X10" s="624"/>
    </row>
    <row r="11" spans="1:24">
      <c r="A11" s="833">
        <f>A10+1</f>
        <v>37021</v>
      </c>
      <c r="B11" s="627">
        <v>0</v>
      </c>
      <c r="C11" s="628">
        <v>0</v>
      </c>
      <c r="D11" s="627">
        <v>0</v>
      </c>
      <c r="E11" s="627">
        <v>0</v>
      </c>
      <c r="F11" s="627">
        <v>0</v>
      </c>
      <c r="G11" s="627">
        <f>(R11+S11+C11+PGL_Requirements!Y11+PGL_Requirements!Z11-NSG_Requirements!C11)*0.05</f>
        <v>2606.3500000000004</v>
      </c>
      <c r="H11" s="628">
        <v>0</v>
      </c>
      <c r="I11" s="627">
        <v>0</v>
      </c>
      <c r="J11" s="627">
        <v>0</v>
      </c>
      <c r="K11" s="627">
        <v>0</v>
      </c>
      <c r="L11" s="627">
        <v>0</v>
      </c>
      <c r="M11" s="627">
        <v>0</v>
      </c>
      <c r="N11" s="628">
        <v>0</v>
      </c>
      <c r="O11" s="922">
        <v>0</v>
      </c>
      <c r="P11" s="627">
        <v>0</v>
      </c>
      <c r="Q11" s="627">
        <v>20000</v>
      </c>
      <c r="R11" s="627">
        <v>31536</v>
      </c>
      <c r="S11" s="627">
        <v>20591</v>
      </c>
      <c r="T11" s="627">
        <v>0</v>
      </c>
      <c r="U11" s="627">
        <v>0</v>
      </c>
      <c r="V11" s="833">
        <f>V10+1</f>
        <v>37021</v>
      </c>
      <c r="W11" s="624"/>
      <c r="X11" s="624"/>
    </row>
    <row r="12" spans="1:24">
      <c r="A12" s="833">
        <f>A11+1</f>
        <v>37022</v>
      </c>
      <c r="B12" s="627">
        <v>0</v>
      </c>
      <c r="C12" s="628">
        <v>0</v>
      </c>
      <c r="D12" s="627">
        <v>0</v>
      </c>
      <c r="E12" s="627">
        <v>0</v>
      </c>
      <c r="F12" s="627">
        <v>0</v>
      </c>
      <c r="G12" s="627">
        <f>(R12+S12+C12+PGL_Requirements!Y12+PGL_Requirements!Z12-NSG_Requirements!C12)*0.05</f>
        <v>2606.3500000000004</v>
      </c>
      <c r="H12" s="628">
        <v>0</v>
      </c>
      <c r="I12" s="627">
        <v>0</v>
      </c>
      <c r="J12" s="627">
        <v>0</v>
      </c>
      <c r="K12" s="627">
        <v>0</v>
      </c>
      <c r="L12" s="627">
        <v>0</v>
      </c>
      <c r="M12" s="627">
        <v>0</v>
      </c>
      <c r="N12" s="628">
        <v>0</v>
      </c>
      <c r="O12" s="922">
        <v>0</v>
      </c>
      <c r="P12" s="627">
        <v>0</v>
      </c>
      <c r="Q12" s="627">
        <v>20000</v>
      </c>
      <c r="R12" s="627">
        <v>31536</v>
      </c>
      <c r="S12" s="627">
        <v>20591</v>
      </c>
      <c r="T12" s="627">
        <v>0</v>
      </c>
      <c r="U12" s="627">
        <v>0</v>
      </c>
      <c r="V12" s="833">
        <f>V11+1</f>
        <v>37022</v>
      </c>
      <c r="W12" s="624"/>
      <c r="X12" s="624"/>
    </row>
    <row r="13" spans="1:24">
      <c r="A13" s="624"/>
      <c r="B13" s="624"/>
      <c r="C13" s="624"/>
      <c r="D13" s="624"/>
      <c r="E13" s="624"/>
      <c r="F13" s="624"/>
      <c r="G13" s="624"/>
      <c r="H13" s="624"/>
      <c r="I13" s="624"/>
      <c r="J13" s="624"/>
      <c r="K13" s="624"/>
      <c r="L13" s="624"/>
      <c r="M13" s="627"/>
      <c r="N13" s="628"/>
      <c r="O13" s="624"/>
      <c r="P13" s="624"/>
      <c r="Q13" s="624"/>
      <c r="R13" s="627"/>
      <c r="S13" s="627"/>
      <c r="T13" s="627"/>
      <c r="U13" s="624"/>
      <c r="V13" s="624"/>
      <c r="W13" s="624"/>
      <c r="X13" s="624"/>
    </row>
    <row r="14" spans="1:24">
      <c r="A14" s="624"/>
      <c r="B14" s="624"/>
      <c r="C14" s="624"/>
      <c r="D14" s="624" t="s">
        <v>11</v>
      </c>
      <c r="E14" s="624"/>
      <c r="F14" s="624"/>
      <c r="G14" s="624"/>
      <c r="H14" s="624"/>
      <c r="I14" s="624"/>
      <c r="J14" s="624"/>
      <c r="K14" s="624"/>
      <c r="L14" s="624"/>
      <c r="M14" s="624"/>
      <c r="N14" s="624"/>
      <c r="O14" s="624"/>
      <c r="P14" s="624"/>
      <c r="Q14" s="624"/>
      <c r="R14" s="627" t="s">
        <v>11</v>
      </c>
      <c r="S14" s="624"/>
      <c r="T14" s="624"/>
      <c r="U14" s="624"/>
      <c r="V14" s="624"/>
      <c r="W14" s="624"/>
      <c r="X14" s="624"/>
    </row>
    <row r="15" spans="1:24">
      <c r="A15" s="624"/>
      <c r="B15" s="624"/>
      <c r="C15" s="624"/>
      <c r="D15" s="624"/>
      <c r="E15" s="624"/>
      <c r="F15" s="624"/>
      <c r="G15" s="624"/>
      <c r="H15" s="624"/>
      <c r="I15" s="624"/>
      <c r="J15" s="624"/>
      <c r="K15" s="624"/>
      <c r="L15" s="624"/>
      <c r="M15" s="624"/>
      <c r="N15" s="624"/>
      <c r="O15" s="624"/>
      <c r="P15" s="624"/>
      <c r="Q15" s="624"/>
      <c r="R15" s="627" t="s">
        <v>11</v>
      </c>
      <c r="S15" s="624"/>
      <c r="T15" s="624" t="s">
        <v>11</v>
      </c>
      <c r="U15" s="624"/>
      <c r="V15" s="624"/>
      <c r="W15" s="624"/>
      <c r="X15" s="624"/>
    </row>
    <row r="16" spans="1:24">
      <c r="R16" s="49" t="s">
        <v>11</v>
      </c>
    </row>
    <row r="17" spans="3:96">
      <c r="R17" s="49" t="s">
        <v>11</v>
      </c>
      <c r="S17" s="49" t="s">
        <v>11</v>
      </c>
      <c r="T17" s="49"/>
      <c r="U17" s="1" t="s">
        <v>134</v>
      </c>
    </row>
    <row r="18" spans="3:96" ht="15">
      <c r="K18"/>
      <c r="L18"/>
      <c r="R18" s="49" t="s">
        <v>11</v>
      </c>
      <c r="V18" s="49" t="s">
        <v>11</v>
      </c>
    </row>
    <row r="19" spans="3:96" ht="15">
      <c r="K19"/>
      <c r="L19"/>
      <c r="M19"/>
      <c r="N19"/>
      <c r="O19"/>
      <c r="P19"/>
      <c r="Q19"/>
      <c r="R19"/>
      <c r="S19"/>
      <c r="T19"/>
      <c r="U19"/>
      <c r="V19"/>
    </row>
    <row r="20" spans="3:96" ht="15">
      <c r="C20"/>
      <c r="K20"/>
      <c r="L20"/>
      <c r="M20"/>
      <c r="N20"/>
      <c r="CR20" s="624"/>
    </row>
    <row r="21" spans="3:96" ht="15">
      <c r="C21"/>
      <c r="K21"/>
      <c r="L21"/>
      <c r="M21"/>
      <c r="N21"/>
    </row>
    <row r="22" spans="3:96" ht="15">
      <c r="C22"/>
      <c r="K22"/>
      <c r="L22"/>
      <c r="M22"/>
      <c r="N22"/>
    </row>
    <row r="23" spans="3:96" ht="15">
      <c r="C23"/>
      <c r="D23"/>
      <c r="E23"/>
      <c r="F23"/>
      <c r="G23"/>
      <c r="H23"/>
      <c r="I23"/>
      <c r="J23"/>
      <c r="K23"/>
      <c r="L23"/>
      <c r="M23"/>
      <c r="N23"/>
    </row>
    <row r="24" spans="3:96" ht="15">
      <c r="C24"/>
      <c r="D24"/>
      <c r="E24"/>
      <c r="F24"/>
      <c r="G24"/>
      <c r="H24"/>
      <c r="I24"/>
      <c r="J24"/>
      <c r="K24"/>
      <c r="L24"/>
      <c r="M24"/>
      <c r="N24"/>
    </row>
    <row r="25" spans="3:96" ht="15"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</row>
    <row r="26" spans="3:96" ht="15">
      <c r="C26"/>
      <c r="D26"/>
      <c r="E26"/>
      <c r="F26"/>
      <c r="H26"/>
      <c r="L26"/>
    </row>
    <row r="27" spans="3:96" ht="15">
      <c r="C27"/>
      <c r="D27"/>
      <c r="E27"/>
      <c r="F27"/>
      <c r="H27"/>
      <c r="L27"/>
    </row>
    <row r="28" spans="3:96" ht="15">
      <c r="C28"/>
      <c r="D28"/>
      <c r="E28"/>
      <c r="F28"/>
      <c r="H28"/>
      <c r="L28"/>
    </row>
    <row r="29" spans="3:96" ht="15">
      <c r="C29"/>
      <c r="D29"/>
      <c r="E29"/>
      <c r="H29"/>
      <c r="L29"/>
    </row>
    <row r="30" spans="3:96" ht="15">
      <c r="C30"/>
      <c r="H30"/>
      <c r="L30"/>
    </row>
  </sheetData>
  <customSheetViews>
    <customSheetView guid="{66C35B70-1DF5-11D4-B46C-0004ACEC7D4A}" scale="75" showRuler="0">
      <selection activeCell="A7" sqref="A7"/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9">
    <pageSetUpPr fitToPage="1"/>
  </sheetPr>
  <dimension ref="A1:IV65"/>
  <sheetViews>
    <sheetView zoomScale="75" workbookViewId="0">
      <selection sqref="A1:I64"/>
    </sheetView>
  </sheetViews>
  <sheetFormatPr defaultColWidth="9.81640625" defaultRowHeight="15"/>
  <cols>
    <col min="1" max="1" width="29" style="113" customWidth="1"/>
    <col min="2" max="2" width="12" style="113" customWidth="1"/>
    <col min="3" max="3" width="15.1796875" style="113" customWidth="1"/>
    <col min="4" max="9" width="8.6328125" style="113" customWidth="1"/>
    <col min="10" max="10" width="20.36328125" style="113" customWidth="1"/>
    <col min="11" max="11" width="16.54296875" style="113" customWidth="1"/>
    <col min="12" max="12" width="9.81640625" style="113"/>
    <col min="13" max="13" width="13.81640625" style="113" customWidth="1"/>
    <col min="14" max="16384" width="9.81640625" style="113"/>
  </cols>
  <sheetData>
    <row r="1" spans="1:256" ht="15.6" thickTop="1">
      <c r="A1" s="878" t="s">
        <v>0</v>
      </c>
      <c r="B1" s="836"/>
      <c r="C1" s="903"/>
      <c r="D1" s="836"/>
      <c r="E1" s="836"/>
      <c r="F1" s="836" t="s">
        <v>11</v>
      </c>
      <c r="G1" s="836" t="s">
        <v>135</v>
      </c>
      <c r="H1" s="837" t="str">
        <f>D3</f>
        <v>SUN</v>
      </c>
      <c r="I1" s="838">
        <f>D4</f>
        <v>37017</v>
      </c>
    </row>
    <row r="2" spans="1:256">
      <c r="A2" s="839" t="s">
        <v>136</v>
      </c>
      <c r="B2" s="840"/>
      <c r="C2" s="840"/>
      <c r="D2" s="840"/>
      <c r="E2" s="840"/>
      <c r="F2" s="840"/>
      <c r="G2" s="840"/>
      <c r="H2" s="840"/>
      <c r="I2" s="841"/>
    </row>
    <row r="3" spans="1:256" ht="16.2" thickBot="1">
      <c r="A3" s="842"/>
      <c r="B3" s="840"/>
      <c r="C3" s="840"/>
      <c r="D3" s="843" t="str">
        <f t="shared" ref="D3:I3" si="0">CHOOSE(WEEKDAY(D4),"SUN","MON","TUE","WED","THU","FRI","SAT")</f>
        <v>SUN</v>
      </c>
      <c r="E3" s="843" t="str">
        <f t="shared" si="0"/>
        <v>MON</v>
      </c>
      <c r="F3" s="843" t="str">
        <f t="shared" si="0"/>
        <v>TUE</v>
      </c>
      <c r="G3" s="843" t="str">
        <f t="shared" si="0"/>
        <v>WED</v>
      </c>
      <c r="H3" s="843" t="str">
        <f t="shared" si="0"/>
        <v>THU</v>
      </c>
      <c r="I3" s="844" t="str">
        <f t="shared" si="0"/>
        <v>FRI</v>
      </c>
    </row>
    <row r="4" spans="1:256" ht="16.2" thickBot="1">
      <c r="A4" s="845"/>
      <c r="B4" s="846"/>
      <c r="C4" s="846"/>
      <c r="D4" s="466">
        <f>Weather_Input!A5</f>
        <v>37017</v>
      </c>
      <c r="E4" s="466">
        <f>Weather_Input!A6</f>
        <v>37018</v>
      </c>
      <c r="F4" s="466">
        <f>Weather_Input!A7</f>
        <v>37019</v>
      </c>
      <c r="G4" s="466">
        <f>Weather_Input!A8</f>
        <v>37020</v>
      </c>
      <c r="H4" s="466">
        <f>Weather_Input!A9</f>
        <v>37021</v>
      </c>
      <c r="I4" s="467">
        <f>Weather_Input!A10</f>
        <v>37022</v>
      </c>
    </row>
    <row r="5" spans="1:256" ht="16.5" customHeight="1" thickTop="1">
      <c r="A5" s="849" t="s">
        <v>137</v>
      </c>
      <c r="B5" s="840"/>
      <c r="C5" s="840" t="s">
        <v>138</v>
      </c>
      <c r="D5" s="468" t="str">
        <f>TEXT(Weather_Input!B5,"0")&amp;"/"&amp;TEXT(Weather_Input!C5,"0") &amp; "/" &amp; TEXT((Weather_Input!B5+Weather_Input!C5)/2,"0")</f>
        <v>75/62/69</v>
      </c>
      <c r="E5" s="468" t="str">
        <f>TEXT(Weather_Input!B6,"0")&amp;"/"&amp;TEXT(Weather_Input!C6,"0") &amp; "/" &amp; TEXT((Weather_Input!B6+Weather_Input!C6)/2,"0")</f>
        <v>72/51/62</v>
      </c>
      <c r="F5" s="468" t="str">
        <f>TEXT(Weather_Input!B7,"0")&amp;"/"&amp;TEXT(Weather_Input!C7,"0") &amp; "/" &amp; TEXT((Weather_Input!B7+Weather_Input!C7)/2,"0")</f>
        <v>65/45/55</v>
      </c>
      <c r="G5" s="468" t="str">
        <f>TEXT(Weather_Input!B8,"0")&amp;"/"&amp;TEXT(Weather_Input!C8,"0") &amp; "/" &amp; TEXT((Weather_Input!B8+Weather_Input!C8)/2,"0")</f>
        <v>62/49/56</v>
      </c>
      <c r="H5" s="468" t="str">
        <f>TEXT(Weather_Input!B9,"0")&amp;"/"&amp;TEXT(Weather_Input!C9,"0") &amp; "/" &amp; TEXT((Weather_Input!B9+Weather_Input!C9)/2,"0")</f>
        <v>69/54/62</v>
      </c>
      <c r="I5" s="469" t="str">
        <f>TEXT(Weather_Input!B10,"0")&amp;"/"&amp;TEXT(Weather_Input!C10,"0") &amp; "/" &amp; TEXT((Weather_Input!B10+Weather_Input!C10)/2,"0")</f>
        <v>69/54/62</v>
      </c>
    </row>
    <row r="6" spans="1:256">
      <c r="A6" s="852" t="s">
        <v>139</v>
      </c>
      <c r="B6" s="840"/>
      <c r="C6" s="840"/>
      <c r="D6" s="468">
        <f>PGL_Deliveries!C5/1000</f>
        <v>230</v>
      </c>
      <c r="E6" s="468">
        <f>PGL_Deliveries!C6/1000</f>
        <v>255</v>
      </c>
      <c r="F6" s="468">
        <f>PGL_Deliveries!C7/1000</f>
        <v>290</v>
      </c>
      <c r="G6" s="468">
        <f>PGL_Deliveries!C8/1000</f>
        <v>285</v>
      </c>
      <c r="H6" s="468">
        <f>PGL_Deliveries!C9/1000</f>
        <v>255</v>
      </c>
      <c r="I6" s="469">
        <f>PGL_Deliveries!C10/1000</f>
        <v>235</v>
      </c>
    </row>
    <row r="7" spans="1:256">
      <c r="A7" s="852" t="s">
        <v>568</v>
      </c>
      <c r="B7" s="840" t="s">
        <v>416</v>
      </c>
      <c r="C7" s="840"/>
      <c r="D7" s="468">
        <f>PGL_Requirements!H7/1000*0.5</f>
        <v>12.414999999999999</v>
      </c>
      <c r="E7" s="468">
        <f>PGL_Requirements!H8/1000*0.5</f>
        <v>10</v>
      </c>
      <c r="F7" s="468">
        <f>PGL_Requirements!H9/1000*0.5</f>
        <v>0</v>
      </c>
      <c r="G7" s="468">
        <f>PGL_Requirements!H10/1000*0.5</f>
        <v>0</v>
      </c>
      <c r="H7" s="468">
        <f>PGL_Requirements!H11/1000*0.5</f>
        <v>0</v>
      </c>
      <c r="I7" s="469">
        <f>PGL_Requirements!H12/1000*0.5</f>
        <v>0</v>
      </c>
    </row>
    <row r="8" spans="1:256">
      <c r="A8" s="852" t="s">
        <v>721</v>
      </c>
      <c r="B8" s="840"/>
      <c r="C8" s="840"/>
      <c r="D8" s="468">
        <f>PGL_Requirements!I7/1000</f>
        <v>0</v>
      </c>
      <c r="E8" s="468">
        <f>PGL_Requirements!I8/1000</f>
        <v>0</v>
      </c>
      <c r="F8" s="468">
        <f>PGL_Requirements!I9/1000</f>
        <v>0</v>
      </c>
      <c r="G8" s="468">
        <f>PGL_Requirements!I10/1000</f>
        <v>0</v>
      </c>
      <c r="H8" s="468">
        <f>PGL_Requirements!I11/1000</f>
        <v>0</v>
      </c>
      <c r="I8" s="469">
        <f>PGL_Requirements!I12/1000</f>
        <v>0</v>
      </c>
    </row>
    <row r="9" spans="1:256">
      <c r="A9" s="849" t="s">
        <v>140</v>
      </c>
      <c r="B9" s="840" t="s">
        <v>143</v>
      </c>
      <c r="C9" s="853"/>
      <c r="D9" s="468">
        <v>0</v>
      </c>
      <c r="E9" s="468">
        <v>0</v>
      </c>
      <c r="F9" s="468">
        <v>0</v>
      </c>
      <c r="G9" s="468">
        <v>0</v>
      </c>
      <c r="H9" s="468">
        <v>0</v>
      </c>
      <c r="I9" s="469">
        <v>0</v>
      </c>
    </row>
    <row r="10" spans="1:256">
      <c r="A10" s="849"/>
      <c r="B10" s="840" t="s">
        <v>147</v>
      </c>
      <c r="C10" s="853"/>
      <c r="D10" s="468">
        <v>0</v>
      </c>
      <c r="E10" s="468">
        <v>0</v>
      </c>
      <c r="F10" s="468">
        <v>0</v>
      </c>
      <c r="G10" s="468">
        <v>0</v>
      </c>
      <c r="H10" s="468">
        <v>0</v>
      </c>
      <c r="I10" s="469">
        <v>0</v>
      </c>
    </row>
    <row r="11" spans="1:256">
      <c r="A11" s="849"/>
      <c r="B11" s="840" t="s">
        <v>416</v>
      </c>
      <c r="C11" s="840"/>
      <c r="D11" s="468">
        <f>PGL_Requirements!K7/1000</f>
        <v>0</v>
      </c>
      <c r="E11" s="468">
        <f>PGL_Requirements!K8/1000</f>
        <v>0</v>
      </c>
      <c r="F11" s="468">
        <f>PGL_Requirements!K9/1000</f>
        <v>0</v>
      </c>
      <c r="G11" s="468">
        <f>PGL_Requirements!K10/1000</f>
        <v>0</v>
      </c>
      <c r="H11" s="468">
        <f>PGL_Requirements!K11/1000</f>
        <v>0</v>
      </c>
      <c r="I11" s="469">
        <f>PGL_Requirements!K12/1000</f>
        <v>0</v>
      </c>
    </row>
    <row r="12" spans="1:256">
      <c r="A12" s="849"/>
      <c r="B12" s="840" t="s">
        <v>141</v>
      </c>
      <c r="C12" s="840"/>
      <c r="D12" s="468">
        <f>PGL_Requirements!L7/1000</f>
        <v>0</v>
      </c>
      <c r="E12" s="468">
        <f>PGL_Requirements!L8/1000</f>
        <v>0</v>
      </c>
      <c r="F12" s="468">
        <f>PGL_Requirements!L9/1000</f>
        <v>0</v>
      </c>
      <c r="G12" s="468">
        <f>PGL_Requirements!L10/1000</f>
        <v>0</v>
      </c>
      <c r="H12" s="468">
        <f>PGL_Requirements!L11/1000</f>
        <v>0</v>
      </c>
      <c r="I12" s="469">
        <f>PGL_Requirements!L12/1000</f>
        <v>0</v>
      </c>
    </row>
    <row r="13" spans="1:256">
      <c r="A13" s="849" t="s">
        <v>144</v>
      </c>
      <c r="B13" s="840" t="s">
        <v>145</v>
      </c>
      <c r="C13" s="840" t="s">
        <v>60</v>
      </c>
      <c r="D13" s="468">
        <f>PGL_Requirements!P7/1000</f>
        <v>190</v>
      </c>
      <c r="E13" s="468">
        <f>PGL_Requirements!P8/1000</f>
        <v>150</v>
      </c>
      <c r="F13" s="468">
        <f>PGL_Requirements!P9/1000</f>
        <v>150</v>
      </c>
      <c r="G13" s="468">
        <f>PGL_Requirements!P10/1000</f>
        <v>150</v>
      </c>
      <c r="H13" s="468">
        <f>PGL_Requirements!P11/1000</f>
        <v>150</v>
      </c>
      <c r="I13" s="469">
        <f>PGL_Requirements!P12/1000</f>
        <v>150</v>
      </c>
    </row>
    <row r="14" spans="1:256">
      <c r="A14" s="849"/>
      <c r="B14" s="840"/>
      <c r="C14" s="840" t="s">
        <v>101</v>
      </c>
      <c r="D14" s="468">
        <f>PGL_Requirements!Q7/1000</f>
        <v>2.85</v>
      </c>
      <c r="E14" s="468">
        <f>PGL_Requirements!Q8/1000</f>
        <v>2.25</v>
      </c>
      <c r="F14" s="468">
        <f>PGL_Requirements!Q9/1000</f>
        <v>2.25</v>
      </c>
      <c r="G14" s="468">
        <f>PGL_Requirements!Q10/1000</f>
        <v>2.25</v>
      </c>
      <c r="H14" s="468">
        <f>PGL_Requirements!Q11/1000</f>
        <v>2.25</v>
      </c>
      <c r="I14" s="469">
        <f>PGL_Requirements!Q12/1000</f>
        <v>2.25</v>
      </c>
    </row>
    <row r="15" spans="1:256">
      <c r="A15" s="849"/>
      <c r="C15" s="840" t="s">
        <v>740</v>
      </c>
      <c r="D15" s="468">
        <f>PGL_Requirements!R7/1000</f>
        <v>0.63</v>
      </c>
      <c r="E15" s="468">
        <f>PGL_Requirements!R8/1000</f>
        <v>0.63</v>
      </c>
      <c r="F15" s="468">
        <f>PGL_Requirements!R9/1000</f>
        <v>0.63</v>
      </c>
      <c r="G15" s="468">
        <f>PGL_Requirements!R10/1000</f>
        <v>0.63</v>
      </c>
      <c r="H15" s="468">
        <f>PGL_Requirements!R11/1000</f>
        <v>0.63</v>
      </c>
      <c r="I15" s="469">
        <f>PGL_Requirements!R12/1000</f>
        <v>0.63</v>
      </c>
    </row>
    <row r="16" spans="1:256">
      <c r="A16" s="849"/>
      <c r="C16" s="840" t="s">
        <v>773</v>
      </c>
      <c r="D16" s="468">
        <f>PGL_Requirements!B7/1000</f>
        <v>0</v>
      </c>
      <c r="E16" s="468">
        <f>PGL_Requirements!B8/1000</f>
        <v>0</v>
      </c>
      <c r="F16" s="468">
        <f>PGL_Requirements!B9/1000</f>
        <v>0</v>
      </c>
      <c r="G16" s="468">
        <f>PGL_Requirements!B10/1000</f>
        <v>0</v>
      </c>
      <c r="H16" s="468">
        <f>PGL_Requirements!B11/1000</f>
        <v>0</v>
      </c>
      <c r="I16" s="469">
        <f>PGL_Requirements!B12/1000</f>
        <v>0</v>
      </c>
      <c r="IV16" s="468" t="s">
        <v>11</v>
      </c>
    </row>
    <row r="17" spans="1:10">
      <c r="A17" s="849"/>
      <c r="B17" s="840" t="s">
        <v>184</v>
      </c>
      <c r="C17" s="840" t="s">
        <v>719</v>
      </c>
      <c r="D17" s="468">
        <v>0</v>
      </c>
      <c r="E17" s="468">
        <v>0</v>
      </c>
      <c r="F17" s="468">
        <v>0</v>
      </c>
      <c r="G17" s="468">
        <v>0</v>
      </c>
      <c r="H17" s="468">
        <v>0</v>
      </c>
      <c r="I17" s="469">
        <v>0</v>
      </c>
    </row>
    <row r="18" spans="1:10">
      <c r="A18" s="849"/>
      <c r="B18" s="840" t="s">
        <v>143</v>
      </c>
      <c r="C18" s="840" t="s">
        <v>90</v>
      </c>
      <c r="D18" s="468">
        <f>PGL_Requirements!U7/1000</f>
        <v>40.200000000000003</v>
      </c>
      <c r="E18" s="468">
        <f>PGL_Requirements!U8/1000</f>
        <v>40.200000000000003</v>
      </c>
      <c r="F18" s="468">
        <f>PGL_Requirements!U9/1000</f>
        <v>40.200000000000003</v>
      </c>
      <c r="G18" s="468">
        <f>PGL_Requirements!U10/1000</f>
        <v>40.200000000000003</v>
      </c>
      <c r="H18" s="468">
        <f>PGL_Requirements!U11/1000</f>
        <v>40.200000000000003</v>
      </c>
      <c r="I18" s="469">
        <f>PGL_Requirements!U12/1000</f>
        <v>40.200000000000003</v>
      </c>
    </row>
    <row r="19" spans="1:10">
      <c r="A19" s="849"/>
      <c r="B19" s="840" t="s">
        <v>141</v>
      </c>
      <c r="C19" s="840" t="s">
        <v>90</v>
      </c>
      <c r="D19" s="468">
        <f>PGL_Requirements!O7/1000</f>
        <v>6.24</v>
      </c>
      <c r="E19" s="468">
        <f>PGL_Requirements!O8/1000</f>
        <v>0</v>
      </c>
      <c r="F19" s="468">
        <f>PGL_Requirements!O9/1000</f>
        <v>0</v>
      </c>
      <c r="G19" s="468">
        <f>PGL_Requirements!O10/1000</f>
        <v>0</v>
      </c>
      <c r="H19" s="468">
        <f>PGL_Requirements!O11/1000</f>
        <v>0</v>
      </c>
      <c r="I19" s="469">
        <f>PGL_Requirements!O12/1000</f>
        <v>0</v>
      </c>
    </row>
    <row r="20" spans="1:10">
      <c r="A20" s="852" t="s">
        <v>146</v>
      </c>
      <c r="B20" s="856" t="s">
        <v>143</v>
      </c>
      <c r="C20" s="856"/>
      <c r="D20" s="468">
        <f>(PGL_Requirements!$V$7+PGL_Requirements!$W$7+PGL_Requirements!$X$7)/1000</f>
        <v>0</v>
      </c>
      <c r="E20" s="468">
        <f>(PGL_Requirements!$V$8+PGL_Requirements!$W$8+PGL_Requirements!$X$8)/1000</f>
        <v>0</v>
      </c>
      <c r="F20" s="468">
        <f>(PGL_Requirements!$V$9+PGL_Requirements!$W$9+PGL_Requirements!$X$9)/1000</f>
        <v>0</v>
      </c>
      <c r="G20" s="468">
        <f>(PGL_Requirements!$V$10+PGL_Requirements!$W$10+PGL_Requirements!$X$10)/1000</f>
        <v>0</v>
      </c>
      <c r="H20" s="468">
        <f>(PGL_Requirements!$V$11+PGL_Requirements!$W$11+PGL_Requirements!$X$11)/1000</f>
        <v>0</v>
      </c>
      <c r="I20" s="469">
        <f>(PGL_Requirements!$V$12+PGL_Requirements!$W$12+PGL_Requirements!$X$12)/1000</f>
        <v>0</v>
      </c>
    </row>
    <row r="21" spans="1:10">
      <c r="A21" s="849"/>
      <c r="B21" s="856" t="s">
        <v>141</v>
      </c>
      <c r="C21" s="856"/>
      <c r="D21" s="468">
        <f>(PGL_Requirements!$Y$7+PGL_Requirements!$Z$7+PGL_Requirements!$AA$7+PGL_Requirements!$AB$7)/1000</f>
        <v>0</v>
      </c>
      <c r="E21" s="468">
        <f>(PGL_Requirements!$Y$8+PGL_Requirements!$Z$8+PGL_Requirements!$AA$8+PGL_Requirements!$AB$8)/1000</f>
        <v>0</v>
      </c>
      <c r="F21" s="468">
        <f>(PGL_Requirements!$Y$9+PGL_Requirements!$Z$9+PGL_Requirements!$AA$9+PGL_Requirements!$AB$9)/1000</f>
        <v>0</v>
      </c>
      <c r="G21" s="468">
        <f>(PGL_Requirements!$Y$10+PGL_Requirements!$Z$10+PGL_Requirements!$AA$10+PGL_Requirements!$AB$10)/1000</f>
        <v>0</v>
      </c>
      <c r="H21" s="468">
        <f>(PGL_Requirements!$Y$11+PGL_Requirements!$Z$11+PGL_Requirements!$AA$11+PGL_Requirements!$AB$11)/1000</f>
        <v>0</v>
      </c>
      <c r="I21" s="469">
        <f>(PGL_Requirements!$Y$12+PGL_Requirements!$Z$12+PGL_Requirements!$AA$12+PGL_Requirements!$AB$12)/1000</f>
        <v>0</v>
      </c>
    </row>
    <row r="22" spans="1:10">
      <c r="A22" s="849"/>
      <c r="B22" s="840" t="s">
        <v>416</v>
      </c>
      <c r="C22" s="856"/>
      <c r="D22" s="468">
        <f>PGL_Requirements!$AF$7+PGL_Requirements!$AG$7+PGL_Requirements!$AH$7+PGL_Requirements!$AI$7/1000</f>
        <v>0</v>
      </c>
      <c r="E22" s="468">
        <f>PGL_Requirements!$AF$8+PGL_Requirements!$AG$8+PGL_Requirements!$AH$8+PGL_Requirements!$AI$8/1000</f>
        <v>0</v>
      </c>
      <c r="F22" s="468">
        <f>PGL_Requirements!$AF$9+PGL_Requirements!$AG$9+PGL_Requirements!$AH$9+PGL_Requirements!$AI$9/1000</f>
        <v>0</v>
      </c>
      <c r="G22" s="468">
        <f>PGL_Requirements!$AF$10+PGL_Requirements!$AG$10+PGL_Requirements!$AH$10+PGL_Requirements!$AI$10/1000</f>
        <v>0</v>
      </c>
      <c r="H22" s="468">
        <f>PGL_Requirements!$AF$11+PGL_Requirements!$AG$11+PGL_Requirements!$AH$11+PGL_Requirements!$AI$11/1000</f>
        <v>0</v>
      </c>
      <c r="I22" s="469">
        <f>PGL_Requirements!$AF$12+PGL_Requirements!$AG$12+PGL_Requirements!$AH$12+PGL_Requirements!$AI$12/1000</f>
        <v>0</v>
      </c>
      <c r="J22" s="781"/>
    </row>
    <row r="23" spans="1:10">
      <c r="A23" s="849"/>
      <c r="B23" s="854" t="s">
        <v>148</v>
      </c>
      <c r="C23" s="856" t="s">
        <v>127</v>
      </c>
      <c r="D23" s="468">
        <f>NSG_Supplies!H7/1000</f>
        <v>0</v>
      </c>
      <c r="E23" s="468">
        <f>NSG_Supplies!H8/1000</f>
        <v>0</v>
      </c>
      <c r="F23" s="468">
        <f>NSG_Supplies!H9/1000</f>
        <v>0</v>
      </c>
      <c r="G23" s="468">
        <f>NSG_Supplies!H10/1000</f>
        <v>0</v>
      </c>
      <c r="H23" s="468">
        <f>NSG_Supplies!H11/1000</f>
        <v>0</v>
      </c>
      <c r="I23" s="469">
        <f>NSG_Supplies!H12/1000</f>
        <v>0</v>
      </c>
      <c r="J23" s="781"/>
    </row>
    <row r="24" spans="1:10">
      <c r="A24" s="852" t="s">
        <v>149</v>
      </c>
      <c r="B24" s="840"/>
      <c r="C24" s="840"/>
      <c r="D24" s="468">
        <f>PGL_Requirements!G7/1000</f>
        <v>0</v>
      </c>
      <c r="E24" s="468">
        <f>PGL_Requirements!G8/1000</f>
        <v>0</v>
      </c>
      <c r="F24" s="468">
        <f>PGL_Requirements!G9/1000</f>
        <v>0</v>
      </c>
      <c r="G24" s="468">
        <f>PGL_Requirements!G10/1000</f>
        <v>0</v>
      </c>
      <c r="H24" s="468">
        <f>PGL_Requirements!G11/1000</f>
        <v>0</v>
      </c>
      <c r="I24" s="469">
        <f>PGL_Requirements!G12/1000</f>
        <v>0</v>
      </c>
    </row>
    <row r="25" spans="1:10">
      <c r="A25" s="849" t="s">
        <v>150</v>
      </c>
      <c r="B25" s="840" t="s">
        <v>758</v>
      </c>
      <c r="C25" s="840"/>
      <c r="D25" s="468">
        <f>PGL_Requirements!J7/1000</f>
        <v>3.1</v>
      </c>
      <c r="E25" s="468">
        <f>PGL_Requirements!J8/1000</f>
        <v>0</v>
      </c>
      <c r="F25" s="468">
        <f>PGL_Requirements!J9/1000</f>
        <v>0</v>
      </c>
      <c r="G25" s="468">
        <f>PGL_Requirements!J10/1000</f>
        <v>0</v>
      </c>
      <c r="H25" s="468">
        <f>PGL_Requirements!J11/1000</f>
        <v>0</v>
      </c>
      <c r="I25" s="469">
        <f>PGL_Requirements!J12/1000</f>
        <v>0</v>
      </c>
    </row>
    <row r="26" spans="1:10">
      <c r="A26" s="849"/>
      <c r="B26" s="840" t="s">
        <v>68</v>
      </c>
      <c r="C26" s="840"/>
      <c r="D26" s="468">
        <f>PGL_Requirements!C7/1000</f>
        <v>0</v>
      </c>
      <c r="E26" s="468">
        <f>PGL_Requirements!C8/1000</f>
        <v>0</v>
      </c>
      <c r="F26" s="468">
        <f>PGL_Requirements!C9/1000</f>
        <v>0</v>
      </c>
      <c r="G26" s="468">
        <f>PGL_Requirements!C10/1000</f>
        <v>0</v>
      </c>
      <c r="H26" s="468">
        <f>PGL_Requirements!C11/1000</f>
        <v>0</v>
      </c>
      <c r="I26" s="469">
        <f>PGL_Requirements!C12/1000</f>
        <v>0</v>
      </c>
    </row>
    <row r="27" spans="1:10">
      <c r="A27" s="849"/>
      <c r="B27" s="840" t="s">
        <v>93</v>
      </c>
      <c r="C27" s="840"/>
      <c r="D27" s="468">
        <f>PGL_Requirements!D7/1000</f>
        <v>0</v>
      </c>
      <c r="E27" s="468">
        <f>PGL_Requirements!D8/1000</f>
        <v>0</v>
      </c>
      <c r="F27" s="468">
        <f>PGL_Requirements!D9/1000</f>
        <v>0</v>
      </c>
      <c r="G27" s="468">
        <f>PGL_Requirements!D10/1000</f>
        <v>0</v>
      </c>
      <c r="H27" s="468">
        <f>PGL_Requirements!D11/1000</f>
        <v>0</v>
      </c>
      <c r="I27" s="469">
        <f>PGL_Requirements!D12/1000</f>
        <v>0</v>
      </c>
    </row>
    <row r="28" spans="1:10">
      <c r="A28" s="849"/>
      <c r="B28" s="840" t="s">
        <v>416</v>
      </c>
      <c r="C28" s="840"/>
      <c r="D28" s="468">
        <f>PGL_Requirements!E7/1000</f>
        <v>0</v>
      </c>
      <c r="E28" s="468">
        <f>PGL_Requirements!E8/1000</f>
        <v>0</v>
      </c>
      <c r="F28" s="468">
        <f>PGL_Requirements!E9/1000</f>
        <v>0</v>
      </c>
      <c r="G28" s="468">
        <f>PGL_Requirements!E10/1000</f>
        <v>0</v>
      </c>
      <c r="H28" s="468">
        <f>PGL_Requirements!E11/1000</f>
        <v>0</v>
      </c>
      <c r="I28" s="469">
        <f>PGL_Requirements!E12/1000</f>
        <v>0</v>
      </c>
    </row>
    <row r="29" spans="1:10">
      <c r="A29" s="849"/>
      <c r="B29" s="840" t="s">
        <v>96</v>
      </c>
      <c r="C29" s="840"/>
      <c r="D29" s="470">
        <f>PGL_Requirements!F7/1000</f>
        <v>0</v>
      </c>
      <c r="E29" s="470">
        <f>PGL_Requirements!F8/1000</f>
        <v>0</v>
      </c>
      <c r="F29" s="470">
        <f>PGL_Requirements!F9/1000</f>
        <v>0</v>
      </c>
      <c r="G29" s="470">
        <f>PGL_Requirements!F10/1000</f>
        <v>0</v>
      </c>
      <c r="H29" s="470">
        <f>PGL_Requirements!F11/1000</f>
        <v>0</v>
      </c>
      <c r="I29" s="471">
        <f>PGL_Requirements!F12/1000</f>
        <v>0</v>
      </c>
    </row>
    <row r="30" spans="1:10" ht="15.6" thickBot="1">
      <c r="A30" s="857" t="s">
        <v>151</v>
      </c>
      <c r="B30" s="858"/>
      <c r="C30" s="858"/>
      <c r="D30" s="472">
        <f t="shared" ref="D30:I30" si="1">SUM(D6:D29)</f>
        <v>485.435</v>
      </c>
      <c r="E30" s="472">
        <f t="shared" si="1"/>
        <v>458.08</v>
      </c>
      <c r="F30" s="472">
        <f t="shared" si="1"/>
        <v>483.08</v>
      </c>
      <c r="G30" s="472">
        <f t="shared" si="1"/>
        <v>478.08</v>
      </c>
      <c r="H30" s="472">
        <f t="shared" si="1"/>
        <v>448.08</v>
      </c>
      <c r="I30" s="1175">
        <f t="shared" si="1"/>
        <v>428.08</v>
      </c>
    </row>
    <row r="31" spans="1:10" ht="16.2" thickTop="1" thickBot="1">
      <c r="A31" s="861"/>
      <c r="B31" s="840"/>
      <c r="C31" s="840"/>
      <c r="D31" s="473"/>
      <c r="E31" s="474"/>
      <c r="F31" s="474"/>
      <c r="G31" s="474"/>
      <c r="H31" s="474"/>
      <c r="I31" s="475"/>
    </row>
    <row r="32" spans="1:10" ht="16.8" thickTop="1" thickBot="1">
      <c r="A32" s="862" t="s">
        <v>152</v>
      </c>
      <c r="B32" s="863"/>
      <c r="C32" s="863"/>
      <c r="D32" s="476"/>
      <c r="E32" s="477"/>
      <c r="F32" s="477"/>
      <c r="G32" s="477"/>
      <c r="H32" s="477"/>
      <c r="I32" s="1176"/>
    </row>
    <row r="33" spans="1:9" ht="15.6" thickTop="1">
      <c r="A33" s="849" t="s">
        <v>153</v>
      </c>
      <c r="B33" s="840" t="s">
        <v>145</v>
      </c>
      <c r="C33" s="840" t="s">
        <v>60</v>
      </c>
      <c r="D33" s="468">
        <f>PGL_Supplies!M7/1000</f>
        <v>0</v>
      </c>
      <c r="E33" s="468">
        <f>PGL_Supplies!M8/1000</f>
        <v>0</v>
      </c>
      <c r="F33" s="468">
        <f>PGL_Supplies!M9/1000</f>
        <v>0</v>
      </c>
      <c r="G33" s="468">
        <f>PGL_Supplies!M10/1000</f>
        <v>0</v>
      </c>
      <c r="H33" s="468">
        <f>PGL_Supplies!M11/1000</f>
        <v>0</v>
      </c>
      <c r="I33" s="469">
        <f>PGL_Supplies!M12/1000</f>
        <v>0</v>
      </c>
    </row>
    <row r="34" spans="1:9">
      <c r="A34" s="849"/>
      <c r="B34" s="840"/>
      <c r="C34" s="840" t="s">
        <v>94</v>
      </c>
      <c r="D34" s="468">
        <f>PGL_Supplies!H7/1000</f>
        <v>1</v>
      </c>
      <c r="E34" s="468">
        <f>PGL_Supplies!H8/1000</f>
        <v>1</v>
      </c>
      <c r="F34" s="468">
        <f>PGL_Supplies!H9/1000</f>
        <v>1</v>
      </c>
      <c r="G34" s="468">
        <f>PGL_Supplies!H10/1000</f>
        <v>1</v>
      </c>
      <c r="H34" s="468">
        <f>PGL_Supplies!H11/1000</f>
        <v>1</v>
      </c>
      <c r="I34" s="469">
        <f>PGL_Supplies!H12/1000</f>
        <v>1</v>
      </c>
    </row>
    <row r="35" spans="1:9">
      <c r="A35" s="849"/>
      <c r="B35" s="840"/>
      <c r="C35" s="840" t="s">
        <v>61</v>
      </c>
      <c r="D35" s="468">
        <f>PGL_Supplies!J7/1000</f>
        <v>0</v>
      </c>
      <c r="E35" s="468">
        <f>PGL_Supplies!J8/1000</f>
        <v>0</v>
      </c>
      <c r="F35" s="468">
        <f>PGL_Supplies!J9/1000</f>
        <v>0</v>
      </c>
      <c r="G35" s="468">
        <f>PGL_Supplies!J10/1000</f>
        <v>0</v>
      </c>
      <c r="H35" s="468">
        <f>PGL_Supplies!J11/1000</f>
        <v>0</v>
      </c>
      <c r="I35" s="469">
        <f>PGL_Supplies!J12/1000</f>
        <v>0</v>
      </c>
    </row>
    <row r="36" spans="1:9">
      <c r="A36" s="849"/>
      <c r="B36" s="840" t="s">
        <v>143</v>
      </c>
      <c r="C36" s="840" t="s">
        <v>90</v>
      </c>
      <c r="D36" s="468">
        <f>PGL_Supplies!R7/1000</f>
        <v>0</v>
      </c>
      <c r="E36" s="468">
        <f>PGL_Supplies!R8/1000</f>
        <v>0</v>
      </c>
      <c r="F36" s="468">
        <f>PGL_Supplies!R9/1000</f>
        <v>0</v>
      </c>
      <c r="G36" s="468">
        <f>PGL_Supplies!R10/1000</f>
        <v>0</v>
      </c>
      <c r="H36" s="468">
        <f>PGL_Supplies!R11/1000</f>
        <v>0</v>
      </c>
      <c r="I36" s="469">
        <f>PGL_Supplies!R12/1000</f>
        <v>0</v>
      </c>
    </row>
    <row r="37" spans="1:9">
      <c r="A37" s="849"/>
      <c r="B37" s="840" t="s">
        <v>141</v>
      </c>
      <c r="C37" s="840" t="s">
        <v>90</v>
      </c>
      <c r="D37" s="468">
        <f>PGL_Supplies!L7/1000</f>
        <v>0</v>
      </c>
      <c r="E37" s="468">
        <f>PGL_Supplies!L8/1000</f>
        <v>0</v>
      </c>
      <c r="F37" s="468">
        <f>PGL_Supplies!L9/1000</f>
        <v>0</v>
      </c>
      <c r="G37" s="468">
        <f>PGL_Supplies!L10/1000</f>
        <v>0</v>
      </c>
      <c r="H37" s="468">
        <f>PGL_Supplies!L11/1000</f>
        <v>0</v>
      </c>
      <c r="I37" s="469">
        <f>PGL_Supplies!L12/1000</f>
        <v>0</v>
      </c>
    </row>
    <row r="38" spans="1:9">
      <c r="A38" s="852" t="s">
        <v>155</v>
      </c>
      <c r="B38" s="840" t="s">
        <v>143</v>
      </c>
      <c r="C38" s="840"/>
      <c r="D38" s="468">
        <f>(NSG_Requirements!$S$7+NSG_Requirements!$T$7+NSG_Requirements!$U$7)/1000</f>
        <v>0</v>
      </c>
      <c r="E38" s="468">
        <f>(NSG_Requirements!$S$8+NSG_Requirements!$T$8+NSG_Requirements!$U$8)/1000</f>
        <v>0</v>
      </c>
      <c r="F38" s="468">
        <f>(NSG_Requirements!$S$9+NSG_Requirements!$T$9+NSG_Requirements!$U$9)/1000</f>
        <v>0</v>
      </c>
      <c r="G38" s="468">
        <f>(NSG_Requirements!$S$10+NSG_Requirements!$T$10+NSG_Requirements!$U$10)/1000</f>
        <v>0</v>
      </c>
      <c r="H38" s="468">
        <f>(NSG_Requirements!$S$11+NSG_Requirements!$T$11+NSG_Requirements!$U$11)/1000</f>
        <v>0</v>
      </c>
      <c r="I38" s="469">
        <f>(NSG_Requirements!$S$12+NSG_Requirements!$T$11+NSG_Requirements!$U$11)/1000</f>
        <v>0</v>
      </c>
    </row>
    <row r="39" spans="1:9">
      <c r="A39" s="852"/>
      <c r="B39" s="840" t="s">
        <v>416</v>
      </c>
      <c r="C39" s="853"/>
      <c r="D39" s="468">
        <f>(NSG_Requirements!$AB$7+NSG_Requirements!$AC$7+NSG_Requirements!$AD$7+NSG_Requirements!$AE$7)/1000</f>
        <v>0</v>
      </c>
      <c r="E39" s="468">
        <f>(NSG_Requirements!$AB$8+NSG_Requirements!$AC$8+NSG_Requirements!$AD$8+NSG_Requirements!$AE$8)/1000</f>
        <v>0</v>
      </c>
      <c r="F39" s="468">
        <f>(NSG_Requirements!$AB$9+NSG_Requirements!$AC$9+NSG_Requirements!$AD$9+NSG_Requirements!$AE$9)/1000</f>
        <v>0</v>
      </c>
      <c r="G39" s="468">
        <f>(NSG_Requirements!$AB$10+NSG_Requirements!$AC$10+NSG_Requirements!$AD$10+NSG_Requirements!$AE$10)/1000</f>
        <v>0</v>
      </c>
      <c r="H39" s="468">
        <f>(NSG_Requirements!$AB$11+NSG_Requirements!$AC$11+NSG_Requirements!$AD$11+NSG_Requirements!$AE$11)/1000</f>
        <v>0</v>
      </c>
      <c r="I39" s="469">
        <f>(NSG_Requirements!$AB$12+NSG_Requirements!$AC$12+NSG_Requirements!$AD$12+NSG_Requirements!$AE$12)/1000</f>
        <v>0</v>
      </c>
    </row>
    <row r="40" spans="1:9">
      <c r="A40" s="852"/>
      <c r="B40" s="840" t="s">
        <v>141</v>
      </c>
      <c r="C40" s="840"/>
      <c r="D40" s="468">
        <f>(NSG_Requirements!$Y$7+NSG_Requirements!$Z$7+NSG_Requirements!$AA$7)/1000</f>
        <v>0</v>
      </c>
      <c r="E40" s="468">
        <f>(NSG_Requirements!$Y$8+NSG_Requirements!$Z$8+NSG_Requirements!$AA$8)/1000</f>
        <v>0</v>
      </c>
      <c r="F40" s="468">
        <f>(NSG_Requirements!$Y$9+NSG_Requirements!$Z$9+NSG_Requirements!$AA$9)/1000</f>
        <v>0</v>
      </c>
      <c r="G40" s="468">
        <f>(NSG_Requirements!$Y$10+NSG_Requirements!$Z$10+NSG_Requirements!$AA$10)/1000</f>
        <v>0</v>
      </c>
      <c r="H40" s="468">
        <f>(NSG_Requirements!$Y$11+NSG_Requirements!$Z$11+NSG_Requirements!$AA$11)/1000</f>
        <v>0</v>
      </c>
      <c r="I40" s="469">
        <f>(NSG_Requirements!$Y$12+NSG_Requirements!$Z$12+NSG_Requirements!$AA$12)/1000</f>
        <v>0</v>
      </c>
    </row>
    <row r="41" spans="1:9">
      <c r="A41" s="852"/>
      <c r="B41" s="840" t="s">
        <v>156</v>
      </c>
      <c r="C41" s="840" t="s">
        <v>157</v>
      </c>
      <c r="D41" s="468">
        <f>(NSG_Requirements!$L$7+NSG_Requirements!$M$7+NSG_Requirements!$N$7+NSG_Requirements!$K$7)/1000</f>
        <v>0</v>
      </c>
      <c r="E41" s="468">
        <f>(NSG_Requirements!$L$8+NSG_Requirements!$M$8+NSG_Requirements!$N$8+NSG_Requirements!$K$8)/1000</f>
        <v>0</v>
      </c>
      <c r="F41" s="468">
        <f>(NSG_Requirements!$L$9+NSG_Requirements!$M$9+NSG_Requirements!$N$9+NSG_Requirements!$K$9)/1000</f>
        <v>0</v>
      </c>
      <c r="G41" s="468">
        <f>(NSG_Requirements!$L$10+NSG_Requirements!$M$10+NSG_Requirements!$N$10+NSG_Requirements!$K$10)/1000</f>
        <v>0</v>
      </c>
      <c r="H41" s="468">
        <f>(NSG_Requirements!$L$11+NSG_Requirements!$M$11+NSG_Requirements!$N$11+NSG_Requirements!$K$11)/1000</f>
        <v>0</v>
      </c>
      <c r="I41" s="469">
        <f>(NSG_Requirements!$L$12+NSG_Requirements!$M$12+NSG_Requirements!$N$12+NSG_Requirements!$K$12)/1000</f>
        <v>0</v>
      </c>
    </row>
    <row r="42" spans="1:9">
      <c r="A42" s="852" t="s">
        <v>721</v>
      </c>
      <c r="B42" s="840"/>
      <c r="C42" s="840"/>
      <c r="D42" s="468">
        <f>PGL_Supplies!U7/1000</f>
        <v>0</v>
      </c>
      <c r="E42" s="468">
        <f>PGL_Supplies!U8/1000</f>
        <v>0</v>
      </c>
      <c r="F42" s="468">
        <f>PGL_Supplies!U9/1000</f>
        <v>0</v>
      </c>
      <c r="G42" s="468">
        <f>PGL_Supplies!U10/1000</f>
        <v>0</v>
      </c>
      <c r="H42" s="468">
        <f>PGL_Supplies!U11/1000</f>
        <v>0</v>
      </c>
      <c r="I42" s="469">
        <f>PGL_Supplies!U12/1000</f>
        <v>0</v>
      </c>
    </row>
    <row r="43" spans="1:9">
      <c r="A43" s="852" t="s">
        <v>622</v>
      </c>
      <c r="B43" s="840" t="s">
        <v>416</v>
      </c>
      <c r="C43" s="840"/>
      <c r="D43" s="468">
        <f>PGL_Supplies!T7/1000*0.5</f>
        <v>10</v>
      </c>
      <c r="E43" s="468">
        <f>PGL_Supplies!T8/1000*0.5</f>
        <v>11.821999999999999</v>
      </c>
      <c r="F43" s="468">
        <f>PGL_Supplies!T9/1000*0.5</f>
        <v>0</v>
      </c>
      <c r="G43" s="468">
        <f>PGL_Supplies!T10/1000*0.5</f>
        <v>0</v>
      </c>
      <c r="H43" s="468">
        <f>PGL_Supplies!T11/1000*0.5</f>
        <v>0</v>
      </c>
      <c r="I43" s="469">
        <f>PGL_Supplies!T12/1000*0.5</f>
        <v>0</v>
      </c>
    </row>
    <row r="44" spans="1:9">
      <c r="A44" s="849"/>
      <c r="B44" s="840" t="s">
        <v>147</v>
      </c>
      <c r="C44" s="853"/>
      <c r="D44" s="468">
        <v>0</v>
      </c>
      <c r="E44" s="468">
        <v>0</v>
      </c>
      <c r="F44" s="468">
        <v>0</v>
      </c>
      <c r="G44" s="468">
        <v>0</v>
      </c>
      <c r="H44" s="468">
        <v>0</v>
      </c>
      <c r="I44" s="469">
        <v>0</v>
      </c>
    </row>
    <row r="45" spans="1:9">
      <c r="A45" s="849"/>
      <c r="B45" s="840" t="s">
        <v>416</v>
      </c>
      <c r="C45" s="853"/>
      <c r="D45" s="468">
        <f>PGL_Supplies!W7/1000</f>
        <v>0</v>
      </c>
      <c r="E45" s="468">
        <f>PGL_Supplies!W8/1000</f>
        <v>0</v>
      </c>
      <c r="F45" s="468">
        <f>PGL_Supplies!W9/1000</f>
        <v>0</v>
      </c>
      <c r="G45" s="468">
        <f>PGL_Supplies!W10/1000</f>
        <v>0</v>
      </c>
      <c r="H45" s="468">
        <f>PGL_Supplies!W11/1000</f>
        <v>0</v>
      </c>
      <c r="I45" s="469">
        <f>PGL_Supplies!W12/1000</f>
        <v>0</v>
      </c>
    </row>
    <row r="46" spans="1:9">
      <c r="A46" s="849"/>
      <c r="B46" s="840" t="s">
        <v>141</v>
      </c>
      <c r="C46" s="840"/>
      <c r="D46" s="468">
        <v>0</v>
      </c>
      <c r="E46" s="468">
        <v>0</v>
      </c>
      <c r="F46" s="468">
        <v>0</v>
      </c>
      <c r="G46" s="468">
        <v>0</v>
      </c>
      <c r="H46" s="468">
        <v>0</v>
      </c>
      <c r="I46" s="469">
        <v>0</v>
      </c>
    </row>
    <row r="47" spans="1:9">
      <c r="A47" s="866" t="s">
        <v>768</v>
      </c>
      <c r="B47" s="840" t="s">
        <v>746</v>
      </c>
      <c r="C47" s="840"/>
      <c r="D47" s="468">
        <f>PGL_Supplies!Y7/1000</f>
        <v>172.51499999999999</v>
      </c>
      <c r="E47" s="468">
        <f>PGL_Supplies!Y8/1000</f>
        <v>172.51499999999999</v>
      </c>
      <c r="F47" s="468">
        <f>PGL_Supplies!Y9/1000</f>
        <v>172.51499999999999</v>
      </c>
      <c r="G47" s="468">
        <f>PGL_Supplies!Y10/1000</f>
        <v>172.51499999999999</v>
      </c>
      <c r="H47" s="468">
        <f>PGL_Supplies!Y11/1000</f>
        <v>172.51499999999999</v>
      </c>
      <c r="I47" s="469">
        <f>PGL_Supplies!Y12/1000</f>
        <v>172.51499999999999</v>
      </c>
    </row>
    <row r="48" spans="1:9">
      <c r="A48" s="852"/>
      <c r="B48" s="840" t="s">
        <v>143</v>
      </c>
      <c r="C48" s="853"/>
      <c r="D48" s="468">
        <f>PGL_Supplies!Z7/1000</f>
        <v>40.200000000000003</v>
      </c>
      <c r="E48" s="468">
        <f>PGL_Supplies!Z8/1000</f>
        <v>40.200000000000003</v>
      </c>
      <c r="F48" s="468">
        <f>PGL_Supplies!Z9/1000</f>
        <v>40.200000000000003</v>
      </c>
      <c r="G48" s="468">
        <f>PGL_Supplies!Z10/1000</f>
        <v>40.200000000000003</v>
      </c>
      <c r="H48" s="468">
        <f>PGL_Supplies!Z11/1000</f>
        <v>40.200000000000003</v>
      </c>
      <c r="I48" s="469">
        <f>PGL_Supplies!Z12/1000</f>
        <v>40.200000000000003</v>
      </c>
    </row>
    <row r="49" spans="1:10">
      <c r="A49" s="852"/>
      <c r="B49" s="840" t="s">
        <v>147</v>
      </c>
      <c r="C49" s="853"/>
      <c r="D49" s="468">
        <f>PGL_Supplies!AA7/1000</f>
        <v>0</v>
      </c>
      <c r="E49" s="468">
        <f>PGL_Supplies!AA8/1000</f>
        <v>0</v>
      </c>
      <c r="F49" s="468">
        <f>PGL_Supplies!AA9/1000</f>
        <v>0</v>
      </c>
      <c r="G49" s="468">
        <f>PGL_Supplies!AA10/1000</f>
        <v>0</v>
      </c>
      <c r="H49" s="468">
        <f>PGL_Supplies!AA11/1000</f>
        <v>0</v>
      </c>
      <c r="I49" s="469">
        <f>PGL_Supplies!AA12/1000</f>
        <v>0</v>
      </c>
    </row>
    <row r="50" spans="1:10">
      <c r="A50" s="852"/>
      <c r="B50" s="840" t="s">
        <v>416</v>
      </c>
      <c r="C50" s="853"/>
      <c r="D50" s="468">
        <f>PGL_Supplies!AB7/1000</f>
        <v>183.85499999999999</v>
      </c>
      <c r="E50" s="468">
        <f>PGL_Supplies!AB8/1000</f>
        <v>183.85499999999999</v>
      </c>
      <c r="F50" s="468">
        <f>PGL_Supplies!AB9/1000</f>
        <v>183.85499999999999</v>
      </c>
      <c r="G50" s="468">
        <f>PGL_Supplies!AB10/1000</f>
        <v>183.85499999999999</v>
      </c>
      <c r="H50" s="468">
        <f>PGL_Supplies!AB11/1000</f>
        <v>183.85499999999999</v>
      </c>
      <c r="I50" s="469">
        <f>PGL_Supplies!AB12/1000</f>
        <v>183.85499999999999</v>
      </c>
    </row>
    <row r="51" spans="1:10">
      <c r="A51" s="852"/>
      <c r="B51" s="840" t="s">
        <v>141</v>
      </c>
      <c r="C51" s="840"/>
      <c r="D51" s="468">
        <f>PGL_Supplies!AC7/1000</f>
        <v>60.064</v>
      </c>
      <c r="E51" s="468">
        <f>PGL_Supplies!AC8/1000</f>
        <v>60.064</v>
      </c>
      <c r="F51" s="468">
        <f>PGL_Supplies!AC9/1000</f>
        <v>116.06399999999999</v>
      </c>
      <c r="G51" s="468">
        <f>PGL_Supplies!AC10/1000</f>
        <v>116.06399999999999</v>
      </c>
      <c r="H51" s="468">
        <f>PGL_Supplies!AC11/1000</f>
        <v>116.06399999999999</v>
      </c>
      <c r="I51" s="469">
        <f>PGL_Supplies!AC12/1000</f>
        <v>116.06399999999999</v>
      </c>
    </row>
    <row r="52" spans="1:10">
      <c r="A52" s="852"/>
      <c r="B52" s="840" t="s">
        <v>142</v>
      </c>
      <c r="C52" s="840"/>
      <c r="D52" s="468">
        <f>PGL_Supplies!AD7/1000</f>
        <v>0</v>
      </c>
      <c r="E52" s="468">
        <f>PGL_Supplies!AD8/1000</f>
        <v>0</v>
      </c>
      <c r="F52" s="468">
        <f>PGL_Supplies!AD9/1000</f>
        <v>0</v>
      </c>
      <c r="G52" s="468">
        <f>PGL_Supplies!AD10/1000</f>
        <v>0</v>
      </c>
      <c r="H52" s="468">
        <f>PGL_Supplies!AD11/1000</f>
        <v>0</v>
      </c>
      <c r="I52" s="469">
        <f>PGL_Supplies!AD12/1000</f>
        <v>0</v>
      </c>
    </row>
    <row r="53" spans="1:10">
      <c r="A53" s="866"/>
      <c r="B53" s="840" t="s">
        <v>158</v>
      </c>
      <c r="C53" s="840"/>
      <c r="D53" s="468">
        <f>PGL_Supplies!I7/1000</f>
        <v>15</v>
      </c>
      <c r="E53" s="468">
        <f>PGL_Supplies!I8/1000</f>
        <v>15</v>
      </c>
      <c r="F53" s="468">
        <f>PGL_Supplies!I9/1000</f>
        <v>15</v>
      </c>
      <c r="G53" s="468">
        <f>PGL_Supplies!I10/1000</f>
        <v>15</v>
      </c>
      <c r="H53" s="468">
        <f>PGL_Supplies!I11/1000</f>
        <v>15</v>
      </c>
      <c r="I53" s="469">
        <f>PGL_Supplies!I12/1000</f>
        <v>15</v>
      </c>
      <c r="J53" s="113" t="s">
        <v>11</v>
      </c>
    </row>
    <row r="54" spans="1:10">
      <c r="A54" s="849"/>
      <c r="B54" s="840" t="s">
        <v>159</v>
      </c>
      <c r="C54" s="840"/>
      <c r="D54" s="468">
        <f>PGL_Supplies!K7/1000</f>
        <v>0</v>
      </c>
      <c r="E54" s="468">
        <f>PGL_Supplies!K8/1000</f>
        <v>0</v>
      </c>
      <c r="F54" s="468">
        <f>PGL_Supplies!K9/1000</f>
        <v>0</v>
      </c>
      <c r="G54" s="468">
        <f>PGL_Supplies!K10/1000</f>
        <v>0</v>
      </c>
      <c r="H54" s="468">
        <f>PGL_Supplies!K11/1000</f>
        <v>0</v>
      </c>
      <c r="I54" s="469">
        <f>PGL_Supplies!K12/1000</f>
        <v>0</v>
      </c>
    </row>
    <row r="55" spans="1:10">
      <c r="A55" s="852" t="s">
        <v>786</v>
      </c>
      <c r="B55" s="840"/>
      <c r="C55" s="840"/>
      <c r="D55" s="468">
        <f>PGL_Supplies!B7/1000</f>
        <v>0</v>
      </c>
      <c r="E55" s="468">
        <f>PGL_Supplies!B8/1000</f>
        <v>0</v>
      </c>
      <c r="F55" s="468">
        <f>PGL_Supplies!B9/1000</f>
        <v>0</v>
      </c>
      <c r="G55" s="468">
        <f>PGL_Supplies!B10/1000</f>
        <v>0</v>
      </c>
      <c r="H55" s="468">
        <f>PGL_Supplies!B11/1000</f>
        <v>0</v>
      </c>
      <c r="I55" s="469">
        <f>PGL_Supplies!B12/1000</f>
        <v>0</v>
      </c>
    </row>
    <row r="56" spans="1:10">
      <c r="A56" s="849" t="s">
        <v>757</v>
      </c>
      <c r="B56" s="840" t="s">
        <v>746</v>
      </c>
      <c r="C56" s="840"/>
      <c r="D56" s="468">
        <f>PGL_Supplies!X7/1000</f>
        <v>0</v>
      </c>
      <c r="E56" s="468">
        <f>PGL_Supplies!X8/1000</f>
        <v>0</v>
      </c>
      <c r="F56" s="468">
        <f>PGL_Supplies!X9/1000</f>
        <v>0</v>
      </c>
      <c r="G56" s="468">
        <f>PGL_Supplies!X10/1000</f>
        <v>0</v>
      </c>
      <c r="H56" s="468">
        <f>PGL_Supplies!X11/1000</f>
        <v>0</v>
      </c>
      <c r="I56" s="469">
        <f>PGL_Supplies!X12/1000</f>
        <v>0</v>
      </c>
    </row>
    <row r="57" spans="1:10">
      <c r="A57" s="849"/>
      <c r="B57" s="840" t="s">
        <v>143</v>
      </c>
      <c r="C57" s="840"/>
      <c r="D57" s="468">
        <f>PGL_Supplies!C7/1000</f>
        <v>0</v>
      </c>
      <c r="E57" s="468">
        <f>PGL_Supplies!C8/1000</f>
        <v>0</v>
      </c>
      <c r="F57" s="468">
        <f>PGL_Supplies!C9/1000</f>
        <v>0</v>
      </c>
      <c r="G57" s="468">
        <f>PGL_Supplies!C10/1000</f>
        <v>0</v>
      </c>
      <c r="H57" s="468">
        <f>PGL_Supplies!C11/1000</f>
        <v>0</v>
      </c>
      <c r="I57" s="469">
        <f>PGL_Supplies!C12/1000</f>
        <v>0</v>
      </c>
    </row>
    <row r="58" spans="1:10">
      <c r="A58" s="849"/>
      <c r="B58" s="854" t="s">
        <v>147</v>
      </c>
      <c r="C58" s="840"/>
      <c r="D58" s="468">
        <f>PGL_Supplies!D7/1000</f>
        <v>0</v>
      </c>
      <c r="E58" s="468">
        <f>PGL_Supplies!D8/1000</f>
        <v>0</v>
      </c>
      <c r="F58" s="468">
        <f>PGL_Supplies!D9/1000</f>
        <v>0</v>
      </c>
      <c r="G58" s="468">
        <f>PGL_Supplies!D10/1000</f>
        <v>0</v>
      </c>
      <c r="H58" s="468">
        <f>PGL_Supplies!D11/1000</f>
        <v>0</v>
      </c>
      <c r="I58" s="469">
        <f>PGL_Supplies!D12/1000</f>
        <v>0</v>
      </c>
    </row>
    <row r="59" spans="1:10">
      <c r="A59" s="849"/>
      <c r="B59" s="840" t="s">
        <v>416</v>
      </c>
      <c r="C59" s="840"/>
      <c r="D59" s="468">
        <f>PGL_Supplies!E7/1000</f>
        <v>2.8</v>
      </c>
      <c r="E59" s="468">
        <f>PGL_Supplies!E8/1000</f>
        <v>0</v>
      </c>
      <c r="F59" s="468">
        <f>PGL_Supplies!E9/1000</f>
        <v>0</v>
      </c>
      <c r="G59" s="468">
        <f>PGL_Supplies!E10/1000</f>
        <v>0</v>
      </c>
      <c r="H59" s="468">
        <f>PGL_Supplies!E11/1000</f>
        <v>0</v>
      </c>
      <c r="I59" s="469">
        <f>PGL_Supplies!E12/1000</f>
        <v>0</v>
      </c>
    </row>
    <row r="60" spans="1:10">
      <c r="A60" s="867"/>
      <c r="B60" s="868" t="s">
        <v>142</v>
      </c>
      <c r="C60" s="868"/>
      <c r="D60" s="470">
        <f>PGL_Supplies!G7/1000</f>
        <v>0</v>
      </c>
      <c r="E60" s="470">
        <f>PGL_Supplies!G8/1000</f>
        <v>0</v>
      </c>
      <c r="F60" s="470">
        <f>PGL_Supplies!G9/1000</f>
        <v>0</v>
      </c>
      <c r="G60" s="470">
        <f>PGL_Supplies!G10/1000</f>
        <v>0</v>
      </c>
      <c r="H60" s="470">
        <f>PGL_Supplies!G11/1000</f>
        <v>0</v>
      </c>
      <c r="I60" s="471">
        <f>PGL_Supplies!G12/1000</f>
        <v>0</v>
      </c>
    </row>
    <row r="61" spans="1:10" ht="15.6" thickBot="1">
      <c r="A61" s="870" t="s">
        <v>160</v>
      </c>
      <c r="B61" s="871"/>
      <c r="C61" s="871"/>
      <c r="D61" s="478">
        <f t="shared" ref="D61:I61" si="2">SUM(D33:D60)</f>
        <v>485.43399999999997</v>
      </c>
      <c r="E61" s="478">
        <f t="shared" si="2"/>
        <v>484.45599999999996</v>
      </c>
      <c r="F61" s="478">
        <f t="shared" si="2"/>
        <v>528.6339999999999</v>
      </c>
      <c r="G61" s="478">
        <f t="shared" si="2"/>
        <v>528.6339999999999</v>
      </c>
      <c r="H61" s="478">
        <f t="shared" si="2"/>
        <v>528.6339999999999</v>
      </c>
      <c r="I61" s="1177">
        <f t="shared" si="2"/>
        <v>528.6339999999999</v>
      </c>
    </row>
    <row r="62" spans="1:10">
      <c r="A62" s="872" t="s">
        <v>161</v>
      </c>
      <c r="B62" s="873"/>
      <c r="C62" s="873"/>
      <c r="D62" s="479">
        <f t="shared" ref="D62:I62" si="3">IF(D61-D30&lt;0,0,D61-D30)</f>
        <v>0</v>
      </c>
      <c r="E62" s="479">
        <f t="shared" si="3"/>
        <v>26.375999999999976</v>
      </c>
      <c r="F62" s="479">
        <f t="shared" si="3"/>
        <v>45.553999999999917</v>
      </c>
      <c r="G62" s="479">
        <f t="shared" si="3"/>
        <v>50.553999999999917</v>
      </c>
      <c r="H62" s="479">
        <f t="shared" si="3"/>
        <v>80.553999999999917</v>
      </c>
      <c r="I62" s="1178">
        <f t="shared" si="3"/>
        <v>100.55399999999992</v>
      </c>
    </row>
    <row r="63" spans="1:10" ht="15.6" thickBot="1">
      <c r="A63" s="874" t="s">
        <v>162</v>
      </c>
      <c r="B63" s="858"/>
      <c r="C63" s="875"/>
      <c r="D63" s="480">
        <f t="shared" ref="D63:I63" si="4">IF(D30-D61&lt;0,0,D30-D61)</f>
        <v>1.0000000000331966E-3</v>
      </c>
      <c r="E63" s="480">
        <f t="shared" si="4"/>
        <v>0</v>
      </c>
      <c r="F63" s="480">
        <f t="shared" si="4"/>
        <v>0</v>
      </c>
      <c r="G63" s="480">
        <f t="shared" si="4"/>
        <v>0</v>
      </c>
      <c r="H63" s="480">
        <f t="shared" si="4"/>
        <v>0</v>
      </c>
      <c r="I63" s="1179">
        <f t="shared" si="4"/>
        <v>0</v>
      </c>
    </row>
    <row r="64" spans="1:10" ht="16.2" thickTop="1" thickBot="1">
      <c r="A64" s="1166" t="s">
        <v>772</v>
      </c>
      <c r="B64" s="1167"/>
      <c r="C64" s="1167"/>
      <c r="D64" s="1168">
        <f>PGL_Supplies!V7/1000</f>
        <v>177.744</v>
      </c>
      <c r="E64" s="1168">
        <f>PGL_Supplies!V8/1000</f>
        <v>177.744</v>
      </c>
      <c r="F64" s="1168">
        <f>PGL_Supplies!V9/1000</f>
        <v>177.744</v>
      </c>
      <c r="G64" s="1168">
        <f>PGL_Supplies!V10/1000</f>
        <v>177.744</v>
      </c>
      <c r="H64" s="1168">
        <f>PGL_Supplies!V11/1000</f>
        <v>177.744</v>
      </c>
      <c r="I64" s="1169">
        <f>PGL_Supplies!V12/1000</f>
        <v>177.744</v>
      </c>
    </row>
    <row r="65" ht="15.6" thickTop="1"/>
  </sheetData>
  <customSheetViews>
    <customSheetView guid="{66C35B70-1DF5-11D4-B46C-0004ACEC7D4A}" scale="75" fitToPage="1" showRuler="0">
      <selection sqref="A1:I72"/>
      <pageMargins left="1" right="0.25" top="0.25" bottom="0.5" header="0.5" footer="0.25"/>
      <pageSetup scale="62" orientation="portrait" horizontalDpi="4294967292" verticalDpi="300" r:id="rId1"/>
      <headerFooter alignWithMargins="0">
        <oddFooter>&amp;R&amp;9Date Printed: &amp;D &amp;T</oddFooter>
      </headerFooter>
    </customSheetView>
  </customSheetViews>
  <pageMargins left="1" right="0.25" top="0.25" bottom="0.5" header="0.5" footer="0.25"/>
  <pageSetup scale="70" orientation="portrait" horizontalDpi="4294967292" verticalDpi="300" r:id="rId2"/>
  <headerFooter alignWithMargins="0">
    <oddFooter>&amp;R&amp;9Date Printed: 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26</vt:i4>
      </vt:variant>
      <vt:variant>
        <vt:lpstr>Named Ranges</vt:lpstr>
      </vt:variant>
      <vt:variant>
        <vt:i4>35</vt:i4>
      </vt:variant>
    </vt:vector>
  </HeadingPairs>
  <TitlesOfParts>
    <vt:vector size="61" baseType="lpstr">
      <vt:lpstr>Top_Menu</vt:lpstr>
      <vt:lpstr>Weather_Input</vt:lpstr>
      <vt:lpstr>PGL_Deliveries</vt:lpstr>
      <vt:lpstr>NSG_Deliveries</vt:lpstr>
      <vt:lpstr>PGL_Requirements</vt:lpstr>
      <vt:lpstr>PGL_Supplies</vt:lpstr>
      <vt:lpstr>NSG_Requirements</vt:lpstr>
      <vt:lpstr>NSG_Supplies</vt:lpstr>
      <vt:lpstr>PGL_6_Day_Report</vt:lpstr>
      <vt:lpstr>NSG_6_Day_Report</vt:lpstr>
      <vt:lpstr>PGL_Nine_to_Nine</vt:lpstr>
      <vt:lpstr>NSG_Nine_to_Nine</vt:lpstr>
      <vt:lpstr>Nine_to_Nine</vt:lpstr>
      <vt:lpstr>PGL_Midcon_Form</vt:lpstr>
      <vt:lpstr>NSG_Midcon_Form</vt:lpstr>
      <vt:lpstr>Six_Day_Summary</vt:lpstr>
      <vt:lpstr>NPGL_Forecast</vt:lpstr>
      <vt:lpstr>Billy_Sheet</vt:lpstr>
      <vt:lpstr>MAHOMET PIPELINE GRAPHICS</vt:lpstr>
      <vt:lpstr>PGL_Gas_Summary</vt:lpstr>
      <vt:lpstr>NSG_Gas_Summary</vt:lpstr>
      <vt:lpstr>NGPL_Gas_Summary</vt:lpstr>
      <vt:lpstr>Sheet1</vt:lpstr>
      <vt:lpstr>End_of_Month_Reports</vt:lpstr>
      <vt:lpstr>Imbalances</vt:lpstr>
      <vt:lpstr>Normal_Degree_Day_Data</vt:lpstr>
      <vt:lpstr>Average_Temp</vt:lpstr>
      <vt:lpstr>Day_1_Cell</vt:lpstr>
      <vt:lpstr>Day_1_Code</vt:lpstr>
      <vt:lpstr>Day_2_Cell</vt:lpstr>
      <vt:lpstr>Day_2_Code</vt:lpstr>
      <vt:lpstr>Day_3_Cell</vt:lpstr>
      <vt:lpstr>Day_3_Code</vt:lpstr>
      <vt:lpstr>Day_4_Cell</vt:lpstr>
      <vt:lpstr>Day_4_Code</vt:lpstr>
      <vt:lpstr>Day_5_Cell</vt:lpstr>
      <vt:lpstr>Day_5_Code</vt:lpstr>
      <vt:lpstr>Day_6_Cell</vt:lpstr>
      <vt:lpstr>Day_6_Code</vt:lpstr>
      <vt:lpstr>DD_Normal_Data</vt:lpstr>
      <vt:lpstr>First_date</vt:lpstr>
      <vt:lpstr>Imbalances</vt:lpstr>
      <vt:lpstr>NSG_Sendout_Input</vt:lpstr>
      <vt:lpstr>NSG_Sendouts</vt:lpstr>
      <vt:lpstr>Old_Imbalance</vt:lpstr>
      <vt:lpstr>PGL_Nom_Input</vt:lpstr>
      <vt:lpstr>PGL_Noms</vt:lpstr>
      <vt:lpstr>PGL_Sendout_Input</vt:lpstr>
      <vt:lpstr>PGL_Sendouts</vt:lpstr>
      <vt:lpstr>Normal_Degree_Day_Data!Print_Area</vt:lpstr>
      <vt:lpstr>NSG_6_Day_Report!Print_Area</vt:lpstr>
      <vt:lpstr>NSG_Requirements!Print_Area</vt:lpstr>
      <vt:lpstr>NSG_Supplies!Print_Area</vt:lpstr>
      <vt:lpstr>PGL_Requirements!Print_Area</vt:lpstr>
      <vt:lpstr>PGL_Supplies!Print_Area</vt:lpstr>
      <vt:lpstr>Weather_Input!Print_Area</vt:lpstr>
      <vt:lpstr>Print_Area_MI</vt:lpstr>
      <vt:lpstr>Six_day_NSG_PRANGE</vt:lpstr>
      <vt:lpstr>Six_Day_PGL_PRANGE</vt:lpstr>
      <vt:lpstr>Six_Day_SUM_PRANGE</vt:lpstr>
      <vt:lpstr>Weather_Input</vt:lpstr>
    </vt:vector>
  </TitlesOfParts>
  <Company>pgl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BERUI</dc:creator>
  <cp:lastModifiedBy>Havlíček Jan</cp:lastModifiedBy>
  <cp:lastPrinted>2001-05-07T08:40:22Z</cp:lastPrinted>
  <dcterms:created xsi:type="dcterms:W3CDTF">1997-07-16T16:14:22Z</dcterms:created>
  <dcterms:modified xsi:type="dcterms:W3CDTF">2023-09-10T11:14:20Z</dcterms:modified>
</cp:coreProperties>
</file>