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D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H8" i="9"/>
  <c r="AJ8" i="9"/>
  <c r="AK8" i="9"/>
  <c r="Z9" i="9"/>
  <c r="AD9" i="9"/>
  <c r="AG9" i="9"/>
  <c r="AH9" i="9"/>
  <c r="AJ9" i="9"/>
  <c r="AK9" i="9"/>
  <c r="Z10" i="9"/>
  <c r="AD10" i="9"/>
  <c r="AG10" i="9"/>
  <c r="AH10" i="9"/>
  <c r="AJ10" i="9"/>
  <c r="AK10" i="9"/>
  <c r="Z11" i="9"/>
  <c r="AD11" i="9"/>
  <c r="AG11" i="9"/>
  <c r="AH11" i="9"/>
  <c r="AJ11" i="9"/>
  <c r="AK11" i="9"/>
  <c r="B12" i="9"/>
  <c r="Z12" i="9"/>
  <c r="AD12" i="9"/>
  <c r="AG12" i="9"/>
  <c r="AH12" i="9"/>
  <c r="AJ12" i="9"/>
  <c r="AK12" i="9"/>
  <c r="Z13" i="9"/>
  <c r="AD13" i="9"/>
  <c r="AG13" i="9"/>
  <c r="AH13" i="9"/>
  <c r="AJ13" i="9"/>
  <c r="AK13" i="9"/>
  <c r="E14" i="9"/>
  <c r="Z14" i="9"/>
  <c r="AD14" i="9"/>
  <c r="AG14" i="9"/>
  <c r="AH14" i="9"/>
  <c r="AJ14" i="9"/>
  <c r="AK14" i="9"/>
  <c r="F15" i="9"/>
  <c r="Z15" i="9"/>
  <c r="AD15" i="9"/>
  <c r="AG15" i="9"/>
  <c r="AH15" i="9"/>
  <c r="AJ15" i="9"/>
  <c r="AK15" i="9"/>
  <c r="Z16" i="9"/>
  <c r="AD16" i="9"/>
  <c r="AG16" i="9"/>
  <c r="AH16" i="9"/>
  <c r="AJ16" i="9"/>
  <c r="AK16" i="9"/>
  <c r="Z17" i="9"/>
  <c r="AD17" i="9"/>
  <c r="AG17" i="9"/>
  <c r="AH17" i="9"/>
  <c r="AJ17" i="9"/>
  <c r="AK17" i="9"/>
  <c r="Z18" i="9"/>
  <c r="AD18" i="9"/>
  <c r="AG18" i="9"/>
  <c r="AH18" i="9"/>
  <c r="AJ18" i="9"/>
  <c r="AK18" i="9"/>
  <c r="Z19" i="9"/>
  <c r="AD19" i="9"/>
  <c r="AG19" i="9"/>
  <c r="AH19" i="9"/>
  <c r="AJ19" i="9"/>
  <c r="AK19" i="9"/>
  <c r="Z20" i="9"/>
  <c r="AD20" i="9"/>
  <c r="AG20" i="9"/>
  <c r="AH20" i="9"/>
  <c r="AJ20" i="9"/>
  <c r="AK20" i="9"/>
  <c r="Z21" i="9"/>
  <c r="AD21" i="9"/>
  <c r="AG21" i="9"/>
  <c r="AH21" i="9"/>
  <c r="AJ21" i="9"/>
  <c r="AK21" i="9"/>
  <c r="Z22" i="9"/>
  <c r="AD22" i="9"/>
  <c r="AG22" i="9"/>
  <c r="AJ22" i="9"/>
  <c r="Z23" i="9"/>
  <c r="AD23" i="9"/>
  <c r="AG23" i="9"/>
  <c r="AJ23" i="9"/>
  <c r="Z24" i="9"/>
  <c r="AD24" i="9"/>
  <c r="AG24" i="9"/>
  <c r="AJ24" i="9"/>
  <c r="Z25" i="9"/>
  <c r="AD25" i="9"/>
  <c r="AG25" i="9"/>
  <c r="AJ25" i="9"/>
  <c r="Z26" i="9"/>
  <c r="AD26" i="9"/>
  <c r="AG26" i="9"/>
  <c r="AJ26" i="9"/>
  <c r="Z27" i="9"/>
  <c r="AD27" i="9"/>
  <c r="AG27" i="9"/>
  <c r="AJ27" i="9"/>
  <c r="B28" i="9"/>
  <c r="C28" i="9"/>
  <c r="Z28" i="9"/>
  <c r="AD28" i="9"/>
  <c r="AJ28" i="9"/>
  <c r="E29" i="9"/>
  <c r="Z29" i="9"/>
  <c r="AD29" i="9"/>
  <c r="AJ29" i="9"/>
  <c r="Z30" i="9"/>
  <c r="AD30" i="9"/>
  <c r="AJ30" i="9"/>
  <c r="Z31" i="9"/>
  <c r="AD31" i="9"/>
  <c r="AJ31" i="9"/>
  <c r="Z32" i="9"/>
  <c r="AD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<sst xmlns="http://schemas.openxmlformats.org/spreadsheetml/2006/main" count="278" uniqueCount="74">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</sst>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4-424D-95F0-2909DCACA8F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4-424D-95F0-2909DCAC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1616"/>
        <c:axId val="1"/>
      </c:lineChart>
      <c:catAx>
        <c:axId val="177981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16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8D-4EB8-BC90-4D73ABEE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5144"/>
        <c:axId val="1"/>
      </c:lineChart>
      <c:catAx>
        <c:axId val="17788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851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48-4437-91D7-D2513BF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0880"/>
        <c:axId val="1"/>
      </c:lineChart>
      <c:catAx>
        <c:axId val="17788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808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64-4A84-A238-B6C68FB8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9896"/>
        <c:axId val="1"/>
      </c:lineChart>
      <c:catAx>
        <c:axId val="17787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798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4BB2-B9FD-37DC0910D87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F-4BB2-B9FD-37DC0910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6488"/>
        <c:axId val="1"/>
      </c:lineChart>
      <c:catAx>
        <c:axId val="178886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64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B-427F-A85E-F2D0BADF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8784"/>
        <c:axId val="1"/>
      </c:lineChart>
      <c:dateAx>
        <c:axId val="178888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87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1-45AF-B389-ED861AF2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8456"/>
        <c:axId val="1"/>
      </c:lineChart>
      <c:catAx>
        <c:axId val="178888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84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AB-485C-9BA1-B6E6FE450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3536"/>
        <c:axId val="1"/>
      </c:lineChart>
      <c:catAx>
        <c:axId val="17888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35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4D-4641-B452-89316A4A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4520"/>
        <c:axId val="1"/>
      </c:lineChart>
      <c:catAx>
        <c:axId val="17888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4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A2-4D20-8E3E-D24E218B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936"/>
        <c:axId val="1"/>
      </c:lineChart>
      <c:catAx>
        <c:axId val="17918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89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C-412E-9125-2E2BD82A9D8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C-412E-9125-2E2BD82A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1888"/>
        <c:axId val="1"/>
      </c:lineChart>
      <c:catAx>
        <c:axId val="179191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918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810-A033-4E446097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7776"/>
        <c:axId val="1"/>
      </c:lineChart>
      <c:dateAx>
        <c:axId val="178227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27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4FEF-9FCC-9F48BAE7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608"/>
        <c:axId val="1"/>
      </c:lineChart>
      <c:dateAx>
        <c:axId val="179188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86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9-4CED-B0F3-8325D264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9920"/>
        <c:axId val="1"/>
      </c:lineChart>
      <c:catAx>
        <c:axId val="179189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99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B9-4FCB-A98B-8AAB7D1B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0248"/>
        <c:axId val="1"/>
      </c:lineChart>
      <c:catAx>
        <c:axId val="17919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902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EB-47A3-B6D2-AE69AF72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8200"/>
        <c:axId val="1"/>
      </c:lineChart>
      <c:catAx>
        <c:axId val="17939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8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7E-4AB1-9714-6799CE33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4760"/>
        <c:axId val="1"/>
      </c:lineChart>
      <c:catAx>
        <c:axId val="17940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4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5-40C7-A539-DA60F706518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5-40C7-A539-DA60F706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0496"/>
        <c:axId val="1"/>
      </c:lineChart>
      <c:catAx>
        <c:axId val="179400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04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990-8E47-54DD801A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0824"/>
        <c:axId val="1"/>
      </c:lineChart>
      <c:dateAx>
        <c:axId val="179400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0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E-4A25-A5F7-C7152E5A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7872"/>
        <c:axId val="1"/>
      </c:lineChart>
      <c:catAx>
        <c:axId val="179397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78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8B-45A2-BC19-0553D9F3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3440"/>
        <c:axId val="1"/>
      </c:lineChart>
      <c:catAx>
        <c:axId val="179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34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EA-4602-931E-3AB2ED13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3112"/>
        <c:axId val="1"/>
      </c:lineChart>
      <c:catAx>
        <c:axId val="17970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31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F-4B27-8154-98752AE8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1104"/>
        <c:axId val="1"/>
      </c:lineChart>
      <c:catAx>
        <c:axId val="178261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11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A9-4FB8-8CF8-996B83FB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5736"/>
        <c:axId val="1"/>
      </c:lineChart>
      <c:catAx>
        <c:axId val="17970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5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20323015013658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3194699850606E-2"/>
          <c:y val="8.9324737515235536E-2"/>
          <c:w val="0.9332734820811677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255000</c:v>
                </c:pt>
                <c:pt idx="19">
                  <c:v>262000</c:v>
                </c:pt>
                <c:pt idx="20">
                  <c:v>268000</c:v>
                </c:pt>
                <c:pt idx="21">
                  <c:v>398000</c:v>
                </c:pt>
                <c:pt idx="22">
                  <c:v>426000</c:v>
                </c:pt>
                <c:pt idx="23">
                  <c:v>445000</c:v>
                </c:pt>
                <c:pt idx="24">
                  <c:v>372000</c:v>
                </c:pt>
                <c:pt idx="25">
                  <c:v>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7-425F-9463-FB913309CE8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  <c:pt idx="14">
                  <c:v>266783</c:v>
                </c:pt>
                <c:pt idx="15">
                  <c:v>270154</c:v>
                </c:pt>
                <c:pt idx="16">
                  <c:v>260948</c:v>
                </c:pt>
                <c:pt idx="17">
                  <c:v>253968</c:v>
                </c:pt>
                <c:pt idx="18">
                  <c:v>251475</c:v>
                </c:pt>
                <c:pt idx="19">
                  <c:v>238352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7-425F-9463-FB913309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2128"/>
        <c:axId val="1"/>
      </c:lineChart>
      <c:catAx>
        <c:axId val="1797021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212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165185355562"/>
          <c:y val="0.86274624526910426"/>
          <c:w val="5.0839800580297086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7000</c:v>
                </c:pt>
                <c:pt idx="15">
                  <c:v>67495</c:v>
                </c:pt>
                <c:pt idx="16">
                  <c:v>2277</c:v>
                </c:pt>
                <c:pt idx="17">
                  <c:v>13719</c:v>
                </c:pt>
                <c:pt idx="18">
                  <c:v>20000</c:v>
                </c:pt>
                <c:pt idx="19">
                  <c:v>17908</c:v>
                </c:pt>
                <c:pt idx="20">
                  <c:v>11400</c:v>
                </c:pt>
                <c:pt idx="21">
                  <c:v>24700</c:v>
                </c:pt>
                <c:pt idx="22">
                  <c:v>20000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3-4A49-BA56-37A4C28E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2136"/>
        <c:axId val="1"/>
      </c:lineChart>
      <c:dateAx>
        <c:axId val="179932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321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50434833146212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785619127380013E-2"/>
          <c:y val="0.10666672453706845"/>
          <c:w val="0.94538011625072649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  <c:pt idx="14">
                  <c:v>191278</c:v>
                </c:pt>
                <c:pt idx="15">
                  <c:v>190861</c:v>
                </c:pt>
                <c:pt idx="16">
                  <c:v>188648</c:v>
                </c:pt>
                <c:pt idx="17">
                  <c:v>197648</c:v>
                </c:pt>
                <c:pt idx="18">
                  <c:v>187668</c:v>
                </c:pt>
                <c:pt idx="19">
                  <c:v>187668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D-44B6-BD9B-71302AA1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4104"/>
        <c:axId val="1"/>
      </c:lineChart>
      <c:catAx>
        <c:axId val="1799341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341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66277482559969"/>
          <c:y val="0.93333383969934891"/>
          <c:w val="4.0054622161802562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219162.4192</c:v>
                </c:pt>
                <c:pt idx="15">
                  <c:v>158667.4192</c:v>
                </c:pt>
                <c:pt idx="16">
                  <c:v>158390.4192</c:v>
                </c:pt>
                <c:pt idx="17">
                  <c:v>144671.4192</c:v>
                </c:pt>
                <c:pt idx="18">
                  <c:v>131671.4192</c:v>
                </c:pt>
                <c:pt idx="19">
                  <c:v>120763.4192</c:v>
                </c:pt>
                <c:pt idx="20">
                  <c:v>116863.4192</c:v>
                </c:pt>
                <c:pt idx="21">
                  <c:v>99663.419200000004</c:v>
                </c:pt>
                <c:pt idx="22">
                  <c:v>87163.419200000004</c:v>
                </c:pt>
                <c:pt idx="23">
                  <c:v>87163.419200000004</c:v>
                </c:pt>
                <c:pt idx="24">
                  <c:v>87163.419200000004</c:v>
                </c:pt>
                <c:pt idx="25">
                  <c:v>87163.419200000004</c:v>
                </c:pt>
                <c:pt idx="26">
                  <c:v>87163.419200000004</c:v>
                </c:pt>
                <c:pt idx="27">
                  <c:v>87163.419200000004</c:v>
                </c:pt>
                <c:pt idx="28">
                  <c:v>87163.419200000004</c:v>
                </c:pt>
                <c:pt idx="29">
                  <c:v>87163.419200000004</c:v>
                </c:pt>
                <c:pt idx="30">
                  <c:v>87163.419200000004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EE-4429-83D5-050E94C5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9352"/>
        <c:axId val="1"/>
      </c:lineChart>
      <c:catAx>
        <c:axId val="179939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393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15739</c:v>
                </c:pt>
                <c:pt idx="7">
                  <c:v>15275</c:v>
                </c:pt>
                <c:pt idx="8">
                  <c:v>13183</c:v>
                </c:pt>
                <c:pt idx="9">
                  <c:v>9859</c:v>
                </c:pt>
                <c:pt idx="10">
                  <c:v>12790</c:v>
                </c:pt>
                <c:pt idx="11">
                  <c:v>4</c:v>
                </c:pt>
                <c:pt idx="12">
                  <c:v>937</c:v>
                </c:pt>
                <c:pt idx="13">
                  <c:v>7817</c:v>
                </c:pt>
                <c:pt idx="14">
                  <c:v>9622</c:v>
                </c:pt>
                <c:pt idx="15">
                  <c:v>6967</c:v>
                </c:pt>
                <c:pt idx="16">
                  <c:v>20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02-47D2-A471-8677EFD8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8040"/>
        <c:axId val="1"/>
      </c:lineChart>
      <c:catAx>
        <c:axId val="179938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38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5700</c:v>
                </c:pt>
                <c:pt idx="5">
                  <c:v>11380</c:v>
                </c:pt>
                <c:pt idx="6">
                  <c:v>1341</c:v>
                </c:pt>
                <c:pt idx="7">
                  <c:v>3066</c:v>
                </c:pt>
                <c:pt idx="8">
                  <c:v>10383</c:v>
                </c:pt>
                <c:pt idx="9">
                  <c:v>11024</c:v>
                </c:pt>
                <c:pt idx="10">
                  <c:v>-1766</c:v>
                </c:pt>
                <c:pt idx="11">
                  <c:v>-1770</c:v>
                </c:pt>
                <c:pt idx="12">
                  <c:v>-2707</c:v>
                </c:pt>
                <c:pt idx="13">
                  <c:v>-10524</c:v>
                </c:pt>
                <c:pt idx="14">
                  <c:v>-9646</c:v>
                </c:pt>
                <c:pt idx="15">
                  <c:v>-6113</c:v>
                </c:pt>
                <c:pt idx="16">
                  <c:v>-6133</c:v>
                </c:pt>
                <c:pt idx="17">
                  <c:v>-6138</c:v>
                </c:pt>
                <c:pt idx="18">
                  <c:v>-6138</c:v>
                </c:pt>
                <c:pt idx="19">
                  <c:v>-6138</c:v>
                </c:pt>
                <c:pt idx="20">
                  <c:v>-6138</c:v>
                </c:pt>
                <c:pt idx="21">
                  <c:v>-6138</c:v>
                </c:pt>
                <c:pt idx="22">
                  <c:v>-6138</c:v>
                </c:pt>
                <c:pt idx="23">
                  <c:v>-6138</c:v>
                </c:pt>
                <c:pt idx="24">
                  <c:v>-6138</c:v>
                </c:pt>
                <c:pt idx="25">
                  <c:v>-6138</c:v>
                </c:pt>
                <c:pt idx="26">
                  <c:v>-6138</c:v>
                </c:pt>
                <c:pt idx="27">
                  <c:v>-6138</c:v>
                </c:pt>
                <c:pt idx="28">
                  <c:v>-6138</c:v>
                </c:pt>
                <c:pt idx="29">
                  <c:v>-6138</c:v>
                </c:pt>
                <c:pt idx="30">
                  <c:v>-6138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AF-4B80-B454-AC2FAB5A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7056"/>
        <c:axId val="1"/>
      </c:lineChart>
      <c:catAx>
        <c:axId val="1799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37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18-4503-AECC-541B0FD4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1632"/>
        <c:axId val="1"/>
      </c:lineChart>
      <c:catAx>
        <c:axId val="17765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516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44-4FD2-8567-84E66386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0320"/>
        <c:axId val="1"/>
      </c:lineChart>
      <c:catAx>
        <c:axId val="17765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50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AC-4964-85E4-F0F8B5A5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8352"/>
        <c:axId val="1"/>
      </c:lineChart>
      <c:catAx>
        <c:axId val="1776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48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C-4D0F-B32F-933D93B6855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D0F-B32F-933D93B6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9336"/>
        <c:axId val="1"/>
      </c:lineChart>
      <c:catAx>
        <c:axId val="177649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493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0-400B-9FAE-5D2E5ADE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7368"/>
        <c:axId val="1"/>
      </c:lineChart>
      <c:dateAx>
        <c:axId val="177647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47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6-46CA-8C47-A6D72803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2192"/>
        <c:axId val="1"/>
      </c:lineChart>
      <c:catAx>
        <c:axId val="177882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821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37033</v>
      </c>
      <c r="G1" s="2" t="s">
        <v>0</v>
      </c>
      <c r="H1" s="3">
        <f ca="1">TODAY()</f>
        <v>37033</v>
      </c>
    </row>
    <row r="2" spans="1:12" ht="13.8" thickBot="1" x14ac:dyDescent="0.3">
      <c r="A2" s="44" t="s">
        <v>12</v>
      </c>
      <c r="B2" s="45">
        <f ca="1">TODAY()+2</f>
        <v>37035</v>
      </c>
      <c r="G2" s="2" t="s">
        <v>12</v>
      </c>
      <c r="H2" s="3">
        <f ca="1">TODAY()+3</f>
        <v>37036</v>
      </c>
    </row>
    <row r="3" spans="1:12" ht="25.5" customHeight="1" thickBot="1" x14ac:dyDescent="0.3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5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5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5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5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5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5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8" thickBot="1" x14ac:dyDescent="0.3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5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5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5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5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5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5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5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5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5">
      <c r="A40" s="25" t="s">
        <v>24</v>
      </c>
      <c r="B40" s="48"/>
      <c r="G40" s="25" t="s">
        <v>24</v>
      </c>
      <c r="H40" s="48"/>
    </row>
    <row r="41" spans="1:11" x14ac:dyDescent="0.25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5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5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5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5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5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5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5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5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5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5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5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5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5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5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8" thickBot="1" x14ac:dyDescent="0.3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8" thickBot="1" x14ac:dyDescent="0.3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37033</v>
      </c>
      <c r="F1" s="4" t="s">
        <v>1</v>
      </c>
      <c r="G1" s="5">
        <v>315000</v>
      </c>
      <c r="H1" s="6"/>
      <c r="I1" s="7" t="s">
        <v>2</v>
      </c>
      <c r="J1" s="8">
        <v>65000</v>
      </c>
      <c r="O1" s="43" t="s">
        <v>3</v>
      </c>
      <c r="P1" s="11">
        <f ca="1">TODAY()+2</f>
        <v>37035</v>
      </c>
      <c r="Q1" s="12">
        <v>370000</v>
      </c>
      <c r="S1" s="43" t="s">
        <v>4</v>
      </c>
      <c r="T1" s="11">
        <f ca="1">TODAY()+2</f>
        <v>37035</v>
      </c>
      <c r="U1" s="12">
        <v>75000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37034</v>
      </c>
      <c r="D2" s="14"/>
      <c r="P2" s="11">
        <f ca="1">TODAY()+3</f>
        <v>37036</v>
      </c>
      <c r="Q2" s="12">
        <v>310000</v>
      </c>
      <c r="T2" s="11">
        <f ca="1">TODAY()+3</f>
        <v>37036</v>
      </c>
      <c r="U2" s="12">
        <v>62000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37032</v>
      </c>
      <c r="L3" s="23">
        <f ca="1">TODAY()</f>
        <v>37033</v>
      </c>
      <c r="M3" s="24" t="s">
        <v>20</v>
      </c>
      <c r="P3" s="11">
        <f ca="1">TODAY()+4</f>
        <v>37037</v>
      </c>
      <c r="Q3" s="12">
        <v>280000</v>
      </c>
      <c r="T3" s="11">
        <f ca="1">TODAY()+4</f>
        <v>37037</v>
      </c>
      <c r="U3" s="12">
        <v>50000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f>AD2-AB3+AC3</f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55</v>
      </c>
      <c r="C4" s="17">
        <v>41</v>
      </c>
      <c r="D4" s="18">
        <f>AVERAGE(B4,C4)</f>
        <v>48</v>
      </c>
      <c r="J4" s="25" t="s">
        <v>23</v>
      </c>
      <c r="K4" s="37">
        <v>11400</v>
      </c>
      <c r="L4" s="9">
        <v>24700</v>
      </c>
      <c r="M4" s="28">
        <f>+L4-K4</f>
        <v>13300</v>
      </c>
      <c r="Q4" s="12"/>
      <c r="R4" s="11" t="s">
        <v>17</v>
      </c>
      <c r="W4" s="11">
        <v>37014</v>
      </c>
      <c r="X4" s="14">
        <v>11100</v>
      </c>
      <c r="Y4" s="14">
        <v>17500</v>
      </c>
      <c r="Z4" s="13">
        <f>Z3-X4+Y4</f>
        <v>231896.4192</v>
      </c>
      <c r="AA4" s="13"/>
      <c r="AB4" s="14">
        <v>0</v>
      </c>
      <c r="AC4" s="14">
        <v>0</v>
      </c>
      <c r="AD4" s="14">
        <f>AD3-AB4+AC4</f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v>7500</v>
      </c>
      <c r="L5" s="9">
        <v>7500</v>
      </c>
      <c r="M5" s="29">
        <f>+L5-K5</f>
        <v>0</v>
      </c>
      <c r="W5" s="11">
        <v>37015</v>
      </c>
      <c r="X5" s="14">
        <v>8500</v>
      </c>
      <c r="Y5" s="14">
        <v>11822</v>
      </c>
      <c r="Z5" s="13">
        <f t="shared" ref="Z5:Z32" si="1">Z4-X5+Y5</f>
        <v>235218.4192</v>
      </c>
      <c r="AA5" s="13"/>
      <c r="AB5" s="14">
        <v>0</v>
      </c>
      <c r="AC5" s="14">
        <v>0</v>
      </c>
      <c r="AD5" s="14">
        <f t="shared" ref="AD5:AD32" si="2">AD4-AB5+AC5</f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-355000</v>
      </c>
      <c r="C6" s="12">
        <v>334000</v>
      </c>
      <c r="D6" s="25" t="s">
        <v>22</v>
      </c>
      <c r="E6" s="26">
        <v>-71000</v>
      </c>
      <c r="F6" s="12">
        <v>-76000</v>
      </c>
      <c r="H6" s="12"/>
      <c r="J6" s="30" t="s">
        <v>28</v>
      </c>
      <c r="K6" s="39">
        <f>(+K4-K5)/2</f>
        <v>1950</v>
      </c>
      <c r="L6" s="31">
        <f>(+L4-L5)/2</f>
        <v>8600</v>
      </c>
      <c r="M6" s="32">
        <f>+L6-K6</f>
        <v>6650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5700</v>
      </c>
      <c r="AD6" s="14">
        <f t="shared" si="2"/>
        <v>5700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20</v>
      </c>
      <c r="AC7" s="14">
        <v>5700</v>
      </c>
      <c r="AD7" s="14">
        <f t="shared" si="2"/>
        <v>11380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15739</v>
      </c>
      <c r="AC8" s="14">
        <v>5700</v>
      </c>
      <c r="AD8" s="14">
        <f t="shared" si="2"/>
        <v>1341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68</v>
      </c>
      <c r="B9" s="26">
        <v>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15275</v>
      </c>
      <c r="AC9" s="14">
        <v>17000</v>
      </c>
      <c r="AD9" s="14">
        <f t="shared" si="2"/>
        <v>3066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13183</v>
      </c>
      <c r="AC10" s="14">
        <v>20500</v>
      </c>
      <c r="AD10" s="14">
        <f t="shared" si="2"/>
        <v>10383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9859</v>
      </c>
      <c r="AC11" s="14">
        <v>10500</v>
      </c>
      <c r="AD11" s="14">
        <f t="shared" si="2"/>
        <v>11024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5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12790</v>
      </c>
      <c r="AC12" s="14">
        <v>0</v>
      </c>
      <c r="AD12" s="14">
        <f t="shared" si="2"/>
        <v>-1766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0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4</v>
      </c>
      <c r="AC13" s="14">
        <v>0</v>
      </c>
      <c r="AD13" s="14">
        <f t="shared" si="2"/>
        <v>-1770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8" thickBot="1" x14ac:dyDescent="0.3">
      <c r="A14" s="25" t="s">
        <v>19</v>
      </c>
      <c r="B14" s="26">
        <v>-20000</v>
      </c>
      <c r="C14" s="14"/>
      <c r="D14" s="33" t="s">
        <v>33</v>
      </c>
      <c r="E14" s="34">
        <f>SUM(E6:E13)</f>
        <v>-99340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937</v>
      </c>
      <c r="AC14" s="14">
        <v>0</v>
      </c>
      <c r="AD14" s="14">
        <f t="shared" si="2"/>
        <v>-2707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7817</v>
      </c>
      <c r="AC15" s="14">
        <v>0</v>
      </c>
      <c r="AD15" s="14">
        <f t="shared" si="2"/>
        <v>-10524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7000</v>
      </c>
      <c r="Y16" s="14">
        <v>682</v>
      </c>
      <c r="Z16" s="13">
        <f t="shared" si="1"/>
        <v>219162.4192</v>
      </c>
      <c r="AA16" s="13"/>
      <c r="AB16" s="14">
        <v>9622</v>
      </c>
      <c r="AC16" s="14">
        <v>10500</v>
      </c>
      <c r="AD16" s="14">
        <f t="shared" si="2"/>
        <v>-9646</v>
      </c>
      <c r="AF16" s="11">
        <v>37026</v>
      </c>
      <c r="AG16" s="12">
        <f>240000+39000</f>
        <v>279000</v>
      </c>
      <c r="AH16" s="12">
        <f>228000+38783</f>
        <v>266783</v>
      </c>
      <c r="AJ16" s="15">
        <f t="shared" ref="AJ16:AJ32" si="3">+AF16</f>
        <v>37026</v>
      </c>
      <c r="AK16" s="12">
        <f>170007+21271</f>
        <v>191278</v>
      </c>
      <c r="AL16" s="12"/>
      <c r="AM16" s="12"/>
    </row>
    <row r="17" spans="1:39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67495</v>
      </c>
      <c r="Y17" s="14">
        <v>7000</v>
      </c>
      <c r="Z17" s="13">
        <f t="shared" si="1"/>
        <v>158667.4192</v>
      </c>
      <c r="AA17" s="13"/>
      <c r="AB17" s="14">
        <v>6967</v>
      </c>
      <c r="AC17" s="14">
        <v>10500</v>
      </c>
      <c r="AD17" s="14">
        <f t="shared" si="2"/>
        <v>-6113</v>
      </c>
      <c r="AF17" s="11">
        <v>37027</v>
      </c>
      <c r="AG17" s="12">
        <f>235000+38000</f>
        <v>273000</v>
      </c>
      <c r="AH17" s="12">
        <f>231219+38935</f>
        <v>270154</v>
      </c>
      <c r="AJ17" s="15">
        <f t="shared" si="3"/>
        <v>37027</v>
      </c>
      <c r="AK17" s="12">
        <f>169851+21010</f>
        <v>190861</v>
      </c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16608</v>
      </c>
      <c r="F18" s="14" t="s">
        <v>17</v>
      </c>
      <c r="G18" s="12"/>
      <c r="H18" s="12"/>
      <c r="L18" s="12"/>
      <c r="R18" s="13"/>
      <c r="W18" s="11">
        <v>37028</v>
      </c>
      <c r="X18" s="14">
        <v>2277</v>
      </c>
      <c r="Y18" s="14">
        <v>2000</v>
      </c>
      <c r="Z18" s="13">
        <f t="shared" si="1"/>
        <v>158390.4192</v>
      </c>
      <c r="AA18" s="13"/>
      <c r="AB18" s="14">
        <v>20</v>
      </c>
      <c r="AC18" s="14">
        <v>0</v>
      </c>
      <c r="AD18" s="14">
        <f t="shared" si="2"/>
        <v>-6133</v>
      </c>
      <c r="AF18" s="11">
        <v>37028</v>
      </c>
      <c r="AG18" s="12">
        <f>230000+38000</f>
        <v>268000</v>
      </c>
      <c r="AH18" s="12">
        <f>221199+39749</f>
        <v>260948</v>
      </c>
      <c r="AJ18" s="15">
        <f t="shared" si="3"/>
        <v>37028</v>
      </c>
      <c r="AK18" s="12">
        <f>169340+19308</f>
        <v>188648</v>
      </c>
      <c r="AL18" s="12"/>
      <c r="AM18" s="12"/>
    </row>
    <row r="19" spans="1:39" x14ac:dyDescent="0.25">
      <c r="A19" s="25" t="s">
        <v>30</v>
      </c>
      <c r="B19" s="26">
        <v>-70000</v>
      </c>
      <c r="C19" s="41"/>
      <c r="D19" s="25" t="s">
        <v>41</v>
      </c>
      <c r="E19" s="26">
        <v>19458</v>
      </c>
      <c r="G19" s="12"/>
      <c r="H19" s="12"/>
      <c r="L19" s="12"/>
      <c r="R19" s="13"/>
      <c r="W19" s="11">
        <v>37029</v>
      </c>
      <c r="X19" s="14">
        <v>13719</v>
      </c>
      <c r="Y19" s="14">
        <v>0</v>
      </c>
      <c r="Z19" s="13">
        <f t="shared" si="1"/>
        <v>144671.4192</v>
      </c>
      <c r="AA19" s="13"/>
      <c r="AB19" s="14">
        <v>5</v>
      </c>
      <c r="AC19" s="14">
        <v>0</v>
      </c>
      <c r="AD19" s="14">
        <f t="shared" si="2"/>
        <v>-6138</v>
      </c>
      <c r="AF19" s="11">
        <v>37029</v>
      </c>
      <c r="AG19" s="12">
        <f>225000+37000</f>
        <v>262000</v>
      </c>
      <c r="AH19" s="12">
        <f>215517+38451</f>
        <v>253968</v>
      </c>
      <c r="AJ19" s="15">
        <f t="shared" si="3"/>
        <v>37029</v>
      </c>
      <c r="AK19" s="12">
        <f>178340+19308</f>
        <v>197648</v>
      </c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20000</v>
      </c>
      <c r="Y20" s="14">
        <v>7000</v>
      </c>
      <c r="Z20" s="13">
        <f t="shared" si="1"/>
        <v>131671.4192</v>
      </c>
      <c r="AA20" s="13"/>
      <c r="AB20" s="14">
        <v>0</v>
      </c>
      <c r="AC20" s="14">
        <v>0</v>
      </c>
      <c r="AD20" s="14">
        <f t="shared" si="2"/>
        <v>-6138</v>
      </c>
      <c r="AF20" s="11">
        <v>37030</v>
      </c>
      <c r="AG20" s="12">
        <f>220000+35000</f>
        <v>255000</v>
      </c>
      <c r="AH20" s="12">
        <f>214650+36825</f>
        <v>251475</v>
      </c>
      <c r="AJ20" s="15">
        <f t="shared" si="3"/>
        <v>37030</v>
      </c>
      <c r="AK20" s="12">
        <f>168360+19308</f>
        <v>187668</v>
      </c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17908</v>
      </c>
      <c r="Y21" s="14">
        <v>7000</v>
      </c>
      <c r="Z21" s="13">
        <f t="shared" si="1"/>
        <v>120763.4192</v>
      </c>
      <c r="AA21" s="13"/>
      <c r="AB21" s="14">
        <v>0</v>
      </c>
      <c r="AC21" s="14">
        <v>0</v>
      </c>
      <c r="AD21" s="14">
        <f t="shared" si="2"/>
        <v>-6138</v>
      </c>
      <c r="AF21" s="11">
        <v>37031</v>
      </c>
      <c r="AG21" s="12">
        <f>225000+37000</f>
        <v>262000</v>
      </c>
      <c r="AH21" s="12">
        <f>201157+37195</f>
        <v>238352</v>
      </c>
      <c r="AJ21" s="15">
        <f t="shared" si="3"/>
        <v>37031</v>
      </c>
      <c r="AK21" s="12">
        <f>168360+19308</f>
        <v>187668</v>
      </c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11400</v>
      </c>
      <c r="Y22" s="14">
        <v>7500</v>
      </c>
      <c r="Z22" s="13">
        <f t="shared" si="1"/>
        <v>116863.4192</v>
      </c>
      <c r="AA22" s="13"/>
      <c r="AB22" s="14">
        <v>0</v>
      </c>
      <c r="AC22" s="14">
        <v>0</v>
      </c>
      <c r="AD22" s="14">
        <f t="shared" si="2"/>
        <v>-6138</v>
      </c>
      <c r="AF22" s="11">
        <v>37032</v>
      </c>
      <c r="AG22" s="12">
        <f>230000+38000</f>
        <v>268000</v>
      </c>
      <c r="AH22" s="12"/>
      <c r="AJ22" s="15">
        <f t="shared" si="3"/>
        <v>37032</v>
      </c>
      <c r="AK22" s="12"/>
      <c r="AL22" s="12"/>
      <c r="AM22" s="12"/>
    </row>
    <row r="23" spans="1:39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24700</v>
      </c>
      <c r="Y23" s="14">
        <v>7500</v>
      </c>
      <c r="Z23" s="13">
        <f t="shared" si="1"/>
        <v>99663.419200000004</v>
      </c>
      <c r="AA23" s="13"/>
      <c r="AB23" s="14">
        <v>0</v>
      </c>
      <c r="AC23" s="14">
        <v>0</v>
      </c>
      <c r="AD23" s="14">
        <f t="shared" si="2"/>
        <v>-6138</v>
      </c>
      <c r="AF23" s="11">
        <v>37033</v>
      </c>
      <c r="AG23" s="12">
        <f>330000+68000</f>
        <v>398000</v>
      </c>
      <c r="AH23" s="12"/>
      <c r="AJ23" s="15">
        <f t="shared" si="3"/>
        <v>37033</v>
      </c>
      <c r="AK23" s="12"/>
      <c r="AL23" s="12"/>
      <c r="AM23" s="12"/>
    </row>
    <row r="24" spans="1:39" x14ac:dyDescent="0.25">
      <c r="A24" s="25" t="s">
        <v>67</v>
      </c>
      <c r="B24" s="40">
        <v>0</v>
      </c>
      <c r="D24" s="25" t="s">
        <v>32</v>
      </c>
      <c r="E24" s="40">
        <v>11114</v>
      </c>
      <c r="G24" s="12"/>
      <c r="H24" s="12"/>
      <c r="R24" s="13"/>
      <c r="W24" s="11">
        <v>37034</v>
      </c>
      <c r="X24" s="14">
        <v>20000</v>
      </c>
      <c r="Y24" s="14">
        <v>7500</v>
      </c>
      <c r="Z24" s="13">
        <f t="shared" si="1"/>
        <v>87163.419200000004</v>
      </c>
      <c r="AA24" s="13"/>
      <c r="AB24" s="14">
        <v>0</v>
      </c>
      <c r="AC24" s="14">
        <v>0</v>
      </c>
      <c r="AD24" s="14">
        <f t="shared" si="2"/>
        <v>-6138</v>
      </c>
      <c r="AF24" s="11">
        <v>37034</v>
      </c>
      <c r="AG24" s="12">
        <f>355000+71000</f>
        <v>426000</v>
      </c>
      <c r="AH24" s="12"/>
      <c r="AJ24" s="15">
        <f t="shared" si="3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87163.419200000004</v>
      </c>
      <c r="AA25" s="13"/>
      <c r="AB25" s="14">
        <v>0</v>
      </c>
      <c r="AC25" s="14">
        <v>0</v>
      </c>
      <c r="AD25" s="14">
        <f t="shared" si="2"/>
        <v>-6138</v>
      </c>
      <c r="AF25" s="11">
        <v>37035</v>
      </c>
      <c r="AG25" s="12">
        <f>370000+75000</f>
        <v>445000</v>
      </c>
      <c r="AH25" s="12"/>
      <c r="AJ25" s="15">
        <f t="shared" si="3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87163.419200000004</v>
      </c>
      <c r="AA26" s="13"/>
      <c r="AB26" s="14">
        <v>0</v>
      </c>
      <c r="AC26" s="14">
        <v>0</v>
      </c>
      <c r="AD26" s="14">
        <f t="shared" si="2"/>
        <v>-6138</v>
      </c>
      <c r="AF26" s="11">
        <v>37036</v>
      </c>
      <c r="AG26" s="12">
        <f>310000+62000</f>
        <v>372000</v>
      </c>
      <c r="AH26" s="12"/>
      <c r="AJ26" s="15">
        <f t="shared" si="3"/>
        <v>37036</v>
      </c>
      <c r="AK26" s="12"/>
      <c r="AL26" s="12"/>
      <c r="AM26" s="12"/>
    </row>
    <row r="27" spans="1:39" ht="13.8" thickBot="1" x14ac:dyDescent="0.3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87163.419200000004</v>
      </c>
      <c r="AA27" s="13"/>
      <c r="AB27" s="14">
        <v>0</v>
      </c>
      <c r="AC27" s="14">
        <v>0</v>
      </c>
      <c r="AD27" s="14">
        <f t="shared" si="2"/>
        <v>-6138</v>
      </c>
      <c r="AF27" s="11">
        <v>37037</v>
      </c>
      <c r="AG27" s="12">
        <f>280000+50000</f>
        <v>330000</v>
      </c>
      <c r="AH27" s="12"/>
      <c r="AJ27" s="15">
        <f t="shared" si="3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-672198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87163.419200000004</v>
      </c>
      <c r="AA28" s="13"/>
      <c r="AB28" s="14">
        <v>0</v>
      </c>
      <c r="AC28" s="14">
        <v>0</v>
      </c>
      <c r="AD28" s="14">
        <f t="shared" si="2"/>
        <v>-6138</v>
      </c>
      <c r="AF28" s="11">
        <v>37038</v>
      </c>
      <c r="AG28" s="12"/>
      <c r="AH28" s="12"/>
      <c r="AJ28" s="15">
        <f t="shared" si="3"/>
        <v>37038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43</v>
      </c>
      <c r="E29" s="34">
        <f>SUM(E16:E28)</f>
        <v>99340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87163.419200000004</v>
      </c>
      <c r="AA29" s="13"/>
      <c r="AB29" s="14">
        <v>0</v>
      </c>
      <c r="AC29" s="14">
        <v>0</v>
      </c>
      <c r="AD29" s="14">
        <f t="shared" si="2"/>
        <v>-6138</v>
      </c>
      <c r="AF29" s="11">
        <v>37039</v>
      </c>
      <c r="AG29" s="12"/>
      <c r="AH29" s="12"/>
      <c r="AJ29" s="15">
        <f t="shared" si="3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87163.419200000004</v>
      </c>
      <c r="AA30" s="13"/>
      <c r="AB30" s="14">
        <v>0</v>
      </c>
      <c r="AC30" s="14">
        <v>0</v>
      </c>
      <c r="AD30" s="14">
        <f t="shared" si="2"/>
        <v>-6138</v>
      </c>
      <c r="AF30" s="11">
        <v>37040</v>
      </c>
      <c r="AG30" s="12"/>
      <c r="AH30" s="12"/>
      <c r="AJ30" s="15">
        <f t="shared" si="3"/>
        <v>37040</v>
      </c>
      <c r="AK30" s="12"/>
      <c r="AL30" s="12"/>
      <c r="AM30" s="12"/>
    </row>
    <row r="31" spans="1:39" x14ac:dyDescent="0.25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87163.419200000004</v>
      </c>
      <c r="AA31" s="13"/>
      <c r="AB31" s="14">
        <v>0</v>
      </c>
      <c r="AC31" s="14">
        <v>0</v>
      </c>
      <c r="AD31" s="14">
        <f t="shared" si="2"/>
        <v>-6138</v>
      </c>
      <c r="AF31" s="11">
        <v>37041</v>
      </c>
      <c r="AG31" s="12"/>
      <c r="AH31" s="49"/>
      <c r="AJ31" s="15">
        <f t="shared" si="3"/>
        <v>37041</v>
      </c>
      <c r="AK31" s="12"/>
      <c r="AL31" s="12"/>
      <c r="AM31" s="12"/>
    </row>
    <row r="32" spans="1:39" x14ac:dyDescent="0.25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87163.419200000004</v>
      </c>
      <c r="AA32" s="13"/>
      <c r="AB32" s="14">
        <v>0</v>
      </c>
      <c r="AC32" s="14">
        <v>0</v>
      </c>
      <c r="AD32" s="14">
        <f t="shared" si="2"/>
        <v>-6138</v>
      </c>
      <c r="AF32" s="11">
        <v>37042</v>
      </c>
      <c r="AG32" s="12"/>
      <c r="AH32" s="12"/>
      <c r="AJ32" s="15">
        <f t="shared" si="3"/>
        <v>37042</v>
      </c>
      <c r="AK32" s="12"/>
      <c r="AL32" s="12"/>
      <c r="AM32" s="12"/>
    </row>
    <row r="33" spans="1:39" x14ac:dyDescent="0.25">
      <c r="A33" s="25" t="s">
        <v>41</v>
      </c>
      <c r="B33" s="40">
        <v>178360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57</v>
      </c>
      <c r="B38" s="40">
        <v>15838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0">
        <v>7500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5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0">
        <v>1000</v>
      </c>
      <c r="C44" s="14"/>
      <c r="E44" s="12"/>
    </row>
    <row r="45" spans="1:39" x14ac:dyDescent="0.25">
      <c r="A45" s="25" t="s">
        <v>46</v>
      </c>
      <c r="B45" s="40"/>
      <c r="E45" s="12"/>
    </row>
    <row r="46" spans="1:39" x14ac:dyDescent="0.25">
      <c r="A46" s="25" t="s">
        <v>60</v>
      </c>
      <c r="B46" s="40">
        <v>0</v>
      </c>
      <c r="C46" s="14"/>
      <c r="E46" s="12"/>
    </row>
    <row r="47" spans="1:39" x14ac:dyDescent="0.25">
      <c r="A47" s="25" t="s">
        <v>32</v>
      </c>
      <c r="B47" s="40">
        <v>0</v>
      </c>
    </row>
    <row r="48" spans="1:39" x14ac:dyDescent="0.25">
      <c r="A48" s="25" t="s">
        <v>34</v>
      </c>
      <c r="B48" s="40">
        <v>66015</v>
      </c>
      <c r="E48" s="12"/>
    </row>
    <row r="49" spans="1:5" x14ac:dyDescent="0.25">
      <c r="A49" s="25" t="s">
        <v>47</v>
      </c>
      <c r="B49" s="40">
        <v>0</v>
      </c>
      <c r="C49" s="14" t="s">
        <v>17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49</v>
      </c>
      <c r="B51" s="40">
        <v>0</v>
      </c>
      <c r="E51" s="12"/>
    </row>
    <row r="52" spans="1:5" x14ac:dyDescent="0.25">
      <c r="A52" s="25" t="s">
        <v>35</v>
      </c>
      <c r="B52" s="40">
        <v>0</v>
      </c>
      <c r="C52" s="14"/>
      <c r="E52" s="12"/>
    </row>
    <row r="53" spans="1:5" x14ac:dyDescent="0.25">
      <c r="A53" s="25" t="s">
        <v>71</v>
      </c>
      <c r="B53" s="40">
        <v>35000</v>
      </c>
      <c r="E53" s="12"/>
    </row>
    <row r="54" spans="1:5" x14ac:dyDescent="0.25">
      <c r="A54" s="25" t="s">
        <v>72</v>
      </c>
      <c r="B54" s="40">
        <v>42338</v>
      </c>
      <c r="C54" s="14"/>
      <c r="E54" s="12"/>
    </row>
    <row r="55" spans="1:5" x14ac:dyDescent="0.25">
      <c r="A55" s="25" t="s">
        <v>29</v>
      </c>
      <c r="B55" s="40">
        <v>0</v>
      </c>
      <c r="C55" s="14"/>
      <c r="E55" s="12"/>
    </row>
    <row r="56" spans="1:5" ht="13.8" thickBot="1" x14ac:dyDescent="0.3">
      <c r="A56" s="25" t="s">
        <v>42</v>
      </c>
      <c r="B56" s="40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672198</v>
      </c>
      <c r="C57" s="14"/>
      <c r="E57" s="12"/>
    </row>
    <row r="58" spans="1:5" ht="13.8" thickBot="1" x14ac:dyDescent="0.3">
      <c r="A58" s="30"/>
      <c r="B58" s="36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2023-09-10T11:14:22Z</dcterms:modified>
</cp:coreProperties>
</file>