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<sst xmlns="http://schemas.openxmlformats.org/spreadsheetml/2006/main" count="2125" uniqueCount="805">
  <si>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</si>
  <si>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</si>
  <si>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</si>
  <si>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</si>
  <si>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</si>
  <si>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</si>
  <si>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</si>
  <si>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</si>
  <si>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</si>
  <si>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</si>
  <si>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</si>
  <si>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</si>
  <si>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</si>
  <si>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</si>
  <si>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</si>
  <si>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</si>
  <si>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</si>
  <si>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</si>
  <si>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</si>
  <si>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</si>
  <si>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</si>
  <si>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</si>
  <si>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</si>
  <si>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</si>
  <si>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</si>
  <si>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</si>
  <si>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</si>
  <si>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</si>
  <si>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</si>
  <si>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</si>
  <si>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</si>
  <si>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</si>
  <si>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</si>
  <si>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</si>
  <si>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</si>
  <si>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</si>
  <si>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</si>
  <si>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</si>
  <si>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</si>
  <si>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</si>
  <si>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</si>
  <si>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</si>
  <si>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</si>
  <si>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</si>
  <si>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</si>
  <si>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</si>
  <si>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</si>
  <si>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</si>
  <si>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</si>
  <si>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</si>
  <si>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</si>
  <si>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</si>
  <si>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</si>
  <si>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</si>
  <si>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</si>
  <si>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</si>
  <si>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</si>
  <si>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</si>
  <si>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</si>
  <si>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</si>
  <si>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</si>
  <si>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</si>
  <si>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</si>
  <si>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</si>
  <si>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</si>
  <si>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</si>
  <si>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</si>
  <si>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</si>
  <si>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</si>
  <si>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</si>
  <si>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</si>
  <si>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</si>
  <si>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</si>
  <si>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</si>
  <si>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</si>
  <si>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</si>
  <si>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</si>
  <si>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</si>
  <si>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</si>
  <si>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</si>
  <si>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</si>
  <si>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</si>
  <si>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</si>
  <si>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</si>
  <si>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</si>
  <si>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</si>
  <si>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</si>
  <si>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</si>
  <si>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</si>
  <si>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</si>
  <si>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</si>
  <si>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</si>
  <si>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</si>
  <si>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</si>
  <si>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</si>
  <si>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</si>
  <si>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</si>
  <si>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</si>
  <si>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</si>
  <si>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</si>
  <si>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</si>
  <si>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</si>
  <si>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</si>
  <si>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</si>
  <si>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</si>
  <si>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</si>
  <si>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</si>
  <si>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</si>
  <si>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</si>
  <si>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</si>
  <si>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</si>
  <si>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</si>
  <si>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</si>
  <si>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</si>
  <si>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</si>
  <si>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</si>
  <si>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</si>
  <si>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</si>
  <si>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</si>
  <si>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</si>
  <si>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</si>
  <si>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</si>
  <si>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</si>
  <si>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</si>
  <si>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</si>
  <si>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</si>
  <si>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</si>
  <si>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</si>
  <si>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</si>
  <si>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</si>
  <si>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</si>
  <si>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</si>
  <si>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</si>
  <si>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</si>
  <si>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</si>
  <si>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</si>
  <si>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</si>
  <si>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</si>
  <si>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</si>
  <si>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</si>
  <si>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</si>
  <si>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</si>
  <si>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</si>
  <si>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</si>
  <si>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</si>
  <si>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</si>
  <si>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</si>
  <si>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</si>
  <si>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</si>
  <si>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</si>
  <si>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</si>
  <si>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</si>
  <si>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</si>
  <si>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</si>
  <si>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</si>
  <si>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</si>
  <si>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</si>
  <si>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</si>
  <si>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</si>
  <si>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</si>
  <si>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</si>
  <si>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</si>
  <si>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</si>
  <si>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</si>
  <si>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</si>
  <si>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</si>
  <si>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</si>
  <si>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</si>
  <si>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</si>
  <si>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</si>
  <si>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</si>
  <si>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</si>
  <si>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</si>
  <si>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</si>
  <si>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</si>
  <si>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</si>
  <si>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</si>
  <si>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</si>
  <si>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</si>
  <si>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</si>
  <si>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</si>
  <si>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</si>
  <si>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</si>
  <si>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</si>
  <si>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</si>
  <si>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</si>
  <si>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</si>
  <si>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</si>
  <si>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</si>
  <si>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</si>
  <si>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</si>
  <si>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</si>
  <si>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</si>
  <si>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</si>
  <si>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</si>
  <si>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</si>
  <si>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</si>
  <si>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</si>
  <si>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</si>
  <si>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</si>
  <si>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</si>
  <si>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</si>
  <si>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</si>
  <si>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</si>
  <si>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</si>
  <si>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</si>
  <si>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</si>
  <si>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</si>
  <si>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</si>
  <si>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</si>
  <si>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</si>
  <si>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</si>
  <si>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</si>
  <si>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</si>
  <si>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</si>
  <si>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</si>
  <si>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</si>
  <si>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</si>
  <si>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</si>
  <si>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</si>
  <si>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</si>
  <si>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</si>
  <si>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</si>
  <si>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</si>
  <si>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</si>
  <si>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</si>
  <si>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</si>
  <si>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</si>
  <si>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</si>
  <si>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</si>
  <si>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</si>
  <si>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</si>
  <si>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</si>
  <si>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</si>
  <si>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</si>
  <si>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</si>
  <si>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</si>
  <si>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</si>
  <si>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</si>
  <si>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</si>
  <si>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</si>
  <si>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</si>
  <si>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</si>
  <si>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</si>
  <si>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</si>
  <si>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</si>
  <si>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</si>
  <si>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</si>
  <si>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</si>
  <si>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</si>
  <si>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</si>
  <si>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</si>
  <si>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</si>
  <si>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</si>
  <si>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</si>
  <si>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</si>
  <si>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</si>
  <si>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</si>
  <si>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</si>
  <si>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</si>
  <si>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</si>
  <si>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</si>
  <si>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</si>
  <si>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</si>
  <si>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</si>
  <si>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</si>
  <si>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</si>
  <si>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</si>
  <si>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</si>
  <si>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</si>
  <si>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</si>
  <si>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</si>
  <si>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</si>
  <si>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</si>
  <si>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</si>
  <si>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</si>
  <si>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</si>
  <si>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</si>
  <si>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</si>
  <si>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</si>
  <si>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</si>
  <si>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</si>
  <si>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</si>
  <si>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</si>
  <si>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</si>
  <si>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</si>
  <si>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</si>
  <si>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</si>
  <si>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</si>
  <si>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</si>
  <si>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</si>
  <si>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</si>
  <si>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</si>
  <si>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</si>
  <si>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</si>
  <si>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</si>
  <si>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</si>
  <si>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</si>
  <si>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</si>
  <si>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</si>
  <si>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</si>
  <si>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</si>
  <si>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</si>
  <si>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</si>
  <si>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</si>
  <si>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</si>
  <si>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</si>
  <si>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</si>
  <si>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</si>
  <si>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</si>
  <si>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</si>
  <si>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</si>
  <si>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</si>
  <si>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</si>
  <si>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</si>
  <si>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</si>
  <si>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</si>
  <si>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</si>
  <si>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</si>
  <si>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</si>
  <si>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</si>
  <si>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</si>
  <si>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</si>
  <si>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</si>
  <si>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</si>
  <si>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</si>
  <si>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</si>
  <si>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</si>
  <si>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</si>
  <si>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</si>
  <si>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</si>
  <si>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</si>
  <si>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</si>
  <si>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</si>
  <si>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</si>
  <si>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</si>
  <si>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</si>
  <si>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</si>
  <si>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</si>
  <si>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</si>
  <si>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</si>
  <si>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</si>
  <si>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</si>
  <si>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</si>
  <si>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</si>
  <si>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</si>
  <si>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</si>
  <si>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</si>
  <si>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</si>
  <si>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</si>
  <si>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</si>
  <si>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</si>
  <si>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</si>
  <si>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</si>
  <si>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</si>
  <si>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</si>
  <si>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</si>
  <si>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</si>
  <si>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</si>
  <si>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</si>
  <si>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</si>
  <si>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</si>
  <si>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</si>
  <si>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</si>
  <si>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</si>
  <si>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</si>
  <si>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</si>
  <si>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</si>
  <si>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</si>
  <si>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</si>
  <si>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</si>
  <si>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</si>
  <si>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</si>
  <si>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</si>
  <si>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</si>
  <si>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</si>
  <si>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</si>
  <si>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</si>
  <si>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</si>
  <si>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</si>
  <si>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</si>
  <si>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</si>
  <si>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</si>
  <si>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</si>
  <si>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</si>
  <si>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</si>
  <si>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</si>
  <si>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</si>
  <si>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</si>
  <si>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</si>
  <si>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</si>
  <si>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</si>
  <si>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</si>
  <si>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</si>
  <si>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</si>
  <si>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</si>
  <si>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</si>
  <si>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</si>
  <si>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</si>
  <si>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</si>
  <si>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</si>
  <si>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</si>
  <si>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</si>
  <si>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</si>
  <si>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</si>
  <si>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</si>
  <si>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</si>
  <si>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</si>
  <si>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</si>
  <si>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</si>
  <si>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</si>
  <si>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</si>
  <si>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</si>
  <si>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</si>
  <si>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</si>
  <si>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</si>
  <si>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</si>
  <si>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</si>
  <si>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</si>
  <si>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</si>
  <si>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</si>
  <si>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</si>
  <si>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</si>
  <si>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</si>
  <si>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</si>
  <si>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</si>
  <si>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</si>
  <si>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</si>
  <si>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</si>
  <si>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</si>
  <si>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</si>
  <si>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</si>
  <si>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</si>
  <si>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</si>
  <si>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</si>
  <si>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</si>
  <si>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</si>
  <si>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</si>
  <si>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</si>
  <si>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</si>
  <si>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</si>
  <si>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</si>
  <si>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</si>
  <si>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</si>
  <si>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</si>
  <si>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</si>
  <si>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</si>
  <si>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</si>
  <si>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</si>
  <si>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</si>
  <si>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</si>
  <si>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</si>
  <si>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</si>
  <si>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</si>
  <si>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</si>
  <si>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</si>
  <si>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</si>
  <si>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</si>
  <si>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</si>
  <si>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</si>
  <si>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</si>
  <si>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</si>
  <si>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</si>
  <si>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</si>
  <si>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</si>
  <si>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</si>
  <si>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</si>
  <si>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</si>
  <si>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</si>
  <si>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</si>
  <si>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</si>
  <si>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</si>
  <si>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</si>
  <si>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</si>
  <si>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</si>
  <si>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</si>
  <si>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</si>
  <si>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</si>
  <si>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</si>
  <si>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</si>
  <si>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</si>
  <si>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</si>
  <si>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</si>
  <si>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</si>
  <si>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</si>
  <si>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</si>
  <si>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</si>
  <si>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</si>
  <si>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</si>
  <si>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</si>
  <si>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</si>
  <si>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</si>
  <si>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</si>
  <si>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</si>
  <si>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</si>
  <si>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</si>
  <si>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</si>
  <si>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</si>
  <si>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</si>
  <si>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</si>
  <si>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</si>
  <si>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</si>
  <si>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</si>
  <si>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</si>
  <si>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</si>
  <si>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</si>
  <si>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</si>
  <si>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</si>
  <si>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</si>
  <si>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</si>
  <si>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</si>
  <si>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</si>
  <si>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</si>
  <si>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</si>
  <si>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</si>
  <si>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</si>
  <si>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</si>
  <si>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</si>
  <si>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</si>
  <si>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</si>
  <si>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</si>
  <si>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</si>
  <si>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</si>
  <si>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</si>
  <si>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</si>
  <si>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</si>
  <si>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</si>
  <si>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</si>
  <si>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</si>
  <si>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</si>
  <si>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</si>
  <si>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</si>
  <si>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</si>
  <si>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</si>
  <si>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</si>
  <si>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</si>
  <si>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</si>
  <si>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</si>
  <si>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</si>
  <si>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</si>
  <si>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</si>
  <si>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</si>
  <si>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</si>
  <si>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</si>
  <si>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</si>
  <si>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</si>
  <si>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</si>
  <si>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</si>
  <si>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</si>
  <si>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</si>
  <si>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</si>
  <si>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</si>
  <si>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</si>
  <si>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</si>
  <si>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</si>
  <si>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</si>
  <si>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</si>
  <si>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</si>
  <si>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</si>
  <si>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</si>
  <si>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</si>
  <si>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</si>
  <si>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</si>
  <si>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</si>
  <si>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</si>
  <si>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</si>
  <si>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</si>
  <si>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</si>
  <si>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</si>
  <si>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</si>
  <si>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</si>
  <si>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</si>
  <si>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</si>
  <si>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</si>
  <si>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</si>
  <si>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</si>
  <si>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</si>
  <si>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</si>
  <si>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</si>
  <si>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</si>
  <si>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</si>
  <si>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</si>
  <si>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</si>
  <si>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</si>
  <si>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</si>
  <si>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</si>
  <si>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</si>
  <si>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</si>
  <si>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</si>
  <si>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</si>
  <si>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</si>
  <si>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</si>
  <si>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</si>
  <si>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</si>
  <si>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</si>
  <si>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</si>
  <si>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</si>
  <si>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</si>
  <si>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</si>
  <si>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</si>
  <si>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</si>
  <si>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</si>
  <si>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</si>
  <si>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</si>
  <si>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</si>
  <si>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</si>
  <si>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</si>
  <si>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</si>
  <si>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</si>
  <si>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</si>
  <si>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</si>
  <si>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</si>
  <si>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</si>
  <si>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</si>
  <si>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</si>
  <si>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</si>
  <si>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</si>
  <si>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</si>
  <si>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</si>
  <si>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</si>
  <si>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</si>
  <si>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</si>
  <si>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</si>
  <si>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</si>
  <si>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</si>
  <si>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</si>
  <si>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</si>
  <si>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</si>
  <si>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</si>
  <si>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</si>
  <si>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</si>
  <si>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</si>
  <si>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</si>
  <si>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</si>
  <si>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</si>
  <si>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</si>
  <si>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</si>
  <si>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</si>
  <si>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</si>
  <si>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</si>
  <si>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</si>
  <si>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</si>
  <si>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</si>
  <si>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</si>
  <si>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</si>
  <si>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</si>
  <si>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</si>
  <si>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</si>
  <si>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</si>
  <si>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</si>
  <si>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</si>
  <si>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</si>
  <si>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</si>
  <si>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</si>
  <si>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</si>
  <si>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</si>
  <si>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</si>
  <si>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</si>
  <si>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</si>
  <si>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</si>
  <si>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</si>
  <si>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</si>
  <si>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</si>
  <si>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</si>
  <si>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</si>
  <si>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</si>
  <si>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</si>
  <si>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</si>
  <si>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</si>
  <si>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</si>
  <si>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</si>
  <si>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</si>
  <si>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</si>
  <si>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</si>
  <si>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</si>
  <si>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</si>
  <si>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</si>
  <si>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</si>
  <si>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</si>
  <si>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</si>
  <si>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</si>
  <si>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</si>
  <si>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</si>
  <si>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</si>
  <si>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</si>
  <si>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</si>
  <si>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</si>
  <si>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</si>
  <si>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</si>
  <si>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</si>
  <si>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</si>
  <si>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</si>
  <si>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</si>
  <si>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</si>
  <si>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</si>
  <si>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</si>
  <si>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</si>
  <si>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</si>
  <si>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</si>
  <si>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</si>
  <si>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</si>
  <si>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</si>
  <si>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</si>
  <si>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</si>
  <si>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</si>
  <si>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</si>
  <si>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</si>
  <si>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</si>
  <si>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</si>
  <si>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</si>
  <si>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</si>
  <si>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</si>
  <si>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</si>
  <si>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</si>
  <si>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</si>
  <si>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</si>
  <si>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</si>
  <si>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</si>
  <si>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</si>
  <si>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</si>
  <si>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</si>
  <si>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</si>
  <si>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</si>
  <si>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</si>
  <si>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</si>
  <si>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</si>
  <si>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</si>
  <si>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</si>
  <si>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</si>
  <si>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</si>
  <si>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</si>
  <si>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</si>
  <si>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</si>
  <si>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</si>
  <si>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</si>
  <si>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</si>
  <si>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</si>
  <si>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</si>
  <si>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</si>
  <si>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</si>
  <si>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</si>
  <si>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</si>
  <si>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</si>
  <si>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</si>
  <si>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</si>
  <si>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</si>
  <si>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</si>
  <si>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</si>
  <si>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</si>
  <si>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</si>
  <si>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</si>
  <si>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</si>
  <si>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</si>
  <si>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</si>
  <si>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</si>
  <si>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</si>
  <si>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</si>
  <si>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</si>
  <si>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</si>
  <si>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</si>
  <si>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</si>
  <si>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</si>
  <si>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</si>
  <si>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</si>
  <si>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</si>
  <si>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</si>
  <si>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</si>
  <si>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</si>
  <si>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</si>
  <si>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</si>
  <si>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</si>
  <si>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</si>
  <si>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</si>
  <si>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</si>
  <si>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</si>
  <si>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</si>
  <si>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</si>
  <si>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</si>
  <si>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</si>
  <si>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</si>
  <si>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</si>
  <si>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</si>
  <si>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</si>
  <si>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</si>
  <si>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</si>
  <si>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</si>
  <si>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</si>
  <si>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</si>
  <si>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</si>
  <si>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</si>
  <si>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</si>
  <si>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</si>
  <si>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</si>
  <si>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</si>
  <si>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</si>
  <si>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</si>
  <si>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</si>
  <si>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  PARTLY  SUNNY  SCATTERED  MORNING  SHOWERS  OR T-STORMS.   WIND S 10 TO </t>
  </si>
  <si>
    <t xml:space="preserve"> 15 MPH. TONIGHT… FAIR  WITH LIGHT NE WIND.  OVERNIGHT LOW UPPER 50S.</t>
  </si>
  <si>
    <t xml:space="preserve">   PARTLY  CLOUDY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</si>
  <si>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</si>
  <si>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PARTLY CLOUDY WITH A  40%  CHANCE OF T-STORMS.  WIND  NE  5 TO 10  M.P.H. </t>
  </si>
  <si>
    <t xml:space="preserve">   CHANCE  OF  SHOWERS</t>
  </si>
  <si>
    <t xml:space="preserve">    PARTLY   SUNNY</t>
  </si>
  <si>
    <t xml:space="preserve">   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</si>
</sst>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4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4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4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04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04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4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WED</v>
      </c>
      <c r="I1" s="878">
        <f>D4</f>
        <v>37027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37027</v>
      </c>
      <c r="E4" s="845">
        <f>Weather_Input!A6</f>
        <v>37028</v>
      </c>
      <c r="F4" s="845">
        <f>Weather_Input!A7</f>
        <v>37029</v>
      </c>
      <c r="G4" s="845">
        <f>Weather_Input!A8</f>
        <v>37030</v>
      </c>
      <c r="H4" s="845">
        <f>Weather_Input!A9</f>
        <v>37031</v>
      </c>
      <c r="I4" s="846">
        <f>Weather_Input!A10</f>
        <v>37032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88/62/75</v>
      </c>
      <c r="E5" s="879" t="str">
        <f>TEXT(Weather_Input!B6,"0")&amp;"/"&amp;TEXT(Weather_Input!C6,"0") &amp; "/" &amp; TEXT((Weather_Input!B6+Weather_Input!C6)/2,"0")</f>
        <v>82/55/69</v>
      </c>
      <c r="F5" s="879" t="str">
        <f>TEXT(Weather_Input!B7,"0")&amp;"/"&amp;TEXT(Weather_Input!C7,"0") &amp; "/" &amp; TEXT((Weather_Input!B7+Weather_Input!C7)/2,"0")</f>
        <v>72/49/61</v>
      </c>
      <c r="G5" s="879" t="str">
        <f>TEXT(Weather_Input!B8,"0")&amp;"/"&amp;TEXT(Weather_Input!C8,"0") &amp; "/" &amp; TEXT((Weather_Input!B8+Weather_Input!C8)/2,"0")</f>
        <v>72/50/61</v>
      </c>
      <c r="H5" s="879" t="str">
        <f>TEXT(Weather_Input!B9,"0")&amp;"/"&amp;TEXT(Weather_Input!C9,"0") &amp; "/" &amp; TEXT((Weather_Input!B9+Weather_Input!C9)/2,"0")</f>
        <v>75/56/66</v>
      </c>
      <c r="I5" s="880" t="str">
        <f>TEXT(Weather_Input!B10,"0")&amp;"/"&amp;TEXT(Weather_Input!C10,"0") &amp; "/" &amp; TEXT((Weather_Input!B10+Weather_Input!C10)/2,"0")</f>
        <v>80/55/68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38.5</v>
      </c>
      <c r="E6" s="848">
        <f ca="1">VLOOKUP(E4,NSG_Sendouts,CELL("Col",NSG_Deliveries!C6),FALSE)/1000</f>
        <v>38</v>
      </c>
      <c r="F6" s="848">
        <f ca="1">VLOOKUP(F4,NSG_Sendouts,CELL("Col",NSG_Deliveries!C7),FALSE)/1000</f>
        <v>37</v>
      </c>
      <c r="G6" s="848">
        <f ca="1">VLOOKUP(G4,NSG_Sendouts,CELL("Col",NSG_Deliveries!C8),FALSE)/1000</f>
        <v>35</v>
      </c>
      <c r="H6" s="848">
        <f ca="1">VLOOKUP(H4,NSG_Sendouts,CELL("Col",NSG_Deliveries!C9),FALSE)/1000</f>
        <v>37</v>
      </c>
      <c r="I6" s="853">
        <f ca="1">VLOOKUP(I4,NSG_Sendouts,CELL("Col",NSG_Deliveries!C10),FALSE)/1000</f>
        <v>38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12.33</v>
      </c>
      <c r="E12" s="848">
        <f>NSG_Requirements!J8/1000</f>
        <v>11.25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0.69</v>
      </c>
      <c r="E13" s="848">
        <f>NSG_Requirements!H8/1000</f>
        <v>1</v>
      </c>
      <c r="F13" s="848">
        <f>NSG_Requirements!H9/1000</f>
        <v>1</v>
      </c>
      <c r="G13" s="848">
        <f>NSG_Requirements!H10/1000</f>
        <v>1</v>
      </c>
      <c r="H13" s="848">
        <f>NSG_Requirements!H11/1000</f>
        <v>1</v>
      </c>
      <c r="I13" s="849">
        <f>NSG_Requirements!H12/1000</f>
        <v>1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51.519999999999996</v>
      </c>
      <c r="E19" s="857">
        <f t="shared" ca="1" si="1"/>
        <v>50.25</v>
      </c>
      <c r="F19" s="857">
        <f t="shared" ca="1" si="1"/>
        <v>38</v>
      </c>
      <c r="G19" s="857">
        <f t="shared" ca="1" si="1"/>
        <v>36</v>
      </c>
      <c r="H19" s="857">
        <f t="shared" ca="1" si="1"/>
        <v>38</v>
      </c>
      <c r="I19" s="858">
        <f t="shared" ca="1" si="1"/>
        <v>39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0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31.954999999999998</v>
      </c>
      <c r="E32" s="848">
        <f>NSG_Supplies!R8/1000</f>
        <v>30.253</v>
      </c>
      <c r="F32" s="848">
        <f>NSG_Supplies!R9/1000</f>
        <v>30.253</v>
      </c>
      <c r="G32" s="848">
        <f>NSG_Supplies!R10/1000</f>
        <v>30.253</v>
      </c>
      <c r="H32" s="848">
        <f>NSG_Supplies!R11/1000</f>
        <v>30.253</v>
      </c>
      <c r="I32" s="849">
        <f>NSG_Supplies!R12/1000</f>
        <v>30.253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51.954999999999998</v>
      </c>
      <c r="E37" s="888">
        <f t="shared" si="2"/>
        <v>50.253</v>
      </c>
      <c r="F37" s="888">
        <f t="shared" si="2"/>
        <v>50.253</v>
      </c>
      <c r="G37" s="888">
        <f t="shared" si="2"/>
        <v>50.253</v>
      </c>
      <c r="H37" s="888">
        <f t="shared" si="2"/>
        <v>50.253</v>
      </c>
      <c r="I37" s="889">
        <f t="shared" si="2"/>
        <v>50.253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0.43500000000000227</v>
      </c>
      <c r="E38" s="892">
        <f t="shared" ca="1" si="3"/>
        <v>3.0000000000001137E-3</v>
      </c>
      <c r="F38" s="892">
        <f t="shared" ca="1" si="3"/>
        <v>12.253</v>
      </c>
      <c r="G38" s="892">
        <f t="shared" ca="1" si="3"/>
        <v>14.253</v>
      </c>
      <c r="H38" s="892">
        <f t="shared" ca="1" si="3"/>
        <v>12.253</v>
      </c>
      <c r="I38" s="893">
        <f t="shared" ca="1" si="3"/>
        <v>11.253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0</v>
      </c>
      <c r="F39" s="874">
        <f t="shared" ca="1" si="4"/>
        <v>0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21.01</v>
      </c>
      <c r="E40" s="1167">
        <f>NSG_Supplies!S8/1000</f>
        <v>19.308</v>
      </c>
      <c r="F40" s="1167">
        <f>NSG_Supplies!S9/1000</f>
        <v>19.308</v>
      </c>
      <c r="G40" s="1167">
        <f>NSG_Supplies!S10/1000</f>
        <v>19.308</v>
      </c>
      <c r="H40" s="1167">
        <f>NSG_Supplies!S11/1000</f>
        <v>19.308</v>
      </c>
      <c r="I40" s="1168">
        <f>NSG_Supplies!S12/1000</f>
        <v>19.308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5.8</v>
      </c>
      <c r="E42" s="899">
        <f>Weather_Input!D6</f>
        <v>8</v>
      </c>
      <c r="F42" s="899">
        <f>Weather_Input!D7</f>
        <v>10</v>
      </c>
      <c r="G42" s="900"/>
      <c r="H42" s="895"/>
      <c r="I42" s="895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37027</v>
      </c>
      <c r="G1" s="769" t="str">
        <f>CHOOSE(WEEKDAY(F1),"SUN","MON","TUE","WED","THU","FRI","SAT")</f>
        <v>WED</v>
      </c>
      <c r="H1" s="591" t="s">
        <v>258</v>
      </c>
      <c r="I1" s="592"/>
    </row>
    <row r="2" spans="1:9" ht="15.6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6">
      <c r="A4" s="257" t="s">
        <v>11</v>
      </c>
      <c r="B4" s="961">
        <f>Weather_Input!B5</f>
        <v>88</v>
      </c>
      <c r="C4" s="962">
        <f>Weather_Input!C5</f>
        <v>62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6">
      <c r="A5" s="257" t="s">
        <v>628</v>
      </c>
      <c r="B5" s="963"/>
      <c r="C5" s="964">
        <f>PGL_Requirements!H7/1000</f>
        <v>67.495000000000005</v>
      </c>
      <c r="D5" s="619"/>
      <c r="E5" s="301"/>
      <c r="F5" s="619"/>
      <c r="G5" s="606"/>
      <c r="H5" s="301"/>
      <c r="I5" s="295"/>
    </row>
    <row r="6" spans="1:9" ht="15.6">
      <c r="A6" s="261" t="s">
        <v>419</v>
      </c>
      <c r="B6" s="1157" t="s">
        <v>11</v>
      </c>
      <c r="C6" s="965">
        <f>PGL_Deliveries!C5/1000</f>
        <v>230</v>
      </c>
      <c r="D6" s="1157" t="s">
        <v>11</v>
      </c>
      <c r="E6" s="268"/>
      <c r="F6" s="601"/>
      <c r="G6" s="268"/>
      <c r="H6" s="601"/>
      <c r="I6" s="266"/>
    </row>
    <row r="7" spans="1:9" ht="15.6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120.68300000000001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-107.669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116.08999999999999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25.498999999999999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3.1829999999999998</v>
      </c>
      <c r="D17" s="619"/>
      <c r="E17" s="268"/>
      <c r="F17" s="601"/>
      <c r="G17" s="268" t="s">
        <v>11</v>
      </c>
      <c r="H17" s="601"/>
      <c r="I17" s="266"/>
    </row>
    <row r="18" spans="1:12" ht="15.6" thickBot="1">
      <c r="A18" s="291" t="s">
        <v>566</v>
      </c>
      <c r="B18" s="614" t="s">
        <v>11</v>
      </c>
      <c r="C18" s="1130">
        <f>PGL_Requirements!G7/1000</f>
        <v>0</v>
      </c>
      <c r="D18" s="600"/>
      <c r="E18" s="268"/>
      <c r="F18" s="601"/>
      <c r="G18" s="268"/>
      <c r="H18" s="601"/>
      <c r="I18" s="266"/>
    </row>
    <row r="19" spans="1:12" ht="16.2" thickBot="1">
      <c r="A19" s="615" t="s">
        <v>696</v>
      </c>
      <c r="B19" s="616" t="s">
        <v>11</v>
      </c>
      <c r="C19" s="510">
        <f>SUM(C9:C17)-C18</f>
        <v>157.78599999999997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72.214000000000027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2" thickBot="1">
      <c r="A24" s="492" t="s">
        <v>427</v>
      </c>
      <c r="B24" s="971" t="s">
        <v>11</v>
      </c>
      <c r="C24" s="972">
        <f>SUM(B54+B56+B57)</f>
        <v>1.6347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6.8" thickTop="1" thickBot="1">
      <c r="A25" s="636" t="s">
        <v>428</v>
      </c>
      <c r="B25" s="976" t="s">
        <v>11</v>
      </c>
      <c r="C25" s="977">
        <f>SUM(C22:C24)</f>
        <v>73.848700000000022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6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14.316000000000001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-75.582999999999998</v>
      </c>
      <c r="D29" s="984" t="s">
        <v>11</v>
      </c>
      <c r="E29" s="983">
        <f>-PGL_Supplies!AC7/1000</f>
        <v>-75.582999999999998</v>
      </c>
      <c r="F29" s="306"/>
      <c r="G29" s="983">
        <f>-PGL_Supplies!AC7/1000</f>
        <v>-75.582999999999998</v>
      </c>
      <c r="H29" s="513"/>
      <c r="I29" s="985">
        <f>-PGL_Supplies!AC7/1000</f>
        <v>-75.582999999999998</v>
      </c>
      <c r="L29" s="1098"/>
    </row>
    <row r="30" spans="1:12" ht="16.2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6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6" thickBot="1">
      <c r="A33" s="1127" t="s">
        <v>4</v>
      </c>
      <c r="B33" s="323">
        <f>PGL_Supplies!Y7/1000</f>
        <v>120.68300000000001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2" thickBot="1">
      <c r="A34" s="558" t="s">
        <v>443</v>
      </c>
      <c r="B34" s="1118">
        <f>+B33-B32-B31</f>
        <v>120.68300000000001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6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2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6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2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2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108.98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6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6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2" thickBot="1">
      <c r="A52" s="424" t="s">
        <v>450</v>
      </c>
      <c r="B52" s="323">
        <f>PGL_Supplies!H7/1000</f>
        <v>1.881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0.56999999999999995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2" thickBot="1">
      <c r="A54" s="424" t="s">
        <v>738</v>
      </c>
      <c r="B54" s="323">
        <f>PGL_Requirements!Q7/1000</f>
        <v>1.6347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2" thickBot="1">
      <c r="A55" s="517" t="s">
        <v>452</v>
      </c>
      <c r="B55" s="518">
        <f>-B49+B50+B52-B53-B51+B56+B57</f>
        <v>-107.669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183.55199999999999</v>
      </c>
      <c r="I57" s="1004" t="s">
        <v>11</v>
      </c>
    </row>
    <row r="58" spans="1:9" ht="15.6" thickBot="1">
      <c r="A58" s="424" t="s">
        <v>793</v>
      </c>
      <c r="B58" s="1190">
        <v>0</v>
      </c>
      <c r="C58" s="593"/>
      <c r="D58" s="1191"/>
      <c r="E58" s="393"/>
      <c r="F58" s="121" t="s">
        <v>623</v>
      </c>
      <c r="G58" s="121"/>
      <c r="H58" s="1003">
        <f>PGL_Supplies!T7/1000</f>
        <v>7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67.495000000000005</v>
      </c>
    </row>
    <row r="60" spans="1:9" ht="16.2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190.55199999999999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123.05699999999999</v>
      </c>
    </row>
    <row r="63" spans="1:9" ht="15.6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0"/>
      <c r="I63" s="1176">
        <f>I59</f>
        <v>67.495000000000005</v>
      </c>
    </row>
    <row r="64" spans="1:9" ht="16.2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67.495000000000005</v>
      </c>
    </row>
    <row r="65" spans="1:9" ht="15.6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116.08999999999999</v>
      </c>
    </row>
    <row r="66" spans="1:9" ht="15.6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6.9669999999999996</v>
      </c>
    </row>
    <row r="67" spans="1:9" ht="16.2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2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2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2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2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WED</v>
      </c>
      <c r="G1" s="1078">
        <f>Weather_Input!A5</f>
        <v>37027</v>
      </c>
      <c r="H1" s="588" t="s">
        <v>258</v>
      </c>
      <c r="I1" s="592"/>
    </row>
    <row r="2" spans="1:9" ht="20.399999999999999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1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88</v>
      </c>
      <c r="C4" s="757">
        <f>Weather_Input!C5</f>
        <v>62</v>
      </c>
      <c r="D4" s="651"/>
      <c r="E4" s="652"/>
      <c r="F4" s="651"/>
      <c r="G4" s="652"/>
      <c r="H4" s="653"/>
      <c r="I4" s="654"/>
    </row>
    <row r="5" spans="1:9" ht="23.4" thickBot="1">
      <c r="A5" s="655" t="s">
        <v>139</v>
      </c>
      <c r="B5" s="656"/>
      <c r="C5" s="657">
        <f>NSG_Deliveries!C5/1000</f>
        <v>38.5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30.83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7.67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3.4" thickBot="1">
      <c r="A19" s="702" t="s">
        <v>428</v>
      </c>
      <c r="B19" s="703"/>
      <c r="C19" s="704">
        <f>C7+C12</f>
        <v>30.83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436</v>
      </c>
      <c r="B24" s="716"/>
      <c r="C24" s="710">
        <f>NSG_Requirements!H7/1000</f>
        <v>0.69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437</v>
      </c>
      <c r="B25" s="713"/>
      <c r="C25" s="710">
        <f>-NSG_Supplies!F7/1000</f>
        <v>0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197</v>
      </c>
      <c r="B26" s="716"/>
      <c r="C26" s="710">
        <f>-NSG_Supplies!R7/1000</f>
        <v>-31.954999999999998</v>
      </c>
      <c r="D26" s="717"/>
      <c r="E26" s="710">
        <f>-NSG_Supplies!R7/1000</f>
        <v>-31.954999999999998</v>
      </c>
      <c r="F26" s="717"/>
      <c r="G26" s="710">
        <f>-NSG_Supplies!R7/1000</f>
        <v>-31.954999999999998</v>
      </c>
      <c r="H26" s="716"/>
      <c r="I26" s="775">
        <f>-NSG_Supplies!R7/1000</f>
        <v>-31.954999999999998</v>
      </c>
    </row>
    <row r="27" spans="1:9" ht="20.399999999999999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399999999999999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507</v>
      </c>
      <c r="B41" s="820">
        <f>NSG_Requirements!J7/1000</f>
        <v>12.33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505</v>
      </c>
      <c r="B46" s="822">
        <f>B45+B42-B41</f>
        <v>7.67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37027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88</v>
      </c>
      <c r="C5" s="265">
        <f>Weather_Input!C5</f>
        <v>62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230</v>
      </c>
      <c r="C8" s="273">
        <f>NSG_Deliveries!C5/1000</f>
        <v>38.5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169.851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25.498999999999999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11.703000000000003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1.881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3.1829999999999998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-212.11699999999999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17.88300000000001</v>
      </c>
      <c r="C20" s="294">
        <f>C8+C18+C19</f>
        <v>38.5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1.6347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19.517700000000008</v>
      </c>
      <c r="C23" s="300">
        <f>C20</f>
        <v>38.5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0.56999999999999995</v>
      </c>
      <c r="C27" s="309">
        <f>NSG_Requirements!P7/1000</f>
        <v>0</v>
      </c>
      <c r="D27" s="309">
        <f>PGL_Requirements!R7/1000</f>
        <v>0.56999999999999995</v>
      </c>
      <c r="E27" s="309">
        <f>NSG_Requirements!P7/1000</f>
        <v>0</v>
      </c>
      <c r="F27" s="309">
        <f>PGL_Requirements!R7/1000</f>
        <v>0.56999999999999995</v>
      </c>
      <c r="G27" s="309">
        <f>NSG_Requirements!P7/1000</f>
        <v>0</v>
      </c>
      <c r="H27" s="310">
        <f>+B27</f>
        <v>0.56999999999999995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-75.582999999999998</v>
      </c>
      <c r="C32" s="314">
        <f>-NSG_Supplies!R7/1000</f>
        <v>-31.954999999999998</v>
      </c>
      <c r="D32" s="314">
        <f>B32</f>
        <v>-75.582999999999998</v>
      </c>
      <c r="E32" s="314">
        <f>C32</f>
        <v>-31.954999999999998</v>
      </c>
      <c r="F32" s="314">
        <f>B32</f>
        <v>-75.582999999999998</v>
      </c>
      <c r="G32" s="314">
        <f>C32</f>
        <v>-31.954999999999998</v>
      </c>
      <c r="H32" s="319">
        <f>B32</f>
        <v>-75.582999999999998</v>
      </c>
      <c r="I32" s="320">
        <f>C32</f>
        <v>-31.954999999999998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-21.01</v>
      </c>
      <c r="D33" s="314">
        <f>B33</f>
        <v>0</v>
      </c>
      <c r="E33" s="314">
        <f>C33</f>
        <v>-21.01</v>
      </c>
      <c r="F33" s="314">
        <f>B33</f>
        <v>0</v>
      </c>
      <c r="G33" s="314">
        <f>C33</f>
        <v>-21.01</v>
      </c>
      <c r="H33" s="319">
        <f>B33</f>
        <v>0</v>
      </c>
      <c r="I33" s="320">
        <f>C33</f>
        <v>-21.01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14.316000000000001</v>
      </c>
      <c r="C35" s="309">
        <f>NSG_Requirements!H7/1000</f>
        <v>0.69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0</v>
      </c>
      <c r="C36" s="314">
        <f>-NSG_Supplies!F7/1000</f>
        <v>0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108.98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1.881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1.6347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1.6347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1.881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169.851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169.851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120.68300000000001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108.98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11.703000000000003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WED</v>
      </c>
      <c r="H73" s="405">
        <f>Weather_Input!A5</f>
        <v>37027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14.316000000000003</v>
      </c>
      <c r="D97" s="601"/>
      <c r="E97" s="613">
        <f>+C97</f>
        <v>14.316000000000003</v>
      </c>
      <c r="F97" s="601"/>
      <c r="G97" s="613">
        <f>+C97</f>
        <v>14.316000000000003</v>
      </c>
      <c r="H97" s="601"/>
      <c r="I97" s="284">
        <f>+C97</f>
        <v>14.316000000000003</v>
      </c>
    </row>
    <row r="98" spans="1:9" ht="15">
      <c r="A98" s="492" t="s">
        <v>60</v>
      </c>
      <c r="B98" s="281" t="s">
        <v>11</v>
      </c>
      <c r="C98" s="622">
        <f>B149</f>
        <v>1.881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169.851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120.68300000000001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110</v>
      </c>
      <c r="B104" s="614" t="s">
        <v>11</v>
      </c>
      <c r="C104" s="622">
        <f>PGL_Supplies!B7/1000</f>
        <v>3.1829999999999998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-21.01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14.316000000000001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6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2" thickBot="1">
      <c r="A133" s="558" t="s">
        <v>443</v>
      </c>
      <c r="B133" s="565">
        <f>B126+B127+B130+B131+B132-B125-B128-B129</f>
        <v>14.316000000000003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6" thickBot="1">
      <c r="A140" s="424" t="s">
        <v>393</v>
      </c>
      <c r="B140" s="323">
        <f>PGL_Supplies!V7/1000</f>
        <v>169.851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2" thickBot="1">
      <c r="A141" s="558" t="s">
        <v>443</v>
      </c>
      <c r="B141" s="560">
        <f>-B135+B136+B137-B138+B139+B140</f>
        <v>169.851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108.98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6" thickBot="1">
      <c r="A146" s="424" t="s">
        <v>450</v>
      </c>
      <c r="B146" s="323">
        <f>PGL_Supplies!H7/1000</f>
        <v>1.881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6" thickBot="1">
      <c r="A148" s="424" t="s">
        <v>451</v>
      </c>
      <c r="B148" s="323">
        <f>PGL_Requirements!Q7/1000</f>
        <v>1.6347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452</v>
      </c>
      <c r="B149" s="518">
        <f>B144+B146</f>
        <v>1.881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6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6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6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2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6" thickBot="1">
      <c r="A160" s="424" t="s">
        <v>393</v>
      </c>
      <c r="B160" s="610">
        <f>PGL_Supplies!Y7/1000</f>
        <v>120.68300000000001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2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2" thickBot="1">
      <c r="A162" s="398" t="s">
        <v>452</v>
      </c>
      <c r="B162" s="611">
        <f>B154+B156+B158+B159+B160-B153-B155-B157-B161</f>
        <v>120.68300000000001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6">
      <c r="D11" s="196" t="s">
        <v>264</v>
      </c>
    </row>
    <row r="12" spans="1:10" ht="15.6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37028.475214004633</v>
      </c>
      <c r="F22" s="163" t="s">
        <v>271</v>
      </c>
      <c r="G22" s="190">
        <f ca="1">NOW()</f>
        <v>37028.475214004633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6" thickBot="1"/>
    <row r="26" spans="2:9" ht="15.6" thickBot="1">
      <c r="B26" s="208" t="s">
        <v>11</v>
      </c>
      <c r="C26" s="163" t="s">
        <v>275</v>
      </c>
    </row>
    <row r="27" spans="2:9" ht="15.6" thickBot="1">
      <c r="B27" s="208" t="s">
        <v>11</v>
      </c>
      <c r="C27" s="163" t="s">
        <v>276</v>
      </c>
    </row>
    <row r="28" spans="2:9" ht="15.6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6">
      <c r="B34" s="163" t="s">
        <v>278</v>
      </c>
      <c r="E34" s="189">
        <v>0</v>
      </c>
      <c r="F34" t="s">
        <v>279</v>
      </c>
    </row>
    <row r="36" spans="2:8" ht="15.6">
      <c r="B36" s="163" t="s">
        <v>280</v>
      </c>
      <c r="E36" s="189">
        <v>0</v>
      </c>
      <c r="F36" t="s">
        <v>279</v>
      </c>
    </row>
    <row r="38" spans="2:8" ht="15.6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6">
      <c r="E39" s="165">
        <f>+E38+1</f>
        <v>35917</v>
      </c>
      <c r="F39" s="189">
        <v>0</v>
      </c>
      <c r="G39" t="s">
        <v>279</v>
      </c>
    </row>
    <row r="40" spans="2:8" ht="15.6">
      <c r="E40" s="165">
        <f>+E39+1</f>
        <v>35918</v>
      </c>
      <c r="F40" s="189">
        <v>0</v>
      </c>
      <c r="G40" t="s">
        <v>279</v>
      </c>
    </row>
    <row r="41" spans="2:8" ht="15.6">
      <c r="E41" s="165">
        <f>+E40+1</f>
        <v>35919</v>
      </c>
      <c r="F41" s="189">
        <v>0</v>
      </c>
      <c r="G41" t="s">
        <v>279</v>
      </c>
    </row>
    <row r="42" spans="2:8" ht="15.6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37027</v>
      </c>
      <c r="C5" s="15"/>
      <c r="D5" s="22" t="s">
        <v>289</v>
      </c>
      <c r="E5" s="23">
        <f>Weather_Input!B5</f>
        <v>88</v>
      </c>
      <c r="F5" s="24" t="s">
        <v>290</v>
      </c>
      <c r="G5" s="25">
        <f>Weather_Input!H5</f>
        <v>0</v>
      </c>
      <c r="H5" s="26" t="s">
        <v>291</v>
      </c>
      <c r="I5" s="27">
        <f ca="1">G5-(VLOOKUP(B5,DD_Normal_Data,CELL("Col",B6),FALSE))</f>
        <v>-7</v>
      </c>
    </row>
    <row r="6" spans="1:109" ht="15">
      <c r="A6" s="18"/>
      <c r="B6" s="21"/>
      <c r="C6" s="15"/>
      <c r="D6" s="22" t="s">
        <v>176</v>
      </c>
      <c r="E6" s="23">
        <f>Weather_Input!C5</f>
        <v>62</v>
      </c>
      <c r="F6" s="24" t="s">
        <v>292</v>
      </c>
      <c r="G6" s="25">
        <f>Weather_Input!F5</f>
        <v>76</v>
      </c>
      <c r="H6" s="26" t="s">
        <v>293</v>
      </c>
      <c r="I6" s="27">
        <f ca="1">G6-(VLOOKUP(B5,DD_Normal_Data,CELL("Col",C7),FALSE))</f>
        <v>-67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72.3</v>
      </c>
      <c r="F7" s="24" t="s">
        <v>295</v>
      </c>
      <c r="G7" s="25">
        <f>Weather_Input!G5</f>
        <v>6483</v>
      </c>
      <c r="H7" s="26" t="s">
        <v>295</v>
      </c>
      <c r="I7" s="122">
        <f ca="1">G7-(VLOOKUP(B5,DD_Normal_Data,CELL("Col",D4),FALSE))</f>
        <v>189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PARTLY  SUNNY  SCATTERED  MORNING  SHOWERS  OR T-STORMS.   WIND S 10 TO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15 MPH. TONIGHT… FAIR  WITH LIGHT NE WIND.  OVERNIGHT LOW UPPER 50S.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37028</v>
      </c>
      <c r="C10" s="15"/>
      <c r="D10" s="152" t="s">
        <v>289</v>
      </c>
      <c r="E10" s="23">
        <f>Weather_Input!B6</f>
        <v>82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55</v>
      </c>
      <c r="F11" s="24" t="s">
        <v>292</v>
      </c>
      <c r="G11" s="25">
        <f>IF(DAY(B10)=1,G10,G6+G10)</f>
        <v>76</v>
      </c>
      <c r="H11" s="30" t="s">
        <v>293</v>
      </c>
      <c r="I11" s="27">
        <f ca="1">G11-(VLOOKUP(B10,DD_Normal_Data,CELL("Col",C12),FALSE))</f>
        <v>-74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68.5</v>
      </c>
      <c r="F12" s="24" t="s">
        <v>295</v>
      </c>
      <c r="G12" s="25">
        <f>IF(AND(DAY(B10)=1,MONTH(B10)=8),G10,G7+G10)</f>
        <v>6483</v>
      </c>
      <c r="H12" s="26" t="s">
        <v>295</v>
      </c>
      <c r="I12" s="27">
        <f ca="1">G12-(VLOOKUP(B10,DD_Normal_Data,CELL("Col",D9),FALSE))</f>
        <v>182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 WITH A  40%  CHANCE OF T-STORMS.  WIND  NE  5 TO 10  M.P.H.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37029</v>
      </c>
      <c r="C15" s="15"/>
      <c r="D15" s="22" t="s">
        <v>289</v>
      </c>
      <c r="E15" s="23">
        <f>Weather_Input!B7</f>
        <v>72</v>
      </c>
      <c r="F15" s="24" t="s">
        <v>290</v>
      </c>
      <c r="G15" s="25">
        <f>IF(E17&lt;65,65-(Weather_Input!B7+Weather_Input!C7)/2,0)</f>
        <v>4.5</v>
      </c>
      <c r="H15" s="26" t="s">
        <v>291</v>
      </c>
      <c r="I15" s="27">
        <f ca="1">G15-(VLOOKUP(B15,DD_Normal_Data,CELL("Col",B16),FALSE))</f>
        <v>-2.5</v>
      </c>
    </row>
    <row r="16" spans="1:109" ht="15">
      <c r="A16" s="18"/>
      <c r="B16" s="20"/>
      <c r="C16" s="15"/>
      <c r="D16" s="22" t="s">
        <v>176</v>
      </c>
      <c r="E16" s="23">
        <f>Weather_Input!C7</f>
        <v>49</v>
      </c>
      <c r="F16" s="24" t="s">
        <v>292</v>
      </c>
      <c r="G16" s="25">
        <f>IF(DAY(B15)=1,G15,G11+G15)</f>
        <v>80.5</v>
      </c>
      <c r="H16" s="30" t="s">
        <v>293</v>
      </c>
      <c r="I16" s="27">
        <f ca="1">G16-(VLOOKUP(B15,DD_Normal_Data,CELL("Col",C17),FALSE))</f>
        <v>-76.5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60.5</v>
      </c>
      <c r="F17" s="24" t="s">
        <v>295</v>
      </c>
      <c r="G17" s="25">
        <f>IF(AND(DAY(B15)=1,MONTH(B15)=8),G15,G12+G15)</f>
        <v>6487.5</v>
      </c>
      <c r="H17" s="26" t="s">
        <v>295</v>
      </c>
      <c r="I17" s="27">
        <f ca="1">G17-(VLOOKUP(B15,DD_Normal_Data,CELL("Col",D14),FALSE))</f>
        <v>179.5</v>
      </c>
    </row>
    <row r="18" spans="1:109" ht="15">
      <c r="A18" s="18"/>
      <c r="B18" s="20"/>
      <c r="C18" s="15"/>
      <c r="D18" s="32" t="str">
        <f>IF(Weather_Input!I7=""," ",Weather_Input!I7)</f>
        <v xml:space="preserve">    SUNNY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37030</v>
      </c>
      <c r="C20" s="15"/>
      <c r="D20" s="22" t="s">
        <v>289</v>
      </c>
      <c r="E20" s="23">
        <f>Weather_Input!B8</f>
        <v>72</v>
      </c>
      <c r="F20" s="24" t="s">
        <v>290</v>
      </c>
      <c r="G20" s="25">
        <f>IF(E22&lt;65,65-(Weather_Input!B8+Weather_Input!C8)/2,0)</f>
        <v>4</v>
      </c>
      <c r="H20" s="26" t="s">
        <v>291</v>
      </c>
      <c r="I20" s="27">
        <f ca="1">G20-(VLOOKUP(B20,DD_Normal_Data,CELL("Col",B21),FALSE))</f>
        <v>-3</v>
      </c>
    </row>
    <row r="21" spans="1:109" ht="15">
      <c r="A21" s="18"/>
      <c r="B21" s="21"/>
      <c r="C21" s="15"/>
      <c r="D21" s="22" t="s">
        <v>176</v>
      </c>
      <c r="E21" s="23">
        <f>Weather_Input!C8</f>
        <v>50</v>
      </c>
      <c r="F21" s="24" t="s">
        <v>292</v>
      </c>
      <c r="G21" s="25">
        <f>IF(DAY(B20)=1,G20,G16+G20)</f>
        <v>84.5</v>
      </c>
      <c r="H21" s="30" t="s">
        <v>293</v>
      </c>
      <c r="I21" s="27">
        <f ca="1">G21-(VLOOKUP(B20,DD_Normal_Data,CELL("Col",C22),FALSE))</f>
        <v>-79.5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61</v>
      </c>
      <c r="F22" s="24" t="s">
        <v>295</v>
      </c>
      <c r="G22" s="25">
        <f>IF(AND(DAY(B20)=1,MONTH(B20)=8),G20,G17+G20)</f>
        <v>6491.5</v>
      </c>
      <c r="H22" s="26" t="s">
        <v>295</v>
      </c>
      <c r="I22" s="27">
        <f ca="1">G22-(VLOOKUP(B20,DD_Normal_Data,CELL("Col",D19),FALSE))</f>
        <v>176.5</v>
      </c>
    </row>
    <row r="23" spans="1:109" ht="15">
      <c r="A23" s="18"/>
      <c r="B23" s="21"/>
      <c r="C23" s="15"/>
      <c r="D23" s="32" t="str">
        <f>IF(Weather_Input!I8=""," ",Weather_Input!I8)</f>
        <v xml:space="preserve">    PARTLY  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37031</v>
      </c>
      <c r="C25" s="15"/>
      <c r="D25" s="22" t="s">
        <v>289</v>
      </c>
      <c r="E25" s="23">
        <f>Weather_Input!B9</f>
        <v>75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56</v>
      </c>
      <c r="F26" s="24" t="s">
        <v>292</v>
      </c>
      <c r="G26" s="25">
        <f>IF(DAY(B25)=1,G25,G21+G25)</f>
        <v>84.5</v>
      </c>
      <c r="H26" s="30" t="s">
        <v>293</v>
      </c>
      <c r="I26" s="27">
        <f ca="1">G26-(VLOOKUP(B25,DD_Normal_Data,CELL("Col",C27),FALSE))</f>
        <v>-86.5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65.5</v>
      </c>
      <c r="F27" s="24" t="s">
        <v>295</v>
      </c>
      <c r="G27" s="25">
        <f>IF(AND(DAY(B25)=1,MONTH(B25)=8),G25,G22+G25)</f>
        <v>6491.5</v>
      </c>
      <c r="H27" s="26" t="s">
        <v>295</v>
      </c>
      <c r="I27" s="27">
        <f ca="1">G27-(VLOOKUP(B25,DD_Normal_Data,CELL("Col",D24),FALSE))</f>
        <v>169.5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37032</v>
      </c>
      <c r="C30" s="15"/>
      <c r="D30" s="22" t="s">
        <v>289</v>
      </c>
      <c r="E30" s="23">
        <f>Weather_Input!B10</f>
        <v>80</v>
      </c>
      <c r="F30" s="24" t="s">
        <v>290</v>
      </c>
      <c r="G30" s="25">
        <f>IF(E32&lt;65,65-(Weather_Input!B10+Weather_Input!C10)/2,0)</f>
        <v>0</v>
      </c>
      <c r="H30" s="26" t="s">
        <v>291</v>
      </c>
      <c r="I30" s="27">
        <f ca="1">G30-(VLOOKUP(B30,DD_Normal_Data,CELL("Col",B31),FALSE))</f>
        <v>-6</v>
      </c>
    </row>
    <row r="31" spans="1:109" ht="15">
      <c r="A31" s="15"/>
      <c r="B31" s="15"/>
      <c r="C31" s="15"/>
      <c r="D31" s="22" t="s">
        <v>176</v>
      </c>
      <c r="E31" s="23">
        <f>Weather_Input!C10</f>
        <v>55</v>
      </c>
      <c r="F31" s="24" t="s">
        <v>292</v>
      </c>
      <c r="G31" s="25">
        <f>IF(DAY(B30)=1,G30,G26+G30)</f>
        <v>84.5</v>
      </c>
      <c r="H31" s="30" t="s">
        <v>293</v>
      </c>
      <c r="I31" s="27">
        <f ca="1">G31-(VLOOKUP(B30,DD_Normal_Data,CELL("Col",C32),FALSE))</f>
        <v>-92.5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67.5</v>
      </c>
      <c r="F32" s="24" t="s">
        <v>295</v>
      </c>
      <c r="G32" s="25">
        <f>IF(AND(DAY(B30)=1,MONTH(B30)=8),G30,G27+G30)</f>
        <v>6491.5</v>
      </c>
      <c r="H32" s="26" t="s">
        <v>295</v>
      </c>
      <c r="I32" s="27">
        <f ca="1">G32-(VLOOKUP(B30,DD_Normal_Data,CELL("Col",D29),FALSE))</f>
        <v>163.5</v>
      </c>
    </row>
    <row r="33" spans="1:9" ht="15">
      <c r="A33" s="15"/>
      <c r="B33" s="34"/>
      <c r="C33" s="15"/>
      <c r="D33" s="32" t="str">
        <f>IF(Weather_Input!I10=""," ",Weather_Input!I10)</f>
        <v xml:space="preserve">   CHANCE  OF  SHOWERS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37027</v>
      </c>
      <c r="C36" s="91">
        <f>B10</f>
        <v>37028</v>
      </c>
      <c r="D36" s="91">
        <f>B15</f>
        <v>37029</v>
      </c>
      <c r="E36" s="91">
        <f xml:space="preserve">       B20</f>
        <v>37030</v>
      </c>
      <c r="F36" s="91">
        <f>B25</f>
        <v>37031</v>
      </c>
      <c r="G36" s="91">
        <f>B30</f>
        <v>37032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230</v>
      </c>
      <c r="C37" s="41">
        <f ca="1">(VLOOKUP(C36,PGL_Sendouts,(CELL("COL",PGL_Deliveries!C7))))/1000</f>
        <v>230</v>
      </c>
      <c r="D37" s="41">
        <f ca="1">(VLOOKUP(D36,PGL_Sendouts,(CELL("COL",PGL_Deliveries!C8))))/1000</f>
        <v>225</v>
      </c>
      <c r="E37" s="41">
        <f ca="1">(VLOOKUP(E36,PGL_Sendouts,(CELL("COL",PGL_Deliveries!C9))))/1000</f>
        <v>220</v>
      </c>
      <c r="F37" s="41">
        <f ca="1">(VLOOKUP(F36,PGL_Sendouts,(CELL("COL",PGL_Deliveries!C10))))/1000</f>
        <v>225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300</v>
      </c>
      <c r="B38" s="41">
        <f>PGL_6_Day_Report!D30</f>
        <v>470.16269999999997</v>
      </c>
      <c r="C38" s="41">
        <f>PGL_6_Day_Report!E30</f>
        <v>443.78299999999996</v>
      </c>
      <c r="D38" s="41">
        <f>PGL_6_Day_Report!F30</f>
        <v>418.08</v>
      </c>
      <c r="E38" s="41">
        <f>PGL_6_Day_Report!G30</f>
        <v>413.08</v>
      </c>
      <c r="F38" s="41">
        <f>PGL_6_Day_Report!H30</f>
        <v>418.08</v>
      </c>
      <c r="G38" s="41">
        <f>PGL_6_Day_Report!I30</f>
        <v>423.08</v>
      </c>
      <c r="H38" s="14"/>
      <c r="I38" s="15"/>
    </row>
    <row r="39" spans="1:9" ht="15">
      <c r="A39" s="42" t="s">
        <v>109</v>
      </c>
      <c r="B39" s="41">
        <f>SUM(PGL_Supplies!Z7:AE7)/1000</f>
        <v>299.33499999999998</v>
      </c>
      <c r="C39" s="41">
        <f>SUM(PGL_Supplies!Z8:AE8)/1000</f>
        <v>276.822</v>
      </c>
      <c r="D39" s="41">
        <f>SUM(PGL_Supplies!Z9:AE9)/1000</f>
        <v>276.822</v>
      </c>
      <c r="E39" s="41">
        <f>SUM(PGL_Supplies!Z10:AE10)/1000</f>
        <v>276.822</v>
      </c>
      <c r="F39" s="41">
        <f>SUM(PGL_Supplies!Z11:AE11)/1000</f>
        <v>276.822</v>
      </c>
      <c r="G39" s="41">
        <f>SUM(PGL_Supplies!Z12:AE12)/1000</f>
        <v>276.822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40.770000000000003</v>
      </c>
      <c r="C41" s="41">
        <f>SUM(PGL_Requirements!R7:U7)/1000</f>
        <v>40.770000000000003</v>
      </c>
      <c r="D41" s="41">
        <f>SUM(PGL_Requirements!R7:U7)/1000</f>
        <v>40.770000000000003</v>
      </c>
      <c r="E41" s="41">
        <f>SUM(PGL_Requirements!R7:U7)/1000</f>
        <v>40.770000000000003</v>
      </c>
      <c r="F41" s="41">
        <f>SUM(PGL_Requirements!R7:U7)/1000</f>
        <v>40.770000000000003</v>
      </c>
      <c r="G41" s="41">
        <f>SUM(PGL_Requirements!R7:U7)/1000</f>
        <v>40.770000000000003</v>
      </c>
      <c r="H41" s="14"/>
      <c r="I41" s="15"/>
    </row>
    <row r="42" spans="1:9" ht="15">
      <c r="A42" s="15" t="s">
        <v>132</v>
      </c>
      <c r="B42" s="41">
        <f>PGL_Supplies!V7/1000</f>
        <v>169.851</v>
      </c>
      <c r="C42" s="41">
        <f>PGL_Supplies!V8/1000</f>
        <v>169.34</v>
      </c>
      <c r="D42" s="41">
        <f>PGL_Supplies!V9/1000</f>
        <v>169.34</v>
      </c>
      <c r="E42" s="41">
        <f>PGL_Supplies!V10/1000</f>
        <v>169.34</v>
      </c>
      <c r="F42" s="41">
        <f>PGL_Supplies!V11/1000</f>
        <v>169.34</v>
      </c>
      <c r="G42" s="41">
        <f>PGL_Supplies!V12/1000</f>
        <v>169.34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37027</v>
      </c>
      <c r="C44" s="91">
        <f t="shared" si="0"/>
        <v>37028</v>
      </c>
      <c r="D44" s="91">
        <f t="shared" si="0"/>
        <v>37029</v>
      </c>
      <c r="E44" s="91">
        <f t="shared" si="0"/>
        <v>37030</v>
      </c>
      <c r="F44" s="91">
        <f t="shared" si="0"/>
        <v>37031</v>
      </c>
      <c r="G44" s="91">
        <f t="shared" si="0"/>
        <v>37032</v>
      </c>
      <c r="H44" s="14"/>
      <c r="I44" s="15"/>
    </row>
    <row r="45" spans="1:9" ht="15">
      <c r="A45" s="15" t="s">
        <v>56</v>
      </c>
      <c r="B45" s="41">
        <f ca="1">NSG_6_Day_Report!D6</f>
        <v>38.5</v>
      </c>
      <c r="C45" s="41">
        <f ca="1">NSG_6_Day_Report!E6</f>
        <v>38</v>
      </c>
      <c r="D45" s="41">
        <f ca="1">NSG_6_Day_Report!F6</f>
        <v>37</v>
      </c>
      <c r="E45" s="41">
        <f ca="1">NSG_6_Day_Report!G6</f>
        <v>35</v>
      </c>
      <c r="F45" s="41">
        <f ca="1">NSG_6_Day_Report!H6</f>
        <v>37</v>
      </c>
      <c r="G45" s="41">
        <f ca="1">NSG_6_Day_Report!I6</f>
        <v>38</v>
      </c>
      <c r="H45" s="14"/>
      <c r="I45" s="15"/>
    </row>
    <row r="46" spans="1:9" ht="15">
      <c r="A46" s="42" t="s">
        <v>300</v>
      </c>
      <c r="B46" s="41">
        <f ca="1">NSG_6_Day_Report!D19</f>
        <v>51.519999999999996</v>
      </c>
      <c r="C46" s="41">
        <f ca="1">NSG_6_Day_Report!E19</f>
        <v>50.25</v>
      </c>
      <c r="D46" s="41">
        <f ca="1">NSG_6_Day_Report!F19</f>
        <v>38</v>
      </c>
      <c r="E46" s="41">
        <f ca="1">NSG_6_Day_Report!G19</f>
        <v>36</v>
      </c>
      <c r="F46" s="41">
        <f ca="1">NSG_6_Day_Report!H19</f>
        <v>38</v>
      </c>
      <c r="G46" s="41">
        <f ca="1">NSG_6_Day_Report!I19</f>
        <v>39</v>
      </c>
      <c r="H46" s="14"/>
      <c r="I46" s="15"/>
    </row>
    <row r="47" spans="1:9" ht="15">
      <c r="A47" s="42" t="s">
        <v>109</v>
      </c>
      <c r="B47" s="41">
        <f>SUM(NSG_Supplies!P7:R7)/1000</f>
        <v>51.954999999999998</v>
      </c>
      <c r="C47" s="41">
        <f>SUM(NSG_Supplies!P8:R8)/1000</f>
        <v>50.253</v>
      </c>
      <c r="D47" s="41">
        <f>SUM(NSG_Supplies!P9:R9)/1000</f>
        <v>50.253</v>
      </c>
      <c r="E47" s="41">
        <f>SUM(NSG_Supplies!P10:R10)/1000</f>
        <v>50.253</v>
      </c>
      <c r="F47" s="41">
        <f>SUM(NSG_Supplies!P11:R11)/1000</f>
        <v>50.253</v>
      </c>
      <c r="G47" s="41">
        <f>SUM(NSG_Supplies!P12:R12)/1000</f>
        <v>50.253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21.01</v>
      </c>
      <c r="C50" s="41">
        <f>NSG_Supplies!S8/1000</f>
        <v>19.308</v>
      </c>
      <c r="D50" s="41">
        <f>NSG_Supplies!S9/1000</f>
        <v>19.308</v>
      </c>
      <c r="E50" s="41">
        <f>NSG_Supplies!S10/1000</f>
        <v>19.308</v>
      </c>
      <c r="F50" s="41">
        <f>NSG_Supplies!S11/1000</f>
        <v>19.308</v>
      </c>
      <c r="G50" s="41">
        <f>NSG_Supplies!S12/1000</f>
        <v>19.308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37027</v>
      </c>
      <c r="C52" s="91">
        <f t="shared" si="1"/>
        <v>37028</v>
      </c>
      <c r="D52" s="91">
        <f t="shared" si="1"/>
        <v>37029</v>
      </c>
      <c r="E52" s="91">
        <f t="shared" si="1"/>
        <v>37030</v>
      </c>
      <c r="F52" s="91">
        <f t="shared" si="1"/>
        <v>37031</v>
      </c>
      <c r="G52" s="91">
        <f t="shared" si="1"/>
        <v>37032</v>
      </c>
      <c r="H52" s="14"/>
      <c r="I52" s="15"/>
    </row>
    <row r="53" spans="1:9" ht="15">
      <c r="A53" s="94" t="s">
        <v>304</v>
      </c>
      <c r="B53" s="41">
        <f>PGL_Requirements!P7/1000</f>
        <v>108.98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310</v>
      </c>
    </row>
    <row r="4" spans="1:8">
      <c r="A4" s="99"/>
      <c r="B4" s="1135" t="str">
        <f>Six_Day_Summary!A10</f>
        <v>Thursday</v>
      </c>
      <c r="C4" s="1136" t="str">
        <f>Six_Day_Summary!A15</f>
        <v>Friday</v>
      </c>
      <c r="D4" s="1136" t="str">
        <f>Six_Day_Summary!A20</f>
        <v>Saturday</v>
      </c>
      <c r="E4" s="1136" t="str">
        <f>Six_Day_Summary!A25</f>
        <v>Sunday</v>
      </c>
      <c r="F4" s="1137" t="str">
        <f>Six_Day_Summary!A30</f>
        <v>Monday</v>
      </c>
      <c r="G4" s="100"/>
    </row>
    <row r="5" spans="1:8">
      <c r="A5" s="103" t="s">
        <v>311</v>
      </c>
      <c r="B5" s="1138">
        <f>Weather_Input!A6</f>
        <v>37028</v>
      </c>
      <c r="C5" s="1139">
        <f>Weather_Input!A7</f>
        <v>37029</v>
      </c>
      <c r="D5" s="1139">
        <f>Weather_Input!A8</f>
        <v>37030</v>
      </c>
      <c r="E5" s="1139">
        <f>Weather_Input!A9</f>
        <v>37031</v>
      </c>
      <c r="F5" s="1140">
        <f>Weather_Input!A10</f>
        <v>37032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64.492999999999995</v>
      </c>
      <c r="C6" s="1141">
        <f>PGL_Supplies!AC9/1000+PGL_Supplies!L9/1000-PGL_Requirements!O9/1000+C15-PGL_Requirements!T9/1000</f>
        <v>64.492999999999995</v>
      </c>
      <c r="D6" s="1141">
        <f>PGL_Supplies!AC10/1000+PGL_Supplies!L10/1000-PGL_Requirements!O10/1000+D15-PGL_Requirements!T10/1000</f>
        <v>64.492999999999995</v>
      </c>
      <c r="E6" s="1141">
        <f>PGL_Supplies!AC11/1000+PGL_Supplies!L11/1000-PGL_Requirements!O11/1000+E15-PGL_Requirements!T11/1000</f>
        <v>64.492999999999995</v>
      </c>
      <c r="F6" s="1142">
        <f>PGL_Supplies!AC12/1000+PGL_Supplies!L12/1000-PGL_Requirements!O12/1000+F15-PGL_Requirements!T12/1000</f>
        <v>64.492999999999995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Thursday</v>
      </c>
      <c r="C21" s="1151" t="str">
        <f t="shared" si="0"/>
        <v>Friday</v>
      </c>
      <c r="D21" s="1151" t="str">
        <f t="shared" si="0"/>
        <v>Saturday</v>
      </c>
      <c r="E21" s="1151" t="str">
        <f t="shared" si="0"/>
        <v>Sunday</v>
      </c>
      <c r="F21" s="1152" t="str">
        <f t="shared" si="0"/>
        <v>Monday</v>
      </c>
      <c r="G21" s="100"/>
    </row>
    <row r="22" spans="1:7">
      <c r="A22" s="107" t="s">
        <v>311</v>
      </c>
      <c r="B22" s="1153">
        <f t="shared" si="0"/>
        <v>37028</v>
      </c>
      <c r="C22" s="1153">
        <f t="shared" si="0"/>
        <v>37029</v>
      </c>
      <c r="D22" s="1153">
        <f t="shared" si="0"/>
        <v>37030</v>
      </c>
      <c r="E22" s="1153">
        <f t="shared" si="0"/>
        <v>37031</v>
      </c>
      <c r="F22" s="1154">
        <f t="shared" si="0"/>
        <v>37032</v>
      </c>
      <c r="G22" s="100"/>
    </row>
    <row r="23" spans="1:7">
      <c r="A23" s="100" t="s">
        <v>312</v>
      </c>
      <c r="B23" s="1147">
        <f>NSG_Supplies!R8/1000+NSG_Supplies!F8/1000-NSG_Requirements!H8/1000</f>
        <v>29.253</v>
      </c>
      <c r="C23" s="1147">
        <f>NSG_Supplies!R9/1000+NSG_Supplies!F9/1000-NSG_Requirements!H9/1000</f>
        <v>29.253</v>
      </c>
      <c r="D23" s="1147">
        <f>NSG_Supplies!R10/1000+NSG_Supplies!F10/1000-NSG_Requirements!H10/1000</f>
        <v>29.253</v>
      </c>
      <c r="E23" s="1147">
        <f>NSG_Supplies!R12/1000+NSG_Supplies!F11/1000-NSG_Requirements!H11/1000</f>
        <v>29.253</v>
      </c>
      <c r="F23" s="1142">
        <f>NSG_Supplies!R12/1000+NSG_Supplies!F12/1000-NSG_Requirements!H12/1000</f>
        <v>29.253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381</v>
      </c>
      <c r="C1" s="907">
        <f>Weather_Input!A6</f>
        <v>37028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11.25</v>
      </c>
      <c r="E4" s="801"/>
      <c r="F4" s="171" t="s">
        <v>546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8.75</v>
      </c>
      <c r="D5" s="437"/>
      <c r="E5" s="439">
        <f>AVERAGE(C5/24)</f>
        <v>0.36458333333333331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6.25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172.12899999999999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130.589</v>
      </c>
      <c r="D11" s="788"/>
      <c r="E11" s="1124"/>
      <c r="F11" s="434" t="s">
        <v>378</v>
      </c>
      <c r="G11" s="446">
        <f>G8+G10</f>
        <v>175.62899999999999</v>
      </c>
      <c r="H11" s="433"/>
      <c r="I11" s="435"/>
    </row>
    <row r="12" spans="1:11" ht="15.75" customHeight="1">
      <c r="B12" s="248" t="s">
        <v>780</v>
      </c>
      <c r="C12" s="153">
        <v>0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130.589</v>
      </c>
      <c r="D14" s="437"/>
      <c r="E14" s="439">
        <f>AVERAGE(C14/24)</f>
        <v>5.441208333333333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154.92599999999999</v>
      </c>
      <c r="H15" s="437" t="s">
        <v>11</v>
      </c>
      <c r="I15" s="439">
        <f>AVERAGE(G15/24)</f>
        <v>6.4552499999999995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20.702999999999999</v>
      </c>
      <c r="H16" s="447" t="s">
        <v>11</v>
      </c>
      <c r="I16" s="439">
        <f>AVERAGE(G16/24)</f>
        <v>0.86262499999999998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37028</v>
      </c>
      <c r="I1" s="930"/>
      <c r="J1" s="932"/>
      <c r="K1" s="932"/>
    </row>
    <row r="2" spans="1:22" ht="16.5" customHeight="1">
      <c r="A2" s="950" t="s">
        <v>680</v>
      </c>
      <c r="C2" s="1042">
        <v>412</v>
      </c>
      <c r="F2" s="1043">
        <v>413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8.75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38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3.0000000000001137E-3</v>
      </c>
      <c r="N11" s="933"/>
      <c r="O11" s="958"/>
      <c r="U11" s="932"/>
      <c r="V11" s="946"/>
    </row>
    <row r="12" spans="1:22" ht="14.4" customHeight="1">
      <c r="A12" s="930" t="s">
        <v>743</v>
      </c>
      <c r="H12" s="952"/>
      <c r="U12" s="932"/>
      <c r="V12" s="952"/>
    </row>
    <row r="13" spans="1:22" ht="14.4" customHeight="1">
      <c r="A13" s="1045">
        <f>PGL_Supplies!Y8/1000</f>
        <v>130.589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410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542</v>
      </c>
      <c r="D18" s="1050"/>
      <c r="E18" s="1050"/>
      <c r="F18" s="1043">
        <v>805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29.253</v>
      </c>
      <c r="N19" s="1053"/>
    </row>
    <row r="20" spans="1:17" ht="17.25" customHeight="1">
      <c r="A20" s="952">
        <f>Billy_Sheet!G15</f>
        <v>154.92599999999999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6.9669999999999996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11.157</v>
      </c>
      <c r="H26" s="933"/>
      <c r="I26" s="933"/>
      <c r="J26" s="933" t="s">
        <v>573</v>
      </c>
      <c r="K26" s="1055">
        <f>PGL_Deliveries!C6/1000</f>
        <v>230</v>
      </c>
      <c r="L26" s="930" t="s">
        <v>684</v>
      </c>
      <c r="M26" s="952">
        <f>NSG_Deliveries!C6/1000</f>
        <v>38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130.81199999999998</v>
      </c>
      <c r="L28" s="933" t="s">
        <v>735</v>
      </c>
      <c r="M28" s="958">
        <f>SUM(J2+K17+K19+H11+H9-M26)</f>
        <v>11.253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37027</v>
      </c>
      <c r="G29" s="952">
        <f>PGL_Requirements!H7/1000</f>
        <v>67.495000000000005</v>
      </c>
      <c r="H29" s="931"/>
      <c r="J29" s="933" t="s">
        <v>688</v>
      </c>
      <c r="K29" s="952">
        <f>PGL_Supplies!AC8/1000+PGL_Supplies!L8/1000-PGL_Requirements!O8/1000</f>
        <v>64.492999999999995</v>
      </c>
    </row>
    <row r="30" spans="1:17" ht="10.5" customHeight="1">
      <c r="A30" s="935"/>
      <c r="B30" s="952"/>
      <c r="C30" s="933"/>
      <c r="D30" s="952"/>
      <c r="F30" s="1107">
        <f>PGL_Requirements!A8</f>
        <v>37028</v>
      </c>
      <c r="G30" s="952">
        <f>PGL_Requirements!H8/1000</f>
        <v>20.702999999999999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-34.695000000000022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546</v>
      </c>
      <c r="F38" s="1048">
        <v>754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301.51499999999999</v>
      </c>
      <c r="B40" s="946"/>
      <c r="C40" s="945"/>
      <c r="D40" s="946"/>
      <c r="E40" s="946"/>
      <c r="F40" s="1058"/>
      <c r="G40" s="1058">
        <f>SUM(G30:G35)</f>
        <v>170.703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130.81199999999998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391.5</v>
      </c>
      <c r="E45" s="1063"/>
      <c r="F45" s="1064">
        <v>6.7000000000000004E-2</v>
      </c>
      <c r="G45" s="1065">
        <f>(C45-D45)*F45</f>
        <v>1.2395</v>
      </c>
      <c r="H45" s="1065">
        <f>(D45-B45)*F45</f>
        <v>9.480500000000001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411</v>
      </c>
      <c r="E47" s="1063"/>
      <c r="F47" s="1064">
        <v>0.14099999999999999</v>
      </c>
      <c r="G47" s="1065">
        <f>(C47-D47)*F47</f>
        <v>-0.14099999999999999</v>
      </c>
      <c r="H47" s="1065">
        <f>(D47-B47)*F47</f>
        <v>22.700999999999997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544</v>
      </c>
      <c r="E48" s="1063"/>
      <c r="F48" s="1064">
        <v>0.161</v>
      </c>
      <c r="G48" s="1065">
        <f>(C48-D48)*F48</f>
        <v>33.166000000000004</v>
      </c>
      <c r="H48" s="1065">
        <f>(D48-B48)*F48</f>
        <v>41.698999999999998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34.264500000000005</v>
      </c>
      <c r="H49" s="1065">
        <f>SUM(H45:H48)</f>
        <v>73.880499999999998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37027</v>
      </c>
      <c r="B5" s="11">
        <v>88</v>
      </c>
      <c r="C5" s="49">
        <v>62</v>
      </c>
      <c r="D5" s="49">
        <v>5.8</v>
      </c>
      <c r="E5" s="11">
        <v>72.3</v>
      </c>
      <c r="F5" s="11">
        <v>76</v>
      </c>
      <c r="G5" s="11">
        <v>6483</v>
      </c>
      <c r="H5" s="11">
        <v>0</v>
      </c>
      <c r="I5" s="909" t="s">
        <v>797</v>
      </c>
      <c r="J5" s="909" t="s">
        <v>798</v>
      </c>
      <c r="K5" s="11">
        <v>6</v>
      </c>
      <c r="L5" s="11">
        <v>1</v>
      </c>
      <c r="N5" s="15" t="str">
        <f>I5&amp;" "&amp;I5</f>
        <v xml:space="preserve">  PARTLY  SUNNY  SCATTERED  MORNING  SHOWERS  OR T-STORMS.   WIND S 10 TO    PARTLY  SUNNY  SCATTERED  MORNING  SHOWERS  OR T-STORMS.   WIND S 10 TO </v>
      </c>
      <c r="AE5" s="15">
        <v>1</v>
      </c>
      <c r="AH5" s="15" t="s">
        <v>34</v>
      </c>
    </row>
    <row r="6" spans="1:34" ht="16.5" customHeight="1">
      <c r="A6" s="88">
        <f>A5+1</f>
        <v>37028</v>
      </c>
      <c r="B6" s="11">
        <v>82</v>
      </c>
      <c r="C6" s="49">
        <v>55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9" t="s">
        <v>801</v>
      </c>
      <c r="J6" s="909" t="s">
        <v>11</v>
      </c>
      <c r="K6" s="11">
        <v>5</v>
      </c>
      <c r="L6" s="11" t="s">
        <v>626</v>
      </c>
      <c r="N6" s="15" t="str">
        <f>I6&amp;" "&amp;J6</f>
        <v xml:space="preserve">  PARTLY CLOUDY WITH A  40%  CHANCE OF T-STORMS.  WIND  NE  5 TO 10  M.P.H.   </v>
      </c>
      <c r="AE6" s="15">
        <v>1</v>
      </c>
      <c r="AH6" s="15" t="s">
        <v>35</v>
      </c>
    </row>
    <row r="7" spans="1:34" ht="16.5" customHeight="1">
      <c r="A7" s="88">
        <f>A6+1</f>
        <v>37029</v>
      </c>
      <c r="B7" s="11">
        <v>72</v>
      </c>
      <c r="C7" s="49">
        <v>49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9" t="s">
        <v>804</v>
      </c>
      <c r="J7" s="909"/>
      <c r="K7" s="11">
        <v>1</v>
      </c>
      <c r="L7" s="11" t="s">
        <v>22</v>
      </c>
      <c r="N7" s="15" t="str">
        <f>I7&amp;" "&amp;J7</f>
        <v xml:space="preserve">    SUNNY </v>
      </c>
    </row>
    <row r="8" spans="1:34" ht="16.5" customHeight="1">
      <c r="A8" s="88">
        <f>A7+1</f>
        <v>37030</v>
      </c>
      <c r="B8" s="11">
        <v>72</v>
      </c>
      <c r="C8" s="49">
        <v>50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1</v>
      </c>
      <c r="L8" s="11"/>
      <c r="N8" s="15" t="str">
        <f>I8&amp;" "&amp;J8</f>
        <v xml:space="preserve">    PARTLY   SUNNY  </v>
      </c>
    </row>
    <row r="9" spans="1:34" ht="16.5" customHeight="1">
      <c r="A9" s="88">
        <f>A8+1</f>
        <v>37031</v>
      </c>
      <c r="B9" s="11">
        <v>75</v>
      </c>
      <c r="C9" s="49">
        <v>56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09" t="s">
        <v>799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 CHANCE  OF  SHOWERS  </v>
      </c>
    </row>
    <row r="10" spans="1:34" ht="16.5" customHeight="1">
      <c r="A10" s="88">
        <f>A9+1</f>
        <v>37032</v>
      </c>
      <c r="B10" s="11">
        <v>80</v>
      </c>
      <c r="C10" s="49">
        <v>55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802</v>
      </c>
      <c r="J10" s="909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573</v>
      </c>
      <c r="B2" s="185">
        <f>PGL_Deliveries!U5/1000</f>
        <v>231.21899999999999</v>
      </c>
      <c r="C2" s="60"/>
      <c r="D2" s="120" t="s">
        <v>324</v>
      </c>
      <c r="E2" s="425">
        <f>Weather_Input!A5</f>
        <v>37027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254</v>
      </c>
      <c r="B6" s="153">
        <f>PGL_Deliveries!I5/1000</f>
        <v>171.58699999999999</v>
      </c>
      <c r="C6" s="168"/>
      <c r="D6" s="59" t="s">
        <v>576</v>
      </c>
      <c r="E6" s="153">
        <f>PGL_Deliveries!P5/1000</f>
        <v>0.78400000000000003</v>
      </c>
      <c r="F6" s="170"/>
      <c r="H6"/>
      <c r="I6"/>
      <c r="J6"/>
      <c r="K6"/>
      <c r="L6"/>
      <c r="M6"/>
    </row>
    <row r="7" spans="1:13" ht="16.2" thickBot="1">
      <c r="A7" s="180" t="s">
        <v>579</v>
      </c>
      <c r="B7" s="227">
        <f>SUM(B5:B6)</f>
        <v>171.58699999999999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120.746</v>
      </c>
      <c r="C8" s="630"/>
      <c r="D8" s="117" t="s">
        <v>578</v>
      </c>
      <c r="E8" s="153">
        <f>PGL_Deliveries!N5/1000</f>
        <v>1.3380000000000001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0.19400000000000001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3.94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25.498999999999999</v>
      </c>
      <c r="C11" s="64"/>
      <c r="D11" s="117" t="s">
        <v>580</v>
      </c>
      <c r="E11" s="153">
        <f>PGL_Deliveries!R5/1000</f>
        <v>1.6990000000000001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4.101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PGL_Deliveries!Y5/1000+PGL_Deliveries!Z5/1000+PGL_Deliveries!AA5/1000-PGL_Deliveries!BE5/1000-PGL_Deliveries!BF5/1000</f>
        <v>129.828</v>
      </c>
      <c r="C13" s="64"/>
      <c r="D13" s="117" t="s">
        <v>219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45.734999999999999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-107.669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0</v>
      </c>
      <c r="D16" s="117" t="s">
        <v>223</v>
      </c>
      <c r="E16" s="153">
        <f>PGL_Deliveries!L5/1000</f>
        <v>2E-3</v>
      </c>
      <c r="F16" s="170"/>
      <c r="H16"/>
      <c r="I16"/>
      <c r="J16"/>
      <c r="K16"/>
      <c r="L16"/>
      <c r="M16"/>
    </row>
    <row r="17" spans="1:13" ht="15.6" thickBot="1">
      <c r="A17" s="169" t="s">
        <v>186</v>
      </c>
      <c r="B17" s="153">
        <f>PGL_Deliveries!AP5/1000</f>
        <v>3.1829999999999998</v>
      </c>
      <c r="C17" s="168" t="s">
        <v>11</v>
      </c>
      <c r="D17" s="1156" t="s">
        <v>222</v>
      </c>
      <c r="E17" s="209">
        <f>PGL_Deliveries!M5/1000</f>
        <v>1.833</v>
      </c>
      <c r="F17" s="166"/>
      <c r="H17"/>
      <c r="I17"/>
      <c r="J17"/>
      <c r="K17"/>
      <c r="L17"/>
      <c r="M17"/>
    </row>
    <row r="18" spans="1:13" ht="16.2" thickBot="1">
      <c r="A18" s="179" t="s">
        <v>584</v>
      </c>
      <c r="B18" s="903">
        <f>SUM(B8:B17)-C16</f>
        <v>171.58699999999999</v>
      </c>
      <c r="C18" s="168"/>
      <c r="D18" s="178" t="s">
        <v>585</v>
      </c>
      <c r="E18" s="177">
        <f>SUM(E5:E17)</f>
        <v>59.631999999999998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120.68300000000001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1.6347</v>
      </c>
      <c r="F20" s="170"/>
      <c r="H20"/>
      <c r="I20"/>
      <c r="J20"/>
      <c r="K20"/>
      <c r="L20"/>
      <c r="M20"/>
    </row>
    <row r="21" spans="1:13" ht="16.2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61.2667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120.68300000000001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14.316000000000001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75.582999999999998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108.98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61.266999999999996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1.881</v>
      </c>
      <c r="C40" s="64"/>
      <c r="D40" s="779" t="s">
        <v>610</v>
      </c>
      <c r="E40" s="806"/>
      <c r="F40" s="175">
        <f>PGL_Requirements!K7/1000</f>
        <v>6.9669999999999996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183.55199999999999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1.6347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740</v>
      </c>
      <c r="B44" s="209" t="s">
        <v>11</v>
      </c>
      <c r="C44" s="225">
        <f>PGL_Requirements!R7/1000</f>
        <v>0.56999999999999995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88</v>
      </c>
      <c r="C45" s="184"/>
      <c r="D45" s="60" t="s">
        <v>623</v>
      </c>
      <c r="E45" s="807">
        <f>PGL_Supplies!T7/1000</f>
        <v>7</v>
      </c>
      <c r="F45" s="170"/>
    </row>
    <row r="46" spans="1:13" ht="15">
      <c r="A46" s="171" t="s">
        <v>614</v>
      </c>
      <c r="B46" s="238">
        <f>Weather_Input!C5</f>
        <v>62</v>
      </c>
      <c r="C46" s="161"/>
      <c r="D46" s="74" t="s">
        <v>622</v>
      </c>
      <c r="E46" s="60"/>
      <c r="F46" s="175">
        <f>PGL_Deliveries!BE5/1000</f>
        <v>67.495000000000005</v>
      </c>
    </row>
    <row r="47" spans="1:13" ht="15">
      <c r="A47" s="172" t="s">
        <v>615</v>
      </c>
      <c r="B47" s="60">
        <f>Weather_Input!E5</f>
        <v>72.3</v>
      </c>
      <c r="C47" s="161"/>
      <c r="D47" s="778" t="s">
        <v>789</v>
      </c>
      <c r="E47" s="68"/>
      <c r="F47" s="175">
        <f>PGL_Deliveries!BF5/1000</f>
        <v>6.9669999999999996</v>
      </c>
    </row>
    <row r="48" spans="1:13" ht="15">
      <c r="A48" s="171" t="s">
        <v>616</v>
      </c>
      <c r="B48" s="226">
        <f>Weather_Input!D5</f>
        <v>5.8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1.026</v>
      </c>
      <c r="C49" s="161"/>
      <c r="D49" s="60" t="s">
        <v>778</v>
      </c>
      <c r="E49" s="153">
        <f>PGL_Deliveries!AJ5/1000</f>
        <v>19.513000000000002</v>
      </c>
      <c r="F49" s="160"/>
    </row>
    <row r="50" spans="1:6" ht="15.6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5.9859999999999998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38.935000000000002</v>
      </c>
      <c r="C3" s="119"/>
      <c r="D3" s="229" t="s">
        <v>324</v>
      </c>
      <c r="E3" s="428">
        <f>Weather_Input!A5</f>
        <v>37027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31.265000000000001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31.265000000000001</v>
      </c>
      <c r="C8" s="160"/>
      <c r="D8" s="818" t="s">
        <v>641</v>
      </c>
      <c r="E8" s="812">
        <f>NSG_Deliveries!F5/1000</f>
        <v>7.67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12.33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31.954999999999998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0.69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0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31.264999999999997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37027</v>
      </c>
      <c r="C1" s="4"/>
    </row>
    <row r="2" spans="1:19">
      <c r="A2" s="111" t="s">
        <v>357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37026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114079</v>
      </c>
      <c r="O6" s="203">
        <v>0</v>
      </c>
      <c r="P6" s="203">
        <v>47542101</v>
      </c>
      <c r="Q6" s="203">
        <v>15045098</v>
      </c>
      <c r="R6" s="203">
        <v>32497003</v>
      </c>
      <c r="S6" s="203">
        <v>0</v>
      </c>
    </row>
    <row r="7" spans="1:19">
      <c r="A7" s="4">
        <f>B1</f>
        <v>37027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120683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47662784</v>
      </c>
      <c r="Q7">
        <f>IF(O7&gt;0,Q6+O7,Q6)</f>
        <v>15045098</v>
      </c>
      <c r="R7">
        <f>IF(P7&gt;Q7,P7-Q7,0)</f>
        <v>32617686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A1" zoomScale="75" workbookViewId="0">
      <selection activeCell="AK6" sqref="AK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37027</v>
      </c>
      <c r="B5" s="1">
        <f>(Weather_Input!B5+Weather_Input!C5)/2</f>
        <v>75</v>
      </c>
      <c r="C5" s="910">
        <v>230000</v>
      </c>
      <c r="D5" s="911">
        <v>0</v>
      </c>
      <c r="E5" s="911">
        <v>0</v>
      </c>
      <c r="F5" s="911">
        <v>0</v>
      </c>
      <c r="G5" s="911">
        <v>4101</v>
      </c>
      <c r="H5" s="911">
        <v>45735</v>
      </c>
      <c r="I5" s="911">
        <v>171587</v>
      </c>
      <c r="J5" s="911">
        <v>0</v>
      </c>
      <c r="K5" s="911">
        <v>6</v>
      </c>
      <c r="L5" s="911">
        <v>2</v>
      </c>
      <c r="M5" s="911">
        <v>1833</v>
      </c>
      <c r="N5" s="911">
        <v>1338</v>
      </c>
      <c r="O5" s="911">
        <v>0</v>
      </c>
      <c r="P5" s="911">
        <v>784</v>
      </c>
      <c r="Q5" s="911">
        <v>194</v>
      </c>
      <c r="R5" s="911">
        <v>1699</v>
      </c>
      <c r="S5" s="916">
        <v>3940</v>
      </c>
      <c r="T5" s="1155">
        <v>0</v>
      </c>
      <c r="U5" s="910">
        <f>SUM(D5:S5)-T5</f>
        <v>231219</v>
      </c>
      <c r="V5" s="910">
        <v>120746</v>
      </c>
      <c r="W5" s="11">
        <v>0</v>
      </c>
      <c r="X5" s="11">
        <v>0</v>
      </c>
      <c r="Y5" s="11">
        <v>0</v>
      </c>
      <c r="Z5" s="11">
        <v>160074</v>
      </c>
      <c r="AA5" s="11">
        <v>44216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19513</v>
      </c>
      <c r="AK5" s="11">
        <v>5986</v>
      </c>
      <c r="AL5" s="11">
        <v>0</v>
      </c>
      <c r="AM5" s="1">
        <v>1026</v>
      </c>
      <c r="AN5" s="1"/>
      <c r="AO5" s="1">
        <v>0</v>
      </c>
      <c r="AP5" s="1">
        <v>3183</v>
      </c>
      <c r="AQ5" s="1">
        <v>14316</v>
      </c>
      <c r="AR5" s="1">
        <v>0</v>
      </c>
      <c r="AS5" s="1">
        <v>0</v>
      </c>
      <c r="AT5" s="1">
        <v>1881</v>
      </c>
      <c r="AU5" s="1">
        <v>108980</v>
      </c>
      <c r="AV5" s="1">
        <v>570</v>
      </c>
      <c r="AW5" s="626">
        <f>AU5*0.015</f>
        <v>1634.7</v>
      </c>
      <c r="AX5" s="1">
        <v>0</v>
      </c>
      <c r="AY5" s="1"/>
      <c r="AZ5" s="1">
        <v>4101</v>
      </c>
      <c r="BA5" s="1">
        <v>7206</v>
      </c>
      <c r="BB5" s="1">
        <v>0</v>
      </c>
      <c r="BC5" s="1">
        <v>0</v>
      </c>
      <c r="BD5" s="1"/>
      <c r="BE5" s="1">
        <v>67495</v>
      </c>
      <c r="BF5" s="1">
        <v>6967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37028</v>
      </c>
      <c r="B6" s="929">
        <f>(Weather_Input!B6+Weather_Input!C6)/2</f>
        <v>68.5</v>
      </c>
      <c r="C6" s="910">
        <v>230000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37029</v>
      </c>
      <c r="B7" s="929">
        <f>(Weather_Input!B7+Weather_Input!C7)/2</f>
        <v>60.5</v>
      </c>
      <c r="C7" s="910">
        <v>225000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37030</v>
      </c>
      <c r="B8" s="929">
        <f>(Weather_Input!B8+Weather_Input!C8)/2</f>
        <v>61</v>
      </c>
      <c r="C8" s="910">
        <v>220000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37031</v>
      </c>
      <c r="B9" s="929">
        <f>(Weather_Input!B9+Weather_Input!C9)/2</f>
        <v>65.5</v>
      </c>
      <c r="C9" s="910">
        <v>225000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37032</v>
      </c>
      <c r="B10" s="929">
        <f>(Weather_Input!B10+Weather_Input!C10)/2</f>
        <v>67.5</v>
      </c>
      <c r="C10" s="910">
        <v>230000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37027</v>
      </c>
      <c r="B5" s="1">
        <f>(Weather_Input!B5+Weather_Input!C5)/2</f>
        <v>75</v>
      </c>
      <c r="C5" s="910">
        <v>38500</v>
      </c>
      <c r="D5" s="910">
        <v>0</v>
      </c>
      <c r="E5" s="910">
        <v>31265</v>
      </c>
      <c r="F5" s="910">
        <v>7670</v>
      </c>
      <c r="G5" s="910">
        <v>0</v>
      </c>
      <c r="H5" s="918">
        <f>SUM(D5:G5)</f>
        <v>38935</v>
      </c>
      <c r="I5" s="1">
        <v>1009</v>
      </c>
      <c r="J5" s="1" t="s">
        <v>11</v>
      </c>
      <c r="K5" s="1">
        <v>690</v>
      </c>
      <c r="L5" s="1">
        <v>0</v>
      </c>
      <c r="M5" s="1">
        <v>12330</v>
      </c>
      <c r="N5" s="1">
        <v>0</v>
      </c>
    </row>
    <row r="6" spans="1:14">
      <c r="A6" s="12">
        <f>A5+1</f>
        <v>37028</v>
      </c>
      <c r="B6" s="929">
        <f>(Weather_Input!B6+Weather_Input!C6)/2</f>
        <v>68.5</v>
      </c>
      <c r="C6" s="910">
        <v>38000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37029</v>
      </c>
      <c r="B7" s="929">
        <f>(Weather_Input!B7+Weather_Input!C7)/2</f>
        <v>60.5</v>
      </c>
      <c r="C7" s="910">
        <v>37000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37030</v>
      </c>
      <c r="B8" s="929">
        <f>(Weather_Input!B8+Weather_Input!C8)/2</f>
        <v>61</v>
      </c>
      <c r="C8" s="910">
        <v>35000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37031</v>
      </c>
      <c r="B9" s="929">
        <f>(Weather_Input!B9+Weather_Input!C9)/2</f>
        <v>65.5</v>
      </c>
      <c r="C9" s="910">
        <v>37000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37032</v>
      </c>
      <c r="B10" s="929">
        <f>(Weather_Input!B10+Weather_Input!C10)/2</f>
        <v>67.5</v>
      </c>
      <c r="C10" s="910">
        <v>38000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9" sqref="H9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1">
        <f>Weather_Input!A5</f>
        <v>37027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67495</v>
      </c>
      <c r="I7" s="623">
        <v>0</v>
      </c>
      <c r="J7" s="623">
        <v>0</v>
      </c>
      <c r="K7" s="624">
        <v>6967</v>
      </c>
      <c r="L7" s="623">
        <v>0</v>
      </c>
      <c r="M7" s="624">
        <v>0</v>
      </c>
      <c r="N7" s="624">
        <v>0</v>
      </c>
      <c r="O7" s="625">
        <v>14316</v>
      </c>
      <c r="P7" s="624">
        <v>108980</v>
      </c>
      <c r="Q7" s="626">
        <f t="shared" ref="Q7:Q12" si="0">P7*0.015</f>
        <v>1634.7</v>
      </c>
      <c r="R7" s="624">
        <v>570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37027</v>
      </c>
    </row>
    <row r="8" spans="1:89" s="1" customFormat="1" ht="13.2">
      <c r="A8" s="831">
        <f>A7+1</f>
        <v>37028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20703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37028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37029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37029</v>
      </c>
      <c r="AN9" s="623"/>
    </row>
    <row r="10" spans="1:89" s="1" customFormat="1" ht="13.2">
      <c r="A10" s="831">
        <f>A9+1</f>
        <v>37030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37030</v>
      </c>
    </row>
    <row r="11" spans="1:89" s="1" customFormat="1" ht="13.2">
      <c r="A11" s="831">
        <f>A10+1</f>
        <v>37031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37031</v>
      </c>
    </row>
    <row r="12" spans="1:89" s="1" customFormat="1" ht="13.2">
      <c r="A12" s="831">
        <f>A11+1</f>
        <v>37032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B9" sqref="B9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37027</v>
      </c>
      <c r="B7" s="626">
        <v>3183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1881</v>
      </c>
      <c r="I7" s="624">
        <v>25499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169851</v>
      </c>
      <c r="W7" s="625">
        <v>0</v>
      </c>
      <c r="X7" s="623">
        <v>0</v>
      </c>
      <c r="Y7" s="922">
        <v>120683</v>
      </c>
      <c r="Z7" s="625">
        <v>40200</v>
      </c>
      <c r="AA7" s="1">
        <v>0</v>
      </c>
      <c r="AB7" s="623">
        <v>183552</v>
      </c>
      <c r="AC7" s="623">
        <v>75583</v>
      </c>
      <c r="AD7" s="623">
        <v>0</v>
      </c>
      <c r="AE7" s="922">
        <v>0</v>
      </c>
      <c r="AF7" s="51">
        <f>Weather_Input!A5</f>
        <v>37027</v>
      </c>
      <c r="AI7" s="623"/>
      <c r="AJ7" s="623"/>
      <c r="AK7" s="623"/>
    </row>
    <row r="8" spans="1:37">
      <c r="A8" s="831">
        <f>A7+1</f>
        <v>37028</v>
      </c>
      <c r="B8" s="626">
        <v>13370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169340</v>
      </c>
      <c r="W8" s="625">
        <v>0</v>
      </c>
      <c r="X8" s="623">
        <v>0</v>
      </c>
      <c r="Y8" s="922">
        <v>130589</v>
      </c>
      <c r="Z8" s="625">
        <v>40200</v>
      </c>
      <c r="AA8" s="1">
        <v>0</v>
      </c>
      <c r="AB8" s="623">
        <v>172129</v>
      </c>
      <c r="AC8" s="623">
        <v>64493</v>
      </c>
      <c r="AD8" s="623">
        <v>0</v>
      </c>
      <c r="AE8" s="922">
        <v>0</v>
      </c>
      <c r="AF8" s="831">
        <f>AF7+1</f>
        <v>37028</v>
      </c>
      <c r="AI8" s="623"/>
      <c r="AJ8" s="623"/>
      <c r="AK8" s="623"/>
    </row>
    <row r="9" spans="1:37" s="623" customFormat="1">
      <c r="A9" s="831">
        <f>A8+1</f>
        <v>37029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169340</v>
      </c>
      <c r="W9" s="625">
        <v>0</v>
      </c>
      <c r="X9" s="623">
        <v>0</v>
      </c>
      <c r="Y9" s="922">
        <v>130589</v>
      </c>
      <c r="Z9" s="625">
        <v>40200</v>
      </c>
      <c r="AA9" s="1">
        <v>0</v>
      </c>
      <c r="AB9" s="623">
        <v>172129</v>
      </c>
      <c r="AC9" s="623">
        <v>64493</v>
      </c>
      <c r="AD9" s="623">
        <v>0</v>
      </c>
      <c r="AE9" s="922">
        <v>0</v>
      </c>
      <c r="AF9" s="831">
        <f>AF8+1</f>
        <v>37029</v>
      </c>
    </row>
    <row r="10" spans="1:37">
      <c r="A10" s="831">
        <f>A9+1</f>
        <v>37030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169340</v>
      </c>
      <c r="W10" s="625">
        <v>0</v>
      </c>
      <c r="X10" s="623">
        <v>0</v>
      </c>
      <c r="Y10" s="922">
        <v>130589</v>
      </c>
      <c r="Z10" s="625">
        <v>40200</v>
      </c>
      <c r="AA10" s="1">
        <v>0</v>
      </c>
      <c r="AB10" s="623">
        <v>172129</v>
      </c>
      <c r="AC10" s="623">
        <v>64493</v>
      </c>
      <c r="AD10" s="623">
        <v>0</v>
      </c>
      <c r="AE10" s="922">
        <v>0</v>
      </c>
      <c r="AF10" s="831">
        <f>AF9+1</f>
        <v>37030</v>
      </c>
      <c r="AI10" s="623"/>
      <c r="AJ10" s="623"/>
      <c r="AK10" s="623"/>
    </row>
    <row r="11" spans="1:37">
      <c r="A11" s="831">
        <f>A10+1</f>
        <v>37031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169340</v>
      </c>
      <c r="W11" s="625">
        <v>0</v>
      </c>
      <c r="X11" s="623">
        <v>0</v>
      </c>
      <c r="Y11" s="922">
        <v>130589</v>
      </c>
      <c r="Z11" s="625">
        <v>40200</v>
      </c>
      <c r="AA11" s="1">
        <v>0</v>
      </c>
      <c r="AB11" s="623">
        <v>172129</v>
      </c>
      <c r="AC11" s="623">
        <v>64493</v>
      </c>
      <c r="AD11" s="623">
        <v>0</v>
      </c>
      <c r="AE11" s="922">
        <v>0</v>
      </c>
      <c r="AF11" s="831">
        <f>AF10+1</f>
        <v>37031</v>
      </c>
    </row>
    <row r="12" spans="1:37">
      <c r="A12" s="831">
        <f>A11+1</f>
        <v>37032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169340</v>
      </c>
      <c r="W12" s="625">
        <v>0</v>
      </c>
      <c r="X12" s="623">
        <v>0</v>
      </c>
      <c r="Y12" s="922">
        <v>130589</v>
      </c>
      <c r="Z12" s="625">
        <v>40200</v>
      </c>
      <c r="AA12" s="1">
        <v>0</v>
      </c>
      <c r="AB12" s="623">
        <v>172129</v>
      </c>
      <c r="AC12" s="623">
        <v>64493</v>
      </c>
      <c r="AD12" s="623">
        <v>0</v>
      </c>
      <c r="AE12" s="922">
        <v>0</v>
      </c>
      <c r="AF12" s="831">
        <f>AF11+1</f>
        <v>37032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F1" zoomScale="75" workbookViewId="0">
      <selection activeCell="Q7" sqref="Q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2">
        <f>Weather_Input!A5</f>
        <v>37027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690</v>
      </c>
      <c r="I7" s="920">
        <v>7197</v>
      </c>
      <c r="J7" s="920">
        <v>12330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37027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37028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1000</v>
      </c>
      <c r="I8" s="920">
        <v>7197</v>
      </c>
      <c r="J8" s="920">
        <v>11250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37028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37029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1000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37029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37030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1000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37030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37031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1000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37031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37032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1000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37032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H1" zoomScale="75" workbookViewId="0">
      <selection activeCell="S4" sqref="S4"/>
    </sheetView>
  </sheetViews>
  <sheetFormatPr defaultColWidth="8.81640625" defaultRowHeight="13.2"/>
  <cols>
    <col min="1" max="16384" width="8.8164062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37027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626">
        <f>(R7+S7+C7+PGL_Requirements!Y7+PGL_Requirements!Z7-NSG_Requirements!C7)*0.05</f>
        <v>2648.25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31955</v>
      </c>
      <c r="S7" s="626">
        <v>21010</v>
      </c>
      <c r="T7" s="626">
        <v>0</v>
      </c>
      <c r="U7" s="626">
        <v>0</v>
      </c>
      <c r="V7" s="831">
        <f>Weather_Input!A5</f>
        <v>37027</v>
      </c>
      <c r="W7" s="623"/>
      <c r="X7" s="623"/>
    </row>
    <row r="8" spans="1:24">
      <c r="A8" s="831">
        <f>A7+1</f>
        <v>37028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2478.0500000000002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30253</v>
      </c>
      <c r="S8" s="626">
        <v>19308</v>
      </c>
      <c r="T8" s="626">
        <v>0</v>
      </c>
      <c r="U8" s="626">
        <v>0</v>
      </c>
      <c r="V8" s="831">
        <f>V7+1</f>
        <v>37028</v>
      </c>
      <c r="W8" s="623"/>
      <c r="X8" s="623"/>
    </row>
    <row r="9" spans="1:24">
      <c r="A9" s="831">
        <f>A8+1</f>
        <v>37029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2478.0500000000002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30253</v>
      </c>
      <c r="S9" s="626">
        <v>19308</v>
      </c>
      <c r="T9" s="626">
        <v>0</v>
      </c>
      <c r="U9" s="626">
        <v>0</v>
      </c>
      <c r="V9" s="831">
        <f>V8+1</f>
        <v>37029</v>
      </c>
      <c r="W9" s="623"/>
      <c r="X9" s="623"/>
    </row>
    <row r="10" spans="1:24">
      <c r="A10" s="831">
        <f>A9+1</f>
        <v>37030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2478.0500000000002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30253</v>
      </c>
      <c r="S10" s="626">
        <v>19308</v>
      </c>
      <c r="T10" s="626">
        <v>0</v>
      </c>
      <c r="U10" s="626">
        <v>0</v>
      </c>
      <c r="V10" s="831">
        <f>V9+1</f>
        <v>37030</v>
      </c>
      <c r="W10" s="623"/>
      <c r="X10" s="623"/>
    </row>
    <row r="11" spans="1:24">
      <c r="A11" s="831">
        <f>A10+1</f>
        <v>37031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2478.0500000000002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30253</v>
      </c>
      <c r="S11" s="626">
        <v>19308</v>
      </c>
      <c r="T11" s="626">
        <v>0</v>
      </c>
      <c r="U11" s="626">
        <v>0</v>
      </c>
      <c r="V11" s="831">
        <f>V10+1</f>
        <v>37031</v>
      </c>
      <c r="W11" s="623"/>
      <c r="X11" s="623"/>
    </row>
    <row r="12" spans="1:24">
      <c r="A12" s="831">
        <f>A11+1</f>
        <v>37032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2478.0500000000002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30253</v>
      </c>
      <c r="S12" s="626">
        <v>19308</v>
      </c>
      <c r="T12" s="626">
        <v>0</v>
      </c>
      <c r="U12" s="626">
        <v>0</v>
      </c>
      <c r="V12" s="831">
        <f>V11+1</f>
        <v>37032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WED</v>
      </c>
      <c r="I1" s="836">
        <f>D4</f>
        <v>37027</v>
      </c>
    </row>
    <row r="2" spans="1:256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</row>
    <row r="4" spans="1:256" ht="16.2" thickBot="1">
      <c r="A4" s="843"/>
      <c r="B4" s="844"/>
      <c r="C4" s="844"/>
      <c r="D4" s="465">
        <f>Weather_Input!A5</f>
        <v>37027</v>
      </c>
      <c r="E4" s="465">
        <f>Weather_Input!A6</f>
        <v>37028</v>
      </c>
      <c r="F4" s="465">
        <f>Weather_Input!A7</f>
        <v>37029</v>
      </c>
      <c r="G4" s="465">
        <f>Weather_Input!A8</f>
        <v>37030</v>
      </c>
      <c r="H4" s="465">
        <f>Weather_Input!A9</f>
        <v>37031</v>
      </c>
      <c r="I4" s="466">
        <f>Weather_Input!A10</f>
        <v>37032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88/62/75</v>
      </c>
      <c r="E5" s="467" t="str">
        <f>TEXT(Weather_Input!B6,"0")&amp;"/"&amp;TEXT(Weather_Input!C6,"0") &amp; "/" &amp; TEXT((Weather_Input!B6+Weather_Input!C6)/2,"0")</f>
        <v>82/55/69</v>
      </c>
      <c r="F5" s="467" t="str">
        <f>TEXT(Weather_Input!B7,"0")&amp;"/"&amp;TEXT(Weather_Input!C7,"0") &amp; "/" &amp; TEXT((Weather_Input!B7+Weather_Input!C7)/2,"0")</f>
        <v>72/49/61</v>
      </c>
      <c r="G5" s="467" t="str">
        <f>TEXT(Weather_Input!B8,"0")&amp;"/"&amp;TEXT(Weather_Input!C8,"0") &amp; "/" &amp; TEXT((Weather_Input!B8+Weather_Input!C8)/2,"0")</f>
        <v>72/50/61</v>
      </c>
      <c r="H5" s="467" t="str">
        <f>TEXT(Weather_Input!B9,"0")&amp;"/"&amp;TEXT(Weather_Input!C9,"0") &amp; "/" &amp; TEXT((Weather_Input!B9+Weather_Input!C9)/2,"0")</f>
        <v>75/56/66</v>
      </c>
      <c r="I5" s="468" t="str">
        <f>TEXT(Weather_Input!B10,"0")&amp;"/"&amp;TEXT(Weather_Input!C10,"0") &amp; "/" &amp; TEXT((Weather_Input!B10+Weather_Input!C10)/2,"0")</f>
        <v>80/55/68</v>
      </c>
    </row>
    <row r="6" spans="1:256">
      <c r="A6" s="850" t="s">
        <v>139</v>
      </c>
      <c r="B6" s="838"/>
      <c r="C6" s="838"/>
      <c r="D6" s="467">
        <f>PGL_Deliveries!C5/1000</f>
        <v>230</v>
      </c>
      <c r="E6" s="467">
        <f>PGL_Deliveries!C6/1000</f>
        <v>230</v>
      </c>
      <c r="F6" s="467">
        <f>PGL_Deliveries!C7/1000</f>
        <v>225</v>
      </c>
      <c r="G6" s="467">
        <f>PGL_Deliveries!C8/1000</f>
        <v>220</v>
      </c>
      <c r="H6" s="467">
        <f>PGL_Deliveries!C9/1000</f>
        <v>225</v>
      </c>
      <c r="I6" s="468">
        <f>PGL_Deliveries!C10/1000</f>
        <v>230</v>
      </c>
    </row>
    <row r="7" spans="1:256">
      <c r="A7" s="850" t="s">
        <v>567</v>
      </c>
      <c r="B7" s="838" t="s">
        <v>416</v>
      </c>
      <c r="C7" s="838"/>
      <c r="D7" s="467">
        <f>PGL_Requirements!H7/1000</f>
        <v>67.495000000000005</v>
      </c>
      <c r="E7" s="467">
        <f>PGL_Requirements!H8/1000</f>
        <v>20.702999999999999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788</v>
      </c>
      <c r="B8" s="838"/>
      <c r="C8" s="838"/>
      <c r="D8" s="467">
        <f>PGL_Requirements!I7/1000+PGL_Requirements!K7/1000</f>
        <v>6.9669999999999996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144</v>
      </c>
      <c r="B13" s="838" t="s">
        <v>145</v>
      </c>
      <c r="C13" s="838" t="s">
        <v>60</v>
      </c>
      <c r="D13" s="467">
        <f>PGL_Requirements!P7/1000</f>
        <v>108.98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101</v>
      </c>
      <c r="D14" s="467">
        <f>PGL_Requirements!Q7/1000</f>
        <v>1.6347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736</v>
      </c>
      <c r="D15" s="467">
        <f>PGL_Requirements!R7/1000</f>
        <v>0.56999999999999995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141</v>
      </c>
      <c r="C19" s="838" t="s">
        <v>90</v>
      </c>
      <c r="D19" s="467">
        <f>PGL_Requirements!O7/1000</f>
        <v>14.316000000000001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149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151</v>
      </c>
      <c r="B30" s="856"/>
      <c r="C30" s="856"/>
      <c r="D30" s="471">
        <f t="shared" ref="D30:I30" si="1">SUM(D6:D29)</f>
        <v>470.16269999999997</v>
      </c>
      <c r="E30" s="471">
        <f t="shared" si="1"/>
        <v>443.78299999999996</v>
      </c>
      <c r="F30" s="471">
        <f t="shared" si="1"/>
        <v>418.08</v>
      </c>
      <c r="G30" s="471">
        <f t="shared" si="1"/>
        <v>413.08</v>
      </c>
      <c r="H30" s="471">
        <f t="shared" si="1"/>
        <v>418.08</v>
      </c>
      <c r="I30" s="1169">
        <f t="shared" si="1"/>
        <v>423.08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94</v>
      </c>
      <c r="D34" s="467">
        <f>PGL_Supplies!H7/1000</f>
        <v>1.881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141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621</v>
      </c>
      <c r="B43" s="838" t="s">
        <v>416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763</v>
      </c>
      <c r="B47" s="838" t="s">
        <v>742</v>
      </c>
      <c r="C47" s="838"/>
      <c r="D47" s="467">
        <f>PGL_Supplies!Y7/1000</f>
        <v>120.68300000000001</v>
      </c>
      <c r="E47" s="467">
        <f>PGL_Supplies!Y8/1000</f>
        <v>130.589</v>
      </c>
      <c r="F47" s="467">
        <f>PGL_Supplies!Y9/1000</f>
        <v>130.589</v>
      </c>
      <c r="G47" s="467">
        <f>PGL_Supplies!Y10/1000</f>
        <v>130.589</v>
      </c>
      <c r="H47" s="467">
        <f>PGL_Supplies!Y11/1000</f>
        <v>130.589</v>
      </c>
      <c r="I47" s="468">
        <f>PGL_Supplies!Y12/1000</f>
        <v>130.589</v>
      </c>
    </row>
    <row r="48" spans="1:9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416</v>
      </c>
      <c r="C50" s="851"/>
      <c r="D50" s="467">
        <f>PGL_Supplies!AB7/1000</f>
        <v>183.55199999999999</v>
      </c>
      <c r="E50" s="467">
        <f>PGL_Supplies!AB8/1000</f>
        <v>172.12899999999999</v>
      </c>
      <c r="F50" s="467">
        <f>PGL_Supplies!AB9/1000</f>
        <v>172.12899999999999</v>
      </c>
      <c r="G50" s="467">
        <f>PGL_Supplies!AB10/1000</f>
        <v>172.12899999999999</v>
      </c>
      <c r="H50" s="467">
        <f>PGL_Supplies!AB11/1000</f>
        <v>172.12899999999999</v>
      </c>
      <c r="I50" s="468">
        <f>PGL_Supplies!AB12/1000</f>
        <v>172.12899999999999</v>
      </c>
    </row>
    <row r="51" spans="1:10">
      <c r="A51" s="850"/>
      <c r="B51" s="838" t="s">
        <v>141</v>
      </c>
      <c r="C51" s="838"/>
      <c r="D51" s="467">
        <f>PGL_Supplies!AC7/1000</f>
        <v>75.582999999999998</v>
      </c>
      <c r="E51" s="467">
        <f>PGL_Supplies!AC8/1000</f>
        <v>64.492999999999995</v>
      </c>
      <c r="F51" s="467">
        <f>PGL_Supplies!AC9/1000</f>
        <v>64.492999999999995</v>
      </c>
      <c r="G51" s="467">
        <f>PGL_Supplies!AC10/1000</f>
        <v>64.492999999999995</v>
      </c>
      <c r="H51" s="467">
        <f>PGL_Supplies!AC11/1000</f>
        <v>64.492999999999995</v>
      </c>
      <c r="I51" s="468">
        <f>PGL_Supplies!AC12/1000</f>
        <v>64.492999999999995</v>
      </c>
    </row>
    <row r="52" spans="1:10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>
      <c r="A53" s="864"/>
      <c r="B53" s="838" t="s">
        <v>158</v>
      </c>
      <c r="C53" s="838"/>
      <c r="D53" s="467">
        <f>PGL_Supplies!I7/1000</f>
        <v>25.498999999999999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779</v>
      </c>
      <c r="B55" s="838"/>
      <c r="C55" s="838"/>
      <c r="D55" s="467">
        <f>PGL_Supplies!B7/1000</f>
        <v>3.1829999999999998</v>
      </c>
      <c r="E55" s="467">
        <f>PGL_Supplies!B8/1000</f>
        <v>13.37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160</v>
      </c>
      <c r="B61" s="869"/>
      <c r="C61" s="869"/>
      <c r="D61" s="477">
        <f t="shared" ref="D61:I61" si="2">SUM(D33:D60)</f>
        <v>457.58100000000002</v>
      </c>
      <c r="E61" s="477">
        <f t="shared" si="2"/>
        <v>443.78100000000001</v>
      </c>
      <c r="F61" s="477">
        <f t="shared" si="2"/>
        <v>423.411</v>
      </c>
      <c r="G61" s="477">
        <f t="shared" si="2"/>
        <v>423.411</v>
      </c>
      <c r="H61" s="477">
        <f t="shared" si="2"/>
        <v>423.411</v>
      </c>
      <c r="I61" s="1171">
        <f t="shared" si="2"/>
        <v>423.411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0</v>
      </c>
      <c r="E62" s="478">
        <f t="shared" si="3"/>
        <v>0</v>
      </c>
      <c r="F62" s="478">
        <f t="shared" si="3"/>
        <v>5.3310000000000173</v>
      </c>
      <c r="G62" s="478">
        <f t="shared" si="3"/>
        <v>10.331000000000017</v>
      </c>
      <c r="H62" s="478">
        <f t="shared" si="3"/>
        <v>5.3310000000000173</v>
      </c>
      <c r="I62" s="1172">
        <f t="shared" si="3"/>
        <v>0.33100000000001728</v>
      </c>
    </row>
    <row r="63" spans="1:10" ht="15.6" thickBot="1">
      <c r="A63" s="872" t="s">
        <v>162</v>
      </c>
      <c r="B63" s="856"/>
      <c r="C63" s="873"/>
      <c r="D63" s="479">
        <f t="shared" ref="D63:I63" si="4">IF(D30-D61&lt;0,0,D30-D61)</f>
        <v>12.581699999999955</v>
      </c>
      <c r="E63" s="479">
        <f t="shared" si="4"/>
        <v>1.9999999999527063E-3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2" thickTop="1" thickBot="1">
      <c r="A64" s="1160" t="s">
        <v>767</v>
      </c>
      <c r="B64" s="1161"/>
      <c r="C64" s="1161"/>
      <c r="D64" s="1162">
        <f>PGL_Supplies!V7/1000</f>
        <v>169.851</v>
      </c>
      <c r="E64" s="1162">
        <f>PGL_Supplies!V8/1000</f>
        <v>169.34</v>
      </c>
      <c r="F64" s="1162">
        <f>PGL_Supplies!V9/1000</f>
        <v>169.34</v>
      </c>
      <c r="G64" s="1162">
        <f>PGL_Supplies!V10/1000</f>
        <v>169.34</v>
      </c>
      <c r="H64" s="1162">
        <f>PGL_Supplies!V11/1000</f>
        <v>169.34</v>
      </c>
      <c r="I64" s="1163">
        <f>PGL_Supplies!V12/1000</f>
        <v>169.34</v>
      </c>
    </row>
    <row r="65" spans="3:3" ht="15.6" thickTop="1"/>
    <row r="67" spans="3:3">
      <c r="C67" s="113" t="s">
        <v>800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2001-05-17T16:21:19Z</cp:lastPrinted>
  <dcterms:created xsi:type="dcterms:W3CDTF">1997-07-16T16:14:22Z</dcterms:created>
  <dcterms:modified xsi:type="dcterms:W3CDTF">2023-09-10T11:14:23Z</dcterms:modified>
</cp:coreProperties>
</file>