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48" yWindow="-96" windowWidth="7656" windowHeight="9120" firstSheet="2" activeTab="2"/>
  </bookViews>
  <sheets>
    <sheet name="PG&amp;E Corp.  " sheetId="1" state="hidden" r:id="rId1"/>
    <sheet name="PG&amp;E Corp.  (unreg)" sheetId="6" state="hidden" r:id="rId2"/>
    <sheet name="Edison Int'l " sheetId="2" r:id="rId3"/>
    <sheet name="Px - ISO " sheetId="3" state="hidden" r:id="rId4"/>
    <sheet name="By Enron Entity" sheetId="5" state="hidden" r:id="rId5"/>
    <sheet name="Summary" sheetId="4" state="hidden" r:id="rId6"/>
  </sheets>
  <externalReferences>
    <externalReference r:id="rId7"/>
  </externalReferences>
  <definedNames>
    <definedName name="_xlnm.Print_Area" localSheetId="4">'By Enron Entity'!$A$2:$L$19</definedName>
    <definedName name="_xlnm.Print_Area" localSheetId="2">'Edison Int''l '!$A$1:$T$37</definedName>
    <definedName name="_xlnm.Print_Area" localSheetId="0">'PG&amp;E Corp.  '!$A$1:$T$79</definedName>
    <definedName name="_xlnm.Print_Area" localSheetId="1">'PG&amp;E Corp.  (unreg)'!$A$1:$T$71</definedName>
    <definedName name="_xlnm.Print_Area" localSheetId="3">'Px - ISO '!$A$1:$N$62</definedName>
    <definedName name="_xlnm.Print_Area" localSheetId="5">Summary!$A$6:$J$87</definedName>
    <definedName name="_xlnm.Print_Titles" localSheetId="5">Summary!$1:$5</definedName>
  </definedNames>
  <calcPr calcId="92512" fullCalcOnLoad="1" iterate="1"/>
</workbook>
</file>

<file path=xl/calcChain.xml><?xml version="1.0" encoding="utf-8"?>
<calcChain xmlns="http://schemas.openxmlformats.org/spreadsheetml/2006/main">
  <c r="D7" i="5" l="1"/>
  <c r="F7" i="5"/>
  <c r="I7" i="5"/>
  <c r="K7" i="5"/>
  <c r="M7" i="5"/>
  <c r="D8" i="5"/>
  <c r="H8" i="5"/>
  <c r="K8" i="5"/>
  <c r="D9" i="5"/>
  <c r="F9" i="5"/>
  <c r="I9" i="5"/>
  <c r="J9" i="5"/>
  <c r="K9" i="5"/>
  <c r="D10" i="5"/>
  <c r="H10" i="5"/>
  <c r="K10" i="5"/>
  <c r="D11" i="5"/>
  <c r="J11" i="5"/>
  <c r="K11" i="5"/>
  <c r="D12" i="5"/>
  <c r="J12" i="5"/>
  <c r="K12" i="5"/>
  <c r="D13" i="5"/>
  <c r="F13" i="5"/>
  <c r="H13" i="5"/>
  <c r="I13" i="5"/>
  <c r="J13" i="5"/>
  <c r="K15" i="5"/>
  <c r="B19" i="5"/>
  <c r="K29" i="5"/>
  <c r="K30" i="5"/>
  <c r="B2" i="2"/>
  <c r="V2" i="2"/>
  <c r="F7" i="2"/>
  <c r="H7" i="2"/>
  <c r="K7" i="2"/>
  <c r="L7" i="2"/>
  <c r="P7" i="2"/>
  <c r="Q7" i="2"/>
  <c r="H8" i="2"/>
  <c r="K8" i="2"/>
  <c r="L8" i="2"/>
  <c r="P8" i="2"/>
  <c r="Q8" i="2"/>
  <c r="H9" i="2"/>
  <c r="K9" i="2"/>
  <c r="P9" i="2"/>
  <c r="Q9" i="2"/>
  <c r="H10" i="2"/>
  <c r="K10" i="2"/>
  <c r="P10" i="2"/>
  <c r="Q10" i="2"/>
  <c r="H11" i="2"/>
  <c r="K11" i="2"/>
  <c r="L11" i="2"/>
  <c r="P11" i="2"/>
  <c r="Q11" i="2"/>
  <c r="Q12" i="2"/>
  <c r="R12" i="2"/>
  <c r="S12" i="2"/>
  <c r="H16" i="2"/>
  <c r="K16" i="2"/>
  <c r="L16" i="2"/>
  <c r="P16" i="2"/>
  <c r="Q16" i="2"/>
  <c r="R16" i="2"/>
  <c r="H17" i="2"/>
  <c r="K17" i="2"/>
  <c r="L17" i="2"/>
  <c r="P17" i="2"/>
  <c r="Q17" i="2"/>
  <c r="H18" i="2"/>
  <c r="K18" i="2"/>
  <c r="L18" i="2"/>
  <c r="P18" i="2"/>
  <c r="R18" i="2"/>
  <c r="H19" i="2"/>
  <c r="K19" i="2"/>
  <c r="L19" i="2"/>
  <c r="M19" i="2"/>
  <c r="P19" i="2"/>
  <c r="R19" i="2"/>
  <c r="H22" i="2"/>
  <c r="K22" i="2"/>
  <c r="L22" i="2"/>
  <c r="P22" i="2"/>
  <c r="Q22" i="2"/>
  <c r="R22" i="2"/>
  <c r="H23" i="2"/>
  <c r="I23" i="2"/>
  <c r="J23" i="2"/>
  <c r="K23" i="2"/>
  <c r="L23" i="2"/>
  <c r="P23" i="2"/>
  <c r="R23" i="2"/>
  <c r="Q25" i="2"/>
  <c r="R25" i="2"/>
  <c r="S26" i="2"/>
  <c r="U26" i="2"/>
  <c r="W26" i="2"/>
  <c r="S27" i="2"/>
  <c r="S28" i="2"/>
  <c r="S30" i="2"/>
  <c r="S31" i="2"/>
  <c r="U31" i="2"/>
  <c r="S32" i="2"/>
  <c r="Q40" i="2"/>
  <c r="R40" i="2"/>
  <c r="H9" i="1"/>
  <c r="P9" i="1"/>
  <c r="Q9" i="1"/>
  <c r="H10" i="1"/>
  <c r="P10" i="1"/>
  <c r="Q10" i="1"/>
  <c r="H11" i="1"/>
  <c r="K11" i="1"/>
  <c r="P11" i="1"/>
  <c r="R11" i="1"/>
  <c r="H12" i="1"/>
  <c r="K12" i="1"/>
  <c r="L12" i="1"/>
  <c r="P12" i="1"/>
  <c r="Q12" i="1"/>
  <c r="H13" i="1"/>
  <c r="K13" i="1"/>
  <c r="L13" i="1"/>
  <c r="P13" i="1"/>
  <c r="Q13" i="1"/>
  <c r="H14" i="1"/>
  <c r="K14" i="1"/>
  <c r="L14" i="1"/>
  <c r="P14" i="1"/>
  <c r="R14" i="1"/>
  <c r="H17" i="1"/>
  <c r="K17" i="1"/>
  <c r="L17" i="1"/>
  <c r="P17" i="1"/>
  <c r="R17" i="1"/>
  <c r="H18" i="1"/>
  <c r="K18" i="1"/>
  <c r="L18" i="1"/>
  <c r="Q18" i="1"/>
  <c r="H19" i="1"/>
  <c r="K19" i="1"/>
  <c r="L19" i="1"/>
  <c r="R19" i="1"/>
  <c r="H20" i="1"/>
  <c r="K20" i="1"/>
  <c r="L20" i="1"/>
  <c r="R20" i="1"/>
  <c r="Q21" i="1"/>
  <c r="R21" i="1"/>
  <c r="S21" i="1"/>
  <c r="H23" i="1"/>
  <c r="K23" i="1"/>
  <c r="L23" i="1"/>
  <c r="P23" i="1"/>
  <c r="Q23" i="1"/>
  <c r="H24" i="1"/>
  <c r="K24" i="1"/>
  <c r="L24" i="1"/>
  <c r="P24" i="1"/>
  <c r="Q24" i="1"/>
  <c r="R24" i="1"/>
  <c r="H25" i="1"/>
  <c r="K25" i="1"/>
  <c r="L25" i="1"/>
  <c r="P25" i="1"/>
  <c r="R25" i="1"/>
  <c r="P26" i="1"/>
  <c r="Q26" i="1"/>
  <c r="S27" i="1"/>
  <c r="P29" i="1"/>
  <c r="Q29" i="1"/>
  <c r="H30" i="1"/>
  <c r="K30" i="1"/>
  <c r="L30" i="1"/>
  <c r="P30" i="1"/>
  <c r="Q30" i="1"/>
  <c r="H31" i="1"/>
  <c r="K31" i="1"/>
  <c r="L31" i="1"/>
  <c r="P31" i="1"/>
  <c r="Q31" i="1"/>
  <c r="H32" i="1"/>
  <c r="K32" i="1"/>
  <c r="L32" i="1"/>
  <c r="P32" i="1"/>
  <c r="R32" i="1"/>
  <c r="H33" i="1"/>
  <c r="K33" i="1"/>
  <c r="L33" i="1"/>
  <c r="P33" i="1"/>
  <c r="Q33" i="1"/>
  <c r="F34" i="1"/>
  <c r="H34" i="1"/>
  <c r="I34" i="1"/>
  <c r="J34" i="1"/>
  <c r="K34" i="1"/>
  <c r="L34" i="1"/>
  <c r="P34" i="1"/>
  <c r="R34" i="1"/>
  <c r="S35" i="1"/>
  <c r="P37" i="1"/>
  <c r="Q37" i="1"/>
  <c r="P38" i="1"/>
  <c r="Q38" i="1"/>
  <c r="S39" i="1"/>
  <c r="W39" i="1"/>
  <c r="H41" i="1"/>
  <c r="K41" i="1"/>
  <c r="L41" i="1"/>
  <c r="P41" i="1"/>
  <c r="Q41" i="1"/>
  <c r="H42" i="1"/>
  <c r="K42" i="1"/>
  <c r="L42" i="1"/>
  <c r="P42" i="1"/>
  <c r="Q42" i="1"/>
  <c r="H43" i="1"/>
  <c r="K43" i="1"/>
  <c r="L43" i="1"/>
  <c r="Q43" i="1"/>
  <c r="H44" i="1"/>
  <c r="K44" i="1"/>
  <c r="L44" i="1"/>
  <c r="P44" i="1"/>
  <c r="Q44" i="1"/>
  <c r="S45" i="1"/>
  <c r="P47" i="1"/>
  <c r="Q47" i="1"/>
  <c r="R47" i="1"/>
  <c r="H48" i="1"/>
  <c r="K48" i="1"/>
  <c r="L48" i="1"/>
  <c r="P48" i="1"/>
  <c r="R48" i="1"/>
  <c r="H49" i="1"/>
  <c r="K49" i="1"/>
  <c r="L49" i="1"/>
  <c r="P49" i="1"/>
  <c r="R49" i="1"/>
  <c r="H50" i="1"/>
  <c r="K50" i="1"/>
  <c r="L50" i="1"/>
  <c r="P50" i="1"/>
  <c r="R50" i="1"/>
  <c r="H51" i="1"/>
  <c r="K51" i="1"/>
  <c r="L51" i="1"/>
  <c r="P51" i="1"/>
  <c r="R51" i="1"/>
  <c r="H52" i="1"/>
  <c r="K52" i="1"/>
  <c r="L52" i="1"/>
  <c r="P52" i="1"/>
  <c r="Q52" i="1"/>
  <c r="R52" i="1"/>
  <c r="S53" i="1"/>
  <c r="Q54" i="1"/>
  <c r="R54" i="1"/>
  <c r="S56" i="1"/>
  <c r="S57" i="1"/>
  <c r="S58" i="1"/>
  <c r="S59" i="1"/>
  <c r="S61" i="1"/>
  <c r="V62" i="1"/>
  <c r="P63" i="1"/>
  <c r="Q63" i="1"/>
  <c r="S63" i="1"/>
  <c r="V63" i="1"/>
  <c r="Q64" i="1"/>
  <c r="R64" i="1"/>
  <c r="S65" i="1"/>
  <c r="L67" i="1"/>
  <c r="P67" i="1"/>
  <c r="Q67" i="1"/>
  <c r="Q71" i="1"/>
  <c r="R71" i="1"/>
  <c r="S72" i="1"/>
  <c r="S73" i="1"/>
  <c r="S74" i="1"/>
  <c r="S75" i="1"/>
  <c r="D83" i="1"/>
  <c r="E83" i="1"/>
  <c r="Q83" i="1"/>
  <c r="R83" i="1"/>
  <c r="D90" i="1"/>
  <c r="E90" i="1"/>
  <c r="D101" i="1"/>
  <c r="E101" i="1"/>
  <c r="L101" i="1"/>
  <c r="D102" i="1"/>
  <c r="E102" i="1"/>
  <c r="L102" i="1"/>
  <c r="D103" i="1"/>
  <c r="E103" i="1"/>
  <c r="L103" i="1"/>
  <c r="D104" i="1"/>
  <c r="E104" i="1"/>
  <c r="L104" i="1"/>
  <c r="D105" i="1"/>
  <c r="E105" i="1"/>
  <c r="L105" i="1"/>
  <c r="D107" i="1"/>
  <c r="E107" i="1"/>
  <c r="L107" i="1"/>
  <c r="Q107" i="1"/>
  <c r="B2" i="6"/>
  <c r="F4" i="6"/>
  <c r="I4" i="6"/>
  <c r="H8" i="6"/>
  <c r="K8" i="6"/>
  <c r="L8" i="6"/>
  <c r="P8" i="6"/>
  <c r="Q8" i="6"/>
  <c r="H9" i="6"/>
  <c r="K9" i="6"/>
  <c r="L9" i="6"/>
  <c r="P9" i="6"/>
  <c r="Q9" i="6"/>
  <c r="R9" i="6"/>
  <c r="H10" i="6"/>
  <c r="I10" i="6"/>
  <c r="K10" i="6"/>
  <c r="L10" i="6"/>
  <c r="P10" i="6"/>
  <c r="R10" i="6"/>
  <c r="F11" i="6"/>
  <c r="H11" i="6"/>
  <c r="K11" i="6"/>
  <c r="L11" i="6"/>
  <c r="P11" i="6"/>
  <c r="Q11" i="6"/>
  <c r="H12" i="6"/>
  <c r="K12" i="6"/>
  <c r="L12" i="6"/>
  <c r="P12" i="6"/>
  <c r="Q12" i="6"/>
  <c r="G13" i="6"/>
  <c r="H13" i="6"/>
  <c r="K13" i="6"/>
  <c r="L13" i="6"/>
  <c r="P13" i="6"/>
  <c r="R13" i="6"/>
  <c r="F14" i="6"/>
  <c r="H14" i="6"/>
  <c r="K14" i="6"/>
  <c r="L14" i="6"/>
  <c r="P14" i="6"/>
  <c r="Q14" i="6"/>
  <c r="Q15" i="6"/>
  <c r="R15" i="6"/>
  <c r="S15" i="6"/>
  <c r="H17" i="6"/>
  <c r="K17" i="6"/>
  <c r="L17" i="6"/>
  <c r="P17" i="6"/>
  <c r="Q17" i="6"/>
  <c r="B18" i="6"/>
  <c r="D18" i="6"/>
  <c r="E18" i="6"/>
  <c r="F18" i="6"/>
  <c r="G18" i="6"/>
  <c r="H18" i="6"/>
  <c r="I18" i="6"/>
  <c r="J18" i="6"/>
  <c r="K18" i="6"/>
  <c r="L18" i="6"/>
  <c r="P18" i="6"/>
  <c r="Q18" i="6"/>
  <c r="R18" i="6"/>
  <c r="D19" i="6"/>
  <c r="E19" i="6"/>
  <c r="F19" i="6"/>
  <c r="G19" i="6"/>
  <c r="H19" i="6"/>
  <c r="I19" i="6"/>
  <c r="J19" i="6"/>
  <c r="K19" i="6"/>
  <c r="L19" i="6"/>
  <c r="P19" i="6"/>
  <c r="Q19" i="6"/>
  <c r="R19" i="6"/>
  <c r="H20" i="6"/>
  <c r="K20" i="6"/>
  <c r="L20" i="6"/>
  <c r="P20" i="6"/>
  <c r="Q20" i="6"/>
  <c r="S21" i="6"/>
  <c r="H23" i="6"/>
  <c r="K23" i="6"/>
  <c r="L23" i="6"/>
  <c r="P23" i="6"/>
  <c r="Q23" i="6"/>
  <c r="D24" i="6"/>
  <c r="E24" i="6"/>
  <c r="F24" i="6"/>
  <c r="G24" i="6"/>
  <c r="H24" i="6"/>
  <c r="I24" i="6"/>
  <c r="J24" i="6"/>
  <c r="K24" i="6"/>
  <c r="L24" i="6"/>
  <c r="P24" i="6"/>
  <c r="Q24" i="6"/>
  <c r="R24" i="6"/>
  <c r="D25" i="6"/>
  <c r="E25" i="6"/>
  <c r="F25" i="6"/>
  <c r="G25" i="6"/>
  <c r="H25" i="6"/>
  <c r="I25" i="6"/>
  <c r="J25" i="6"/>
  <c r="K25" i="6"/>
  <c r="L25" i="6"/>
  <c r="P25" i="6"/>
  <c r="Q25" i="6"/>
  <c r="R25" i="6"/>
  <c r="D26" i="6"/>
  <c r="E26" i="6"/>
  <c r="F26" i="6"/>
  <c r="G26" i="6"/>
  <c r="H26" i="6"/>
  <c r="I26" i="6"/>
  <c r="J26" i="6"/>
  <c r="K26" i="6"/>
  <c r="L26" i="6"/>
  <c r="P26" i="6"/>
  <c r="Q26" i="6"/>
  <c r="R26" i="6"/>
  <c r="D27" i="6"/>
  <c r="E27" i="6"/>
  <c r="F27" i="6"/>
  <c r="G27" i="6"/>
  <c r="H27" i="6"/>
  <c r="I27" i="6"/>
  <c r="J27" i="6"/>
  <c r="K27" i="6"/>
  <c r="L27" i="6"/>
  <c r="P27" i="6"/>
  <c r="Q27" i="6"/>
  <c r="R27" i="6"/>
  <c r="D28" i="6"/>
  <c r="E28" i="6"/>
  <c r="F28" i="6"/>
  <c r="G28" i="6"/>
  <c r="H28" i="6"/>
  <c r="I28" i="6"/>
  <c r="J28" i="6"/>
  <c r="K28" i="6"/>
  <c r="L28" i="6"/>
  <c r="P28" i="6"/>
  <c r="Q28" i="6"/>
  <c r="R28" i="6"/>
  <c r="S29" i="6"/>
  <c r="H31" i="6"/>
  <c r="K31" i="6"/>
  <c r="L31" i="6"/>
  <c r="P31" i="6"/>
  <c r="Q31" i="6"/>
  <c r="L32" i="6"/>
  <c r="P32" i="6"/>
  <c r="Q32" i="6"/>
  <c r="S33" i="6"/>
  <c r="W33" i="6"/>
  <c r="D35" i="6"/>
  <c r="E35" i="6"/>
  <c r="F35" i="6"/>
  <c r="G35" i="6"/>
  <c r="H35" i="6"/>
  <c r="I35" i="6"/>
  <c r="J35" i="6"/>
  <c r="K35" i="6"/>
  <c r="L35" i="6"/>
  <c r="P35" i="6"/>
  <c r="Q35" i="6"/>
  <c r="R35" i="6"/>
  <c r="D36" i="6"/>
  <c r="E36" i="6"/>
  <c r="F36" i="6"/>
  <c r="G36" i="6"/>
  <c r="H36" i="6"/>
  <c r="I36" i="6"/>
  <c r="J36" i="6"/>
  <c r="K36" i="6"/>
  <c r="L36" i="6"/>
  <c r="P36" i="6"/>
  <c r="Q36" i="6"/>
  <c r="R36" i="6"/>
  <c r="D37" i="6"/>
  <c r="E37" i="6"/>
  <c r="F37" i="6"/>
  <c r="G37" i="6"/>
  <c r="H37" i="6"/>
  <c r="I37" i="6"/>
  <c r="J37" i="6"/>
  <c r="K37" i="6"/>
  <c r="L37" i="6"/>
  <c r="Q37" i="6"/>
  <c r="D38" i="6"/>
  <c r="E38" i="6"/>
  <c r="F38" i="6"/>
  <c r="G38" i="6"/>
  <c r="H38" i="6"/>
  <c r="I38" i="6"/>
  <c r="J38" i="6"/>
  <c r="K38" i="6"/>
  <c r="L38" i="6"/>
  <c r="P38" i="6"/>
  <c r="Q38" i="6"/>
  <c r="R38" i="6"/>
  <c r="S39" i="6"/>
  <c r="H41" i="6"/>
  <c r="K41" i="6"/>
  <c r="L41" i="6"/>
  <c r="P41" i="6"/>
  <c r="Q41" i="6"/>
  <c r="R41" i="6"/>
  <c r="D42" i="6"/>
  <c r="E42" i="6"/>
  <c r="F42" i="6"/>
  <c r="G42" i="6"/>
  <c r="H42" i="6"/>
  <c r="I42" i="6"/>
  <c r="J42" i="6"/>
  <c r="K42" i="6"/>
  <c r="L42" i="6"/>
  <c r="P42" i="6"/>
  <c r="Q42" i="6"/>
  <c r="R42" i="6"/>
  <c r="D43" i="6"/>
  <c r="E43" i="6"/>
  <c r="F43" i="6"/>
  <c r="G43" i="6"/>
  <c r="H43" i="6"/>
  <c r="I43" i="6"/>
  <c r="J43" i="6"/>
  <c r="K43" i="6"/>
  <c r="L43" i="6"/>
  <c r="P43" i="6"/>
  <c r="Q43" i="6"/>
  <c r="R43" i="6"/>
  <c r="D44" i="6"/>
  <c r="E44" i="6"/>
  <c r="F44" i="6"/>
  <c r="G44" i="6"/>
  <c r="H44" i="6"/>
  <c r="I44" i="6"/>
  <c r="J44" i="6"/>
  <c r="K44" i="6"/>
  <c r="L44" i="6"/>
  <c r="P44" i="6"/>
  <c r="Q44" i="6"/>
  <c r="R44" i="6"/>
  <c r="D45" i="6"/>
  <c r="E45" i="6"/>
  <c r="F45" i="6"/>
  <c r="G45" i="6"/>
  <c r="H45" i="6"/>
  <c r="I45" i="6"/>
  <c r="J45" i="6"/>
  <c r="K45" i="6"/>
  <c r="L45" i="6"/>
  <c r="P45" i="6"/>
  <c r="Q45" i="6"/>
  <c r="R45" i="6"/>
  <c r="D46" i="6"/>
  <c r="E46" i="6"/>
  <c r="F46" i="6"/>
  <c r="G46" i="6"/>
  <c r="H46" i="6"/>
  <c r="I46" i="6"/>
  <c r="J46" i="6"/>
  <c r="K46" i="6"/>
  <c r="L46" i="6"/>
  <c r="P46" i="6"/>
  <c r="Q46" i="6"/>
  <c r="R46" i="6"/>
  <c r="S47" i="6"/>
  <c r="Q48" i="6"/>
  <c r="R48" i="6"/>
  <c r="S50" i="6"/>
  <c r="S51" i="6"/>
  <c r="S52" i="6"/>
  <c r="S53" i="6"/>
  <c r="S54" i="6"/>
  <c r="S55" i="6"/>
  <c r="V56" i="6"/>
  <c r="D57" i="6"/>
  <c r="E57" i="6"/>
  <c r="F57" i="6"/>
  <c r="G57" i="6"/>
  <c r="H57" i="6"/>
  <c r="I57" i="6"/>
  <c r="J57" i="6"/>
  <c r="K57" i="6"/>
  <c r="L57" i="6"/>
  <c r="P57" i="6"/>
  <c r="Q57" i="6"/>
  <c r="R57" i="6"/>
  <c r="S57" i="6"/>
  <c r="V57" i="6"/>
  <c r="Q58" i="6"/>
  <c r="R58" i="6"/>
  <c r="S59" i="6"/>
  <c r="H61" i="6"/>
  <c r="K61" i="6"/>
  <c r="L61" i="6"/>
  <c r="P61" i="6"/>
  <c r="Q61" i="6"/>
  <c r="Q65" i="6"/>
  <c r="R65" i="6"/>
  <c r="S66" i="6"/>
  <c r="S67" i="6"/>
  <c r="D75" i="6"/>
  <c r="E75" i="6"/>
  <c r="Q75" i="6"/>
  <c r="R75" i="6"/>
  <c r="D82" i="6"/>
  <c r="E82" i="6"/>
  <c r="D93" i="6"/>
  <c r="E93" i="6"/>
  <c r="L93" i="6"/>
  <c r="D94" i="6"/>
  <c r="E94" i="6"/>
  <c r="L94" i="6"/>
  <c r="D95" i="6"/>
  <c r="E95" i="6"/>
  <c r="L95" i="6"/>
  <c r="D96" i="6"/>
  <c r="E96" i="6"/>
  <c r="L96" i="6"/>
  <c r="D97" i="6"/>
  <c r="E97" i="6"/>
  <c r="L97" i="6"/>
  <c r="D99" i="6"/>
  <c r="E99" i="6"/>
  <c r="L99" i="6"/>
  <c r="Q99" i="6"/>
  <c r="E101" i="6"/>
  <c r="B2" i="3"/>
  <c r="J7" i="3"/>
  <c r="K8" i="3"/>
  <c r="K9" i="3"/>
  <c r="K10" i="3"/>
  <c r="J11" i="3"/>
  <c r="J12" i="3"/>
  <c r="J13" i="3"/>
  <c r="F14" i="3"/>
  <c r="J14" i="3"/>
  <c r="F16" i="3"/>
  <c r="G16" i="3"/>
  <c r="J16" i="3"/>
  <c r="K16" i="3"/>
  <c r="J22" i="3"/>
  <c r="K22" i="3"/>
  <c r="J24" i="3"/>
  <c r="K26" i="3"/>
  <c r="K27" i="3"/>
  <c r="K28" i="3"/>
  <c r="K30" i="3"/>
  <c r="J31" i="3"/>
  <c r="K31" i="3"/>
  <c r="J32" i="3"/>
  <c r="J33" i="3"/>
  <c r="J34" i="3"/>
  <c r="J35" i="3"/>
  <c r="J36" i="3"/>
  <c r="F37" i="3"/>
  <c r="G37" i="3"/>
  <c r="J37" i="3"/>
  <c r="K37" i="3"/>
  <c r="L44" i="3"/>
  <c r="L45" i="3"/>
  <c r="L46" i="3"/>
  <c r="J47" i="3"/>
  <c r="L47" i="3"/>
  <c r="L48" i="3"/>
  <c r="J49" i="3"/>
  <c r="L49" i="3"/>
  <c r="J51" i="3"/>
  <c r="L51" i="3"/>
  <c r="J52" i="3"/>
  <c r="L52" i="3"/>
  <c r="J53" i="3"/>
  <c r="L53" i="3"/>
  <c r="B2" i="4"/>
  <c r="C6" i="4"/>
  <c r="D6" i="4"/>
  <c r="E6" i="4"/>
  <c r="F6" i="4"/>
  <c r="G6" i="4"/>
  <c r="H6" i="4"/>
  <c r="I6" i="4"/>
  <c r="J6" i="4"/>
  <c r="C7" i="4"/>
  <c r="D7" i="4"/>
  <c r="E7" i="4"/>
  <c r="F7" i="4"/>
  <c r="G7" i="4"/>
  <c r="H7" i="4"/>
  <c r="I7" i="4"/>
  <c r="J7" i="4"/>
  <c r="C8" i="4"/>
  <c r="D8" i="4"/>
  <c r="E8" i="4"/>
  <c r="F8" i="4"/>
  <c r="G8" i="4"/>
  <c r="H8" i="4"/>
  <c r="I8" i="4"/>
  <c r="J8" i="4"/>
  <c r="C9" i="4"/>
  <c r="D9" i="4"/>
  <c r="E9" i="4"/>
  <c r="F9" i="4"/>
  <c r="G9" i="4"/>
  <c r="H9" i="4"/>
  <c r="I9" i="4"/>
  <c r="J9" i="4"/>
  <c r="I10" i="4"/>
  <c r="J10" i="4"/>
  <c r="C13" i="4"/>
  <c r="D13" i="4"/>
  <c r="E13" i="4"/>
  <c r="F13" i="4"/>
  <c r="G13" i="4"/>
  <c r="H13" i="4"/>
  <c r="I13" i="4"/>
  <c r="J13" i="4"/>
  <c r="C14" i="4"/>
  <c r="D14" i="4"/>
  <c r="E14" i="4"/>
  <c r="F14" i="4"/>
  <c r="G14" i="4"/>
  <c r="H14" i="4"/>
  <c r="I14" i="4"/>
  <c r="J14" i="4"/>
  <c r="C15" i="4"/>
  <c r="D15" i="4"/>
  <c r="E15" i="4"/>
  <c r="F15" i="4"/>
  <c r="G15" i="4"/>
  <c r="H15" i="4"/>
  <c r="I15" i="4"/>
  <c r="J15" i="4"/>
  <c r="C16" i="4"/>
  <c r="D16" i="4"/>
  <c r="E16" i="4"/>
  <c r="F16" i="4"/>
  <c r="G16" i="4"/>
  <c r="H16" i="4"/>
  <c r="I16" i="4"/>
  <c r="J16" i="4"/>
  <c r="C17" i="4"/>
  <c r="D17" i="4"/>
  <c r="E17" i="4"/>
  <c r="F17" i="4"/>
  <c r="G17" i="4"/>
  <c r="H17" i="4"/>
  <c r="I17" i="4"/>
  <c r="J17" i="4"/>
  <c r="C18" i="4"/>
  <c r="D18" i="4"/>
  <c r="E18" i="4"/>
  <c r="F18" i="4"/>
  <c r="G18" i="4"/>
  <c r="H18" i="4"/>
  <c r="I18" i="4"/>
  <c r="J18" i="4"/>
  <c r="I19" i="4"/>
  <c r="J19" i="4"/>
  <c r="C22" i="4"/>
  <c r="D22" i="4"/>
  <c r="E22" i="4"/>
  <c r="F22" i="4"/>
  <c r="G22" i="4"/>
  <c r="H22" i="4"/>
  <c r="I22" i="4"/>
  <c r="J22" i="4"/>
  <c r="C23" i="4"/>
  <c r="D23" i="4"/>
  <c r="E23" i="4"/>
  <c r="F23" i="4"/>
  <c r="G23" i="4"/>
  <c r="H23" i="4"/>
  <c r="I23" i="4"/>
  <c r="J23" i="4"/>
  <c r="I24" i="4"/>
  <c r="J24" i="4"/>
  <c r="C27" i="4"/>
  <c r="D27" i="4"/>
  <c r="E27" i="4"/>
  <c r="F27" i="4"/>
  <c r="G27" i="4"/>
  <c r="H27" i="4"/>
  <c r="I27" i="4"/>
  <c r="J27" i="4"/>
  <c r="C28" i="4"/>
  <c r="D28" i="4"/>
  <c r="E28" i="4"/>
  <c r="F28" i="4"/>
  <c r="G28" i="4"/>
  <c r="H28" i="4"/>
  <c r="I28" i="4"/>
  <c r="J28" i="4"/>
  <c r="I29" i="4"/>
  <c r="J29" i="4"/>
  <c r="C32" i="4"/>
  <c r="D32" i="4"/>
  <c r="E32" i="4"/>
  <c r="F32" i="4"/>
  <c r="G32" i="4"/>
  <c r="H32" i="4"/>
  <c r="I32" i="4"/>
  <c r="J32" i="4"/>
  <c r="C33" i="4"/>
  <c r="D33" i="4"/>
  <c r="E33" i="4"/>
  <c r="F33" i="4"/>
  <c r="G33" i="4"/>
  <c r="H33" i="4"/>
  <c r="I33" i="4"/>
  <c r="J33" i="4"/>
  <c r="I34" i="4"/>
  <c r="J34" i="4"/>
  <c r="C37" i="4"/>
  <c r="D37" i="4"/>
  <c r="E37" i="4"/>
  <c r="F37" i="4"/>
  <c r="G37" i="4"/>
  <c r="H37" i="4"/>
  <c r="I37" i="4"/>
  <c r="J37" i="4"/>
  <c r="C38" i="4"/>
  <c r="D38" i="4"/>
  <c r="E38" i="4"/>
  <c r="F38" i="4"/>
  <c r="G38" i="4"/>
  <c r="H38" i="4"/>
  <c r="I38" i="4"/>
  <c r="J38" i="4"/>
  <c r="C39" i="4"/>
  <c r="D39" i="4"/>
  <c r="E39" i="4"/>
  <c r="F39" i="4"/>
  <c r="G39" i="4"/>
  <c r="H39" i="4"/>
  <c r="I39" i="4"/>
  <c r="J39" i="4"/>
  <c r="C40" i="4"/>
  <c r="D40" i="4"/>
  <c r="E40" i="4"/>
  <c r="F40" i="4"/>
  <c r="G40" i="4"/>
  <c r="H40" i="4"/>
  <c r="I40" i="4"/>
  <c r="J40" i="4"/>
  <c r="C41" i="4"/>
  <c r="D41" i="4"/>
  <c r="E41" i="4"/>
  <c r="F41" i="4"/>
  <c r="G41" i="4"/>
  <c r="H41" i="4"/>
  <c r="I41" i="4"/>
  <c r="J41" i="4"/>
  <c r="C42" i="4"/>
  <c r="D42" i="4"/>
  <c r="E42" i="4"/>
  <c r="F42" i="4"/>
  <c r="G42" i="4"/>
  <c r="H42" i="4"/>
  <c r="I42" i="4"/>
  <c r="J42" i="4"/>
  <c r="C43" i="4"/>
  <c r="D43" i="4"/>
  <c r="E43" i="4"/>
  <c r="F43" i="4"/>
  <c r="G43" i="4"/>
  <c r="H43" i="4"/>
  <c r="I43" i="4"/>
  <c r="J43" i="4"/>
  <c r="C44" i="4"/>
  <c r="D44" i="4"/>
  <c r="E44" i="4"/>
  <c r="F44" i="4"/>
  <c r="G44" i="4"/>
  <c r="H44" i="4"/>
  <c r="I44" i="4"/>
  <c r="J44" i="4"/>
  <c r="C45" i="4"/>
  <c r="D45" i="4"/>
  <c r="E45" i="4"/>
  <c r="F45" i="4"/>
  <c r="G45" i="4"/>
  <c r="H45" i="4"/>
  <c r="I45" i="4"/>
  <c r="J45" i="4"/>
  <c r="C46" i="4"/>
  <c r="D46" i="4"/>
  <c r="E46" i="4"/>
  <c r="F46" i="4"/>
  <c r="G46" i="4"/>
  <c r="H46" i="4"/>
  <c r="I46" i="4"/>
  <c r="J46" i="4"/>
  <c r="C47" i="4"/>
  <c r="D47" i="4"/>
  <c r="E47" i="4"/>
  <c r="F47" i="4"/>
  <c r="G47" i="4"/>
  <c r="H47" i="4"/>
  <c r="I47" i="4"/>
  <c r="J47" i="4"/>
  <c r="I48" i="4"/>
  <c r="J48" i="4"/>
  <c r="E51" i="4"/>
  <c r="I51" i="4"/>
  <c r="F52" i="4"/>
  <c r="J52" i="4"/>
  <c r="F53" i="4"/>
  <c r="J53" i="4"/>
  <c r="F54" i="4"/>
  <c r="J54" i="4"/>
  <c r="F55" i="4"/>
  <c r="J55" i="4"/>
  <c r="E56" i="4"/>
  <c r="I56" i="4"/>
  <c r="F57" i="4"/>
  <c r="J57" i="4"/>
  <c r="F58" i="4"/>
  <c r="J58" i="4"/>
  <c r="F59" i="4"/>
  <c r="J59" i="4"/>
  <c r="J60" i="4"/>
  <c r="C61" i="4"/>
  <c r="D61" i="4"/>
  <c r="E61" i="4"/>
  <c r="F61" i="4"/>
  <c r="G61" i="4"/>
  <c r="H61" i="4"/>
  <c r="I61" i="4"/>
  <c r="J61" i="4"/>
  <c r="C62" i="4"/>
  <c r="D62" i="4"/>
  <c r="E62" i="4"/>
  <c r="F62" i="4"/>
  <c r="G62" i="4"/>
  <c r="H62" i="4"/>
  <c r="I62" i="4"/>
  <c r="J62" i="4"/>
  <c r="C63" i="4"/>
  <c r="D63" i="4"/>
  <c r="E63" i="4"/>
  <c r="F63" i="4"/>
  <c r="G63" i="4"/>
  <c r="H63" i="4"/>
  <c r="I63" i="4"/>
  <c r="J63" i="4"/>
  <c r="C64" i="4"/>
  <c r="D64" i="4"/>
  <c r="E64" i="4"/>
  <c r="F64" i="4"/>
  <c r="G64" i="4"/>
  <c r="H64" i="4"/>
  <c r="I64" i="4"/>
  <c r="J64" i="4"/>
  <c r="I65" i="4"/>
  <c r="J65" i="4"/>
  <c r="C68" i="4"/>
  <c r="D68" i="4"/>
  <c r="E68" i="4"/>
  <c r="F68" i="4"/>
  <c r="G68" i="4"/>
  <c r="H68" i="4"/>
  <c r="I68" i="4"/>
  <c r="J68" i="4"/>
  <c r="C69" i="4"/>
  <c r="D69" i="4"/>
  <c r="E69" i="4"/>
  <c r="F69" i="4"/>
  <c r="G69" i="4"/>
  <c r="H69" i="4"/>
  <c r="I69" i="4"/>
  <c r="J69" i="4"/>
  <c r="I70" i="4"/>
  <c r="J70" i="4"/>
  <c r="C73" i="4"/>
  <c r="D73" i="4"/>
  <c r="E73" i="4"/>
  <c r="F73" i="4"/>
  <c r="G73" i="4"/>
  <c r="H73" i="4"/>
  <c r="I73" i="4"/>
  <c r="J73" i="4"/>
  <c r="I74" i="4"/>
  <c r="J74" i="4"/>
  <c r="I77" i="4"/>
  <c r="I78" i="4"/>
  <c r="I79" i="4"/>
  <c r="I80" i="4"/>
  <c r="C81" i="4"/>
  <c r="D81" i="4"/>
  <c r="E81" i="4"/>
  <c r="F81" i="4"/>
  <c r="G81" i="4"/>
  <c r="H81" i="4"/>
  <c r="I81" i="4"/>
  <c r="J81" i="4"/>
  <c r="I82" i="4"/>
  <c r="J82" i="4"/>
  <c r="I84" i="4"/>
  <c r="J84" i="4"/>
  <c r="J86" i="4"/>
  <c r="I90" i="4"/>
  <c r="J90" i="4"/>
  <c r="I92" i="4"/>
  <c r="J92" i="4"/>
</calcChain>
</file>

<file path=xl/comments1.xml><?xml version="1.0" encoding="utf-8"?>
<comments xmlns="http://schemas.openxmlformats.org/spreadsheetml/2006/main">
  <authors>
    <author>wconwell</author>
  </authors>
  <commentList>
    <comment ref="E9" authorId="0" shapeId="0">
      <text>
        <r>
          <rPr>
            <b/>
            <sz val="8"/>
            <color indexed="81"/>
            <rFont val="Tahoma"/>
          </rPr>
          <t>wconwell:</t>
        </r>
        <r>
          <rPr>
            <sz val="8"/>
            <color indexed="81"/>
            <rFont val="Tahoma"/>
          </rPr>
          <t xml:space="preserve">
Per Bankruptcy Claim
</t>
        </r>
      </text>
    </comment>
    <comment ref="L9" authorId="0" shapeId="0">
      <text>
        <r>
          <rPr>
            <b/>
            <sz val="8"/>
            <color indexed="81"/>
            <rFont val="Tahoma"/>
          </rPr>
          <t>wconwell:</t>
        </r>
        <r>
          <rPr>
            <sz val="8"/>
            <color indexed="81"/>
            <rFont val="Tahoma"/>
          </rPr>
          <t xml:space="preserve">
Per Bankruptcy Claim</t>
        </r>
      </text>
    </comment>
    <comment ref="D10" authorId="0" shapeId="0">
      <text>
        <r>
          <rPr>
            <b/>
            <sz val="8"/>
            <color indexed="81"/>
            <rFont val="Tahoma"/>
          </rPr>
          <t>wconwell:</t>
        </r>
        <r>
          <rPr>
            <sz val="8"/>
            <color indexed="81"/>
            <rFont val="Tahoma"/>
          </rPr>
          <t xml:space="preserve">
Per Bankruptcy Claim</t>
        </r>
      </text>
    </comment>
    <comment ref="E10" authorId="0" shapeId="0">
      <text>
        <r>
          <rPr>
            <b/>
            <sz val="8"/>
            <color indexed="81"/>
            <rFont val="Tahoma"/>
          </rPr>
          <t>wconwell:</t>
        </r>
        <r>
          <rPr>
            <sz val="8"/>
            <color indexed="81"/>
            <rFont val="Tahoma"/>
          </rPr>
          <t xml:space="preserve">
Per Bankruptcy Claim</t>
        </r>
      </text>
    </comment>
    <comment ref="L10" authorId="0" shapeId="0">
      <text>
        <r>
          <rPr>
            <b/>
            <sz val="8"/>
            <color indexed="81"/>
            <rFont val="Tahoma"/>
          </rPr>
          <t>wconwell:</t>
        </r>
        <r>
          <rPr>
            <sz val="8"/>
            <color indexed="81"/>
            <rFont val="Tahoma"/>
          </rPr>
          <t xml:space="preserve">
Per Bankruptcy Claim</t>
        </r>
      </text>
    </comment>
    <comment ref="E11" authorId="0" shapeId="0">
      <text>
        <r>
          <rPr>
            <b/>
            <sz val="8"/>
            <color indexed="81"/>
            <rFont val="Tahoma"/>
          </rPr>
          <t>wconwell:</t>
        </r>
        <r>
          <rPr>
            <sz val="8"/>
            <color indexed="81"/>
            <rFont val="Tahoma"/>
          </rPr>
          <t xml:space="preserve">
Per Bankruptcy Claim</t>
        </r>
      </text>
    </comment>
    <comment ref="L11" authorId="0" shapeId="0">
      <text>
        <r>
          <rPr>
            <b/>
            <sz val="8"/>
            <color indexed="81"/>
            <rFont val="Tahoma"/>
          </rPr>
          <t>wconwell:</t>
        </r>
        <r>
          <rPr>
            <sz val="8"/>
            <color indexed="81"/>
            <rFont val="Tahoma"/>
          </rPr>
          <t xml:space="preserve">
Per Bankruptcy Claim</t>
        </r>
      </text>
    </comment>
    <comment ref="F26" authorId="0" shapeId="0">
      <text>
        <r>
          <rPr>
            <b/>
            <sz val="8"/>
            <color indexed="81"/>
            <rFont val="Tahoma"/>
          </rPr>
          <t>wconwell:</t>
        </r>
        <r>
          <rPr>
            <sz val="8"/>
            <color indexed="81"/>
            <rFont val="Tahoma"/>
          </rPr>
          <t xml:space="preserve">
Unbilled receivable per EES</t>
        </r>
      </text>
    </comment>
    <comment ref="G26" authorId="0" shapeId="0">
      <text>
        <r>
          <rPr>
            <b/>
            <sz val="8"/>
            <color indexed="81"/>
            <rFont val="Tahoma"/>
          </rPr>
          <t>wconwell:</t>
        </r>
        <r>
          <rPr>
            <sz val="8"/>
            <color indexed="81"/>
            <rFont val="Tahoma"/>
          </rPr>
          <t xml:space="preserve">
Unbilled payable per EES</t>
        </r>
      </text>
    </comment>
    <comment ref="E30" authorId="0" shapeId="0">
      <text>
        <r>
          <rPr>
            <b/>
            <sz val="8"/>
            <color indexed="81"/>
            <rFont val="Tahoma"/>
          </rPr>
          <t>wconwell:</t>
        </r>
        <r>
          <rPr>
            <sz val="8"/>
            <color indexed="81"/>
            <rFont val="Tahoma"/>
          </rPr>
          <t xml:space="preserve">
Per London</t>
        </r>
      </text>
    </comment>
    <comment ref="O32"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F34" authorId="0" shapeId="0">
      <text>
        <r>
          <rPr>
            <b/>
            <sz val="8"/>
            <color indexed="81"/>
            <rFont val="Tahoma"/>
          </rPr>
          <t>wconwell:</t>
        </r>
        <r>
          <rPr>
            <sz val="8"/>
            <color indexed="81"/>
            <rFont val="Tahoma"/>
          </rPr>
          <t xml:space="preserve">
Unify + SAP</t>
        </r>
      </text>
    </comment>
    <comment ref="G34" authorId="0" shapeId="0">
      <text>
        <r>
          <rPr>
            <b/>
            <sz val="8"/>
            <color indexed="81"/>
            <rFont val="Tahoma"/>
          </rPr>
          <t>wconwell:</t>
        </r>
        <r>
          <rPr>
            <sz val="8"/>
            <color indexed="81"/>
            <rFont val="Tahoma"/>
          </rPr>
          <t xml:space="preserve">
Unify</t>
        </r>
      </text>
    </comment>
  </commentList>
</comments>
</file>

<file path=xl/comments2.xml><?xml version="1.0" encoding="utf-8"?>
<comments xmlns="http://schemas.openxmlformats.org/spreadsheetml/2006/main">
  <authors>
    <author>wconwell</author>
  </authors>
  <commentList>
    <comment ref="F10" authorId="0" shapeId="0">
      <text>
        <r>
          <rPr>
            <b/>
            <sz val="8"/>
            <color indexed="81"/>
            <rFont val="Tahoma"/>
          </rPr>
          <t>wconwell:</t>
        </r>
        <r>
          <rPr>
            <sz val="8"/>
            <color indexed="81"/>
            <rFont val="Tahoma"/>
          </rPr>
          <t xml:space="preserve">
CAS shows values in SAP that have been transferred from EES and EEMC for Px Credit receivables.  However, we are still reconciling how much was actually transferred.  Hence this schedule shows total Px Credit due still with EES and EEMS</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20" authorId="0" shapeId="0">
      <text>
        <r>
          <rPr>
            <b/>
            <sz val="8"/>
            <color indexed="81"/>
            <rFont val="Tahoma"/>
          </rPr>
          <t>wconwell:</t>
        </r>
        <r>
          <rPr>
            <sz val="8"/>
            <color indexed="81"/>
            <rFont val="Tahoma"/>
          </rPr>
          <t xml:space="preserve">
Unbilled receivable per EES</t>
        </r>
      </text>
    </comment>
    <comment ref="G20" authorId="0" shapeId="0">
      <text>
        <r>
          <rPr>
            <b/>
            <sz val="8"/>
            <color indexed="81"/>
            <rFont val="Tahoma"/>
          </rPr>
          <t>wconwell:</t>
        </r>
        <r>
          <rPr>
            <sz val="8"/>
            <color indexed="81"/>
            <rFont val="Tahoma"/>
          </rPr>
          <t xml:space="preserve">
Unbilled payable per EES</t>
        </r>
      </text>
    </comment>
  </commentList>
</comments>
</file>

<file path=xl/comments3.xml><?xml version="1.0" encoding="utf-8"?>
<comments xmlns="http://schemas.openxmlformats.org/spreadsheetml/2006/main">
  <authors>
    <author>wconwell</author>
  </authors>
  <commentList>
    <comment ref="F7" authorId="0" shapeId="0">
      <text>
        <r>
          <rPr>
            <b/>
            <sz val="8"/>
            <color indexed="81"/>
            <rFont val="Tahoma"/>
          </rPr>
          <t>wconwell:</t>
        </r>
        <r>
          <rPr>
            <sz val="8"/>
            <color indexed="81"/>
            <rFont val="Tahoma"/>
          </rPr>
          <t xml:space="preserve">
SAP feed per CAS 05/02/01</t>
        </r>
      </text>
    </comment>
    <comment ref="F9" authorId="0" shapeId="0">
      <text>
        <r>
          <rPr>
            <b/>
            <sz val="8"/>
            <color indexed="81"/>
            <rFont val="Tahoma"/>
          </rPr>
          <t>wconwell:</t>
        </r>
        <r>
          <rPr>
            <sz val="8"/>
            <color indexed="81"/>
            <rFont val="Tahoma"/>
          </rPr>
          <t xml:space="preserve">
Per Evan Hughes as of 04/10
Amounts transferred to EPMI
</t>
        </r>
      </text>
    </comment>
    <comment ref="F10" authorId="0" shapeId="0">
      <text>
        <r>
          <rPr>
            <b/>
            <sz val="8"/>
            <color indexed="81"/>
            <rFont val="Tahoma"/>
          </rPr>
          <t>wconwell:</t>
        </r>
        <r>
          <rPr>
            <sz val="8"/>
            <color indexed="81"/>
            <rFont val="Tahoma"/>
          </rPr>
          <t xml:space="preserve">
Per Evan Hughes / Joni Fisher Schedule
Amounts transferred to EPMI
</t>
        </r>
      </text>
    </comment>
    <comment ref="F11" authorId="0" shapeId="0">
      <text>
        <r>
          <rPr>
            <b/>
            <sz val="8"/>
            <color indexed="81"/>
            <rFont val="Tahoma"/>
          </rPr>
          <t>wconwell:</t>
        </r>
        <r>
          <rPr>
            <sz val="8"/>
            <color indexed="81"/>
            <rFont val="Tahoma"/>
          </rPr>
          <t xml:space="preserve">
Per Minal Dalia worksheet dated 04/10/01</t>
        </r>
      </text>
    </comment>
    <comment ref="F23" authorId="0" shapeId="0">
      <text>
        <r>
          <rPr>
            <b/>
            <sz val="8"/>
            <color indexed="81"/>
            <rFont val="Tahoma"/>
          </rPr>
          <t>wconwell:</t>
        </r>
        <r>
          <rPr>
            <sz val="8"/>
            <color indexed="81"/>
            <rFont val="Tahoma"/>
          </rPr>
          <t xml:space="preserve">
Includes $40 from 12/1/2000 per SAP</t>
        </r>
      </text>
    </comment>
    <comment ref="G23" authorId="0" shapeId="0">
      <text>
        <r>
          <rPr>
            <b/>
            <sz val="8"/>
            <color indexed="81"/>
            <rFont val="Tahoma"/>
          </rPr>
          <t>wconwell:</t>
        </r>
        <r>
          <rPr>
            <sz val="8"/>
            <color indexed="81"/>
            <rFont val="Tahoma"/>
          </rPr>
          <t xml:space="preserve">
Includes $40 of payables in SAP</t>
        </r>
      </text>
    </comment>
  </commentList>
</comments>
</file>

<file path=xl/comments4.xml><?xml version="1.0" encoding="utf-8"?>
<comments xmlns="http://schemas.openxmlformats.org/spreadsheetml/2006/main">
  <authors>
    <author>wconwell</author>
  </authors>
  <commentList>
    <comment ref="F11" authorId="0" shapeId="0">
      <text>
        <r>
          <rPr>
            <b/>
            <sz val="8"/>
            <color indexed="81"/>
            <rFont val="Tahoma"/>
          </rPr>
          <t>wconwell:</t>
        </r>
        <r>
          <rPr>
            <sz val="8"/>
            <color indexed="81"/>
            <rFont val="Tahoma"/>
          </rPr>
          <t xml:space="preserve">
Realtime transmisison and grid mgt.</t>
        </r>
      </text>
    </comment>
    <comment ref="F12" authorId="0" shapeId="0">
      <text>
        <r>
          <rPr>
            <b/>
            <sz val="8"/>
            <color indexed="81"/>
            <rFont val="Tahoma"/>
          </rPr>
          <t>wconwell:</t>
        </r>
        <r>
          <rPr>
            <sz val="8"/>
            <color indexed="81"/>
            <rFont val="Tahoma"/>
          </rPr>
          <t xml:space="preserve">
Realtime and grid mgt - includes $7.6mm mandated sales per Richardson order</t>
        </r>
      </text>
    </comment>
    <comment ref="F13" authorId="0" shapeId="0">
      <text>
        <r>
          <rPr>
            <b/>
            <sz val="8"/>
            <color indexed="81"/>
            <rFont val="Tahoma"/>
          </rPr>
          <t>wconwell:</t>
        </r>
        <r>
          <rPr>
            <sz val="8"/>
            <color indexed="81"/>
            <rFont val="Tahoma"/>
          </rPr>
          <t xml:space="preserve">
All sales mandated per Richarson order</t>
        </r>
      </text>
    </comment>
    <comment ref="F14" authorId="0" shapeId="0">
      <text>
        <r>
          <rPr>
            <b/>
            <sz val="8"/>
            <color indexed="81"/>
            <rFont val="Tahoma"/>
          </rPr>
          <t>wconwell:</t>
        </r>
        <r>
          <rPr>
            <sz val="8"/>
            <color indexed="81"/>
            <rFont val="Tahoma"/>
          </rPr>
          <t xml:space="preserve">
All sales mandated per Richarson order</t>
        </r>
      </text>
    </comment>
  </commentList>
</comments>
</file>

<file path=xl/sharedStrings.xml><?xml version="1.0" encoding="utf-8"?>
<sst xmlns="http://schemas.openxmlformats.org/spreadsheetml/2006/main" count="778" uniqueCount="241">
  <si>
    <t>Pacific Gas &amp; Electric Company</t>
  </si>
  <si>
    <t>Enron Power Marketing, Inc.</t>
  </si>
  <si>
    <t>PG&amp;E Energy Services, Energy Trading Corporation</t>
  </si>
  <si>
    <t>PG&amp;E Energy Trading - Power, L.P.</t>
  </si>
  <si>
    <t>PG&amp;E Energy Trading, Canada Corporation</t>
  </si>
  <si>
    <t>PG&amp;E Energy Trading-Gas Corporation</t>
  </si>
  <si>
    <t>PG&amp;E Gas Transmission, Northwest Corporation</t>
  </si>
  <si>
    <t xml:space="preserve">Financial </t>
  </si>
  <si>
    <t xml:space="preserve">Physical </t>
  </si>
  <si>
    <t xml:space="preserve">Sales </t>
  </si>
  <si>
    <t xml:space="preserve">Purchases </t>
  </si>
  <si>
    <t>Enron's Net</t>
  </si>
  <si>
    <t xml:space="preserve">Counterparty's  </t>
  </si>
  <si>
    <t>Counterparty</t>
  </si>
  <si>
    <t>Enron Entity</t>
  </si>
  <si>
    <t xml:space="preserve">Mark-to-Market </t>
  </si>
  <si>
    <t>(A/R)</t>
  </si>
  <si>
    <t>(A/P)</t>
  </si>
  <si>
    <t>(A/R - A/P)</t>
  </si>
  <si>
    <t>Exposure</t>
  </si>
  <si>
    <t>Net Exposure</t>
  </si>
  <si>
    <t>EEMC/EES</t>
  </si>
  <si>
    <t>Net Physical</t>
  </si>
  <si>
    <t>(Cash + Phys)</t>
  </si>
  <si>
    <t xml:space="preserve">     Total Pacific Gas &amp; Electric Company</t>
  </si>
  <si>
    <t xml:space="preserve">      Total PG&amp;E Energy Services, Energy Trading Corporation</t>
  </si>
  <si>
    <t>EEMC</t>
  </si>
  <si>
    <t xml:space="preserve">    Total PG&amp;E Energy Trading, Canada Corporation</t>
  </si>
  <si>
    <t>PG&amp;E Energy Trading-Gas Corporation*</t>
  </si>
  <si>
    <t xml:space="preserve">     Total  PG&amp;E Energy Trading-Gas Corporation*</t>
  </si>
  <si>
    <t>Edison First Power Limited</t>
  </si>
  <si>
    <t>Edison Mission Energy</t>
  </si>
  <si>
    <t>Edison Mission Marketing &amp; Trading Inc.</t>
  </si>
  <si>
    <t>Southern California Edison Company</t>
  </si>
  <si>
    <t xml:space="preserve">     Total Utility Exposure</t>
  </si>
  <si>
    <t>ENA has a $35MM inc gty from Edison Mission Energy for (4) specific swaps and a $15MM inc gty from Edison Mission Midwest Holdings for the remaining swap portfolio.</t>
  </si>
  <si>
    <t>EPMI has a $20MM inc gty from Edison Mission Energy and a $5MM inc letter of credit.</t>
  </si>
  <si>
    <t>Net Sales</t>
  </si>
  <si>
    <t>Net Purchases</t>
  </si>
  <si>
    <t>Activity Month</t>
  </si>
  <si>
    <t>(if A/R-A/P &gt; $0)</t>
  </si>
  <si>
    <t>(if A/P-A/R &lt; $0)</t>
  </si>
  <si>
    <t>California ISO</t>
  </si>
  <si>
    <t>November 2000</t>
  </si>
  <si>
    <t>December 2000</t>
  </si>
  <si>
    <t>MTD January 2001</t>
  </si>
  <si>
    <t>Portland General</t>
  </si>
  <si>
    <t>Total CA ISO</t>
  </si>
  <si>
    <t>California Power Exchange Corporation</t>
  </si>
  <si>
    <t>Existing Block FW Portfolio</t>
  </si>
  <si>
    <t>Total CA PX</t>
  </si>
  <si>
    <t>CA ISO's</t>
  </si>
  <si>
    <t>CA PX's</t>
  </si>
  <si>
    <t>ISO</t>
  </si>
  <si>
    <t>Pmt. Date</t>
  </si>
  <si>
    <t>PX Net Purchases</t>
  </si>
  <si>
    <t>PX Net Sales</t>
  </si>
  <si>
    <t>Payment</t>
  </si>
  <si>
    <t>Receipt</t>
  </si>
  <si>
    <t>Date:</t>
  </si>
  <si>
    <t>PORTLAND GENERAL</t>
  </si>
  <si>
    <t>TOTAL</t>
  </si>
  <si>
    <t xml:space="preserve">California Counterparty Exposure as of </t>
  </si>
  <si>
    <t>RAC - Risk Assessment &amp; Control</t>
  </si>
  <si>
    <t>check</t>
  </si>
  <si>
    <t xml:space="preserve">Portland General </t>
  </si>
  <si>
    <t xml:space="preserve">     Total Exposure Relating to EEMC/EES</t>
  </si>
  <si>
    <t xml:space="preserve">     Total Exposure Relating to Enron Canada Corp.</t>
  </si>
  <si>
    <t xml:space="preserve">     Total Exposure Relating to Enron Capital &amp; Trade Resources</t>
  </si>
  <si>
    <t xml:space="preserve">     Total Exposure Relating to Enron Coal Services Limited</t>
  </si>
  <si>
    <t xml:space="preserve">     Total Exposure Relating to Enron Europe Ltd.</t>
  </si>
  <si>
    <t xml:space="preserve">     Total Exposure Relating to Enron North America Corp.</t>
  </si>
  <si>
    <t xml:space="preserve">     Total Exposure Relating to Enron Power Marketing, Inc.</t>
  </si>
  <si>
    <t xml:space="preserve">     Total Exposure Relating to Enron Wind Corp.</t>
  </si>
  <si>
    <t xml:space="preserve">     Total Exposure Relating to Houston Pipe Line Company</t>
  </si>
  <si>
    <t xml:space="preserve">     Total Exposure Relating to Portland General</t>
  </si>
  <si>
    <t xml:space="preserve">          Total Exposure to California Counterparty by Enron Entity</t>
  </si>
  <si>
    <t>Enron Canada</t>
  </si>
  <si>
    <t>ENA Corp.</t>
  </si>
  <si>
    <t>EPMI</t>
  </si>
  <si>
    <t>Enron Wind</t>
  </si>
  <si>
    <t>HPL Co.</t>
  </si>
  <si>
    <t xml:space="preserve">Enron Wind </t>
  </si>
  <si>
    <t>ECT Resources Int.</t>
  </si>
  <si>
    <t>ECT Resources Ltd.</t>
  </si>
  <si>
    <t>Edison Mission Marketing &amp; Trading</t>
  </si>
  <si>
    <t xml:space="preserve">Edison Mission Marketing &amp; Trading </t>
  </si>
  <si>
    <t xml:space="preserve">Enron Canada </t>
  </si>
  <si>
    <t>Enron Coal</t>
  </si>
  <si>
    <t xml:space="preserve">Enron Europe </t>
  </si>
  <si>
    <t>Portland Gen.</t>
  </si>
  <si>
    <t>ECT Res. Int.</t>
  </si>
  <si>
    <t>ECT Res. Ltd.</t>
  </si>
  <si>
    <t>Nov. 2000</t>
  </si>
  <si>
    <t>Dec. 2000</t>
  </si>
  <si>
    <t>MTD Jan. 2001</t>
  </si>
  <si>
    <t>Nov. 2000 (Real Time Mkt)</t>
  </si>
  <si>
    <t>Dec. 2000 (Real Time Mkt)</t>
  </si>
  <si>
    <t>Dec. 2000 (Core Mkt)</t>
  </si>
  <si>
    <t>Dec. 2000 (Blk FW Mkt)</t>
  </si>
  <si>
    <t>MTD Jan. 2001 (Real Time Mkt)</t>
  </si>
  <si>
    <t>MTD Jan. 2001 (Core Mkt)</t>
  </si>
  <si>
    <t>EES</t>
  </si>
  <si>
    <t>Check Figures</t>
  </si>
  <si>
    <t>CHECK</t>
  </si>
  <si>
    <t>PG&amp;E Quantum Ventures</t>
  </si>
  <si>
    <t xml:space="preserve">    Total PG&amp;E Energy Trading - Power, L.P.</t>
  </si>
  <si>
    <t>Southern California Edison</t>
  </si>
  <si>
    <t>CEG Energy Options Inc.</t>
  </si>
  <si>
    <t xml:space="preserve">     Total Quantum Ventures and CEG Energy Options</t>
  </si>
  <si>
    <t>(a)</t>
  </si>
  <si>
    <t xml:space="preserve">Notes: </t>
  </si>
  <si>
    <t xml:space="preserve">          Subtotal PG&amp;E Trading Subsidiaries</t>
  </si>
  <si>
    <t xml:space="preserve">     Total Exposure to PG&amp;E Trading Subsidiaries</t>
  </si>
  <si>
    <t xml:space="preserve">          Subtotal Non-Utility Exposure</t>
  </si>
  <si>
    <t xml:space="preserve">     Total Exposure to Non-Utility Subsidiaries</t>
  </si>
  <si>
    <t>With Master Set-Off</t>
  </si>
  <si>
    <t>PG&amp;E Utility</t>
  </si>
  <si>
    <t>PG&amp;E Non-Utility</t>
  </si>
  <si>
    <t>SCE Utility</t>
  </si>
  <si>
    <t>SCE Non-Utility</t>
  </si>
  <si>
    <t>Px</t>
  </si>
  <si>
    <t>ENA</t>
  </si>
  <si>
    <t>EEL</t>
  </si>
  <si>
    <t>EWS</t>
  </si>
  <si>
    <t>PGE</t>
  </si>
  <si>
    <t>Entity Code</t>
  </si>
  <si>
    <t>EWC</t>
  </si>
  <si>
    <t xml:space="preserve">EEL </t>
  </si>
  <si>
    <t>Total</t>
  </si>
  <si>
    <t xml:space="preserve">     Subtotal</t>
  </si>
  <si>
    <t xml:space="preserve">     Total California Utility Exposure</t>
  </si>
  <si>
    <t>Note:</t>
  </si>
  <si>
    <t>SUMMARY EXPOSURE BY ENRON ENTITY</t>
  </si>
  <si>
    <t xml:space="preserve">          Total Exposure to California Counterparty  - assumes netting of Utility, and certain trading entities.</t>
  </si>
  <si>
    <t>Per London. Power Swaps</t>
  </si>
  <si>
    <t xml:space="preserve">Edison Mission Energy - First Hydro </t>
  </si>
  <si>
    <t>Check</t>
  </si>
  <si>
    <t>No Set Off</t>
  </si>
  <si>
    <t>Set Off W/I Enron Canada</t>
  </si>
  <si>
    <t>Net Settlement Risk</t>
  </si>
  <si>
    <t>PG&amp;E Corp. guaranteed $10MM receivable to EES was received 01/23.</t>
  </si>
  <si>
    <t>Nine Energy Services LLC</t>
  </si>
  <si>
    <t>Cash</t>
  </si>
  <si>
    <t>EPMI paid invoice</t>
  </si>
  <si>
    <t>EPMI received $4.1MM of $12.5MM</t>
  </si>
  <si>
    <t>EES/EEMC</t>
  </si>
  <si>
    <t>California Exposure as of COB</t>
  </si>
  <si>
    <t>Enron Coal -London</t>
  </si>
  <si>
    <t>Phys. MTM per London</t>
  </si>
  <si>
    <t>(a) Net Settlement Risk for Coal is only one-month receivables/payables due to approx. 10 day settlement for coal delivery.</t>
  </si>
  <si>
    <t xml:space="preserve">              Total Exposure after Set-Off</t>
  </si>
  <si>
    <t xml:space="preserve">     Total Master Set-Off Benefit</t>
  </si>
  <si>
    <t>Power Swap - One day only</t>
  </si>
  <si>
    <t>Credit Agg Tie</t>
  </si>
  <si>
    <t>Potential Margin</t>
  </si>
  <si>
    <t>Estimates of Portland General Exposure relating to an annuity stream due for the termination of power sales agreement 3 years ago.</t>
  </si>
  <si>
    <t>April</t>
  </si>
  <si>
    <t xml:space="preserve"> Cash</t>
  </si>
  <si>
    <t>DOUBLE CHECK NETTING CALC.</t>
  </si>
  <si>
    <t>Threshold Plus Collateral</t>
  </si>
  <si>
    <t>Net Amts Paid @ 03/15/01</t>
  </si>
  <si>
    <t>ECC</t>
  </si>
  <si>
    <t>EPMI / EEMC+EES</t>
  </si>
  <si>
    <t>FMTM</t>
  </si>
  <si>
    <t>PMTM</t>
  </si>
  <si>
    <t>Net Receivables</t>
  </si>
  <si>
    <t>Total Exposure</t>
  </si>
  <si>
    <t>HPL</t>
  </si>
  <si>
    <t xml:space="preserve">           Total Exposure after Set-Off</t>
  </si>
  <si>
    <t xml:space="preserve">           Total PG&amp;E NEG Net Position</t>
  </si>
  <si>
    <t>Enron Coal sleeves for ECT Resources under one coal contract.</t>
  </si>
  <si>
    <t>Nov 2000</t>
  </si>
  <si>
    <t>Dec 2000</t>
  </si>
  <si>
    <t>Dec 2000 (Real Time Mkt)</t>
  </si>
  <si>
    <t>Dec 2000 (Blk FW Mkt)</t>
  </si>
  <si>
    <t>Dec 2000 (Core Mkt Default Share - SCE)</t>
  </si>
  <si>
    <t>Nov 2000 (Real Time)</t>
  </si>
  <si>
    <t>January 2001 (Core Mkt)</t>
  </si>
  <si>
    <t>Jan 2001 (Core Mkt)</t>
  </si>
  <si>
    <t>Jan 2001 (Real Time Mkt)</t>
  </si>
  <si>
    <t>Feb 2001</t>
  </si>
  <si>
    <t>Jan 2001</t>
  </si>
  <si>
    <t>*</t>
  </si>
  <si>
    <t>Px Credit due to EEMC, part of which was transferred to EPMI balance sheet.  Physical MTM of $328.5mm was released due to putting customers back to utility.</t>
  </si>
  <si>
    <t>Px Credit due to EES, part of which was transferred to EPMI balance sheet.  Physical MTM of $277.6mm was released due to putting customers back to utility.</t>
  </si>
  <si>
    <t>Jan 2001 (Block FW Mkt)</t>
  </si>
  <si>
    <t>Trading Check Figures</t>
  </si>
  <si>
    <t>Mark to Market as of 04/18/01; estimates on accrued A/R as of 04/10/01.</t>
  </si>
  <si>
    <t>Exposure if any is due to financially settled swaps.</t>
  </si>
  <si>
    <t xml:space="preserve">Physical MTM has been reduce by $404.8mm due to assigment to other CPs. </t>
  </si>
  <si>
    <t>Physical MTM has been reduce by $404.8mm due to assigment to other CPs.</t>
  </si>
  <si>
    <t xml:space="preserve">                     Less Cash Collateral</t>
  </si>
  <si>
    <t xml:space="preserve">                     Less Pipeline Capacity Collateral</t>
  </si>
  <si>
    <t>May</t>
  </si>
  <si>
    <t>a</t>
  </si>
  <si>
    <t>b</t>
  </si>
  <si>
    <t>Feb 2001 (estimate)</t>
  </si>
  <si>
    <t>c</t>
  </si>
  <si>
    <t>d</t>
  </si>
  <si>
    <t>e</t>
  </si>
  <si>
    <t>f</t>
  </si>
  <si>
    <t>g</t>
  </si>
  <si>
    <t>Jan 2001 (Admin Fees for Core &amp; Blk FW Mkt)</t>
  </si>
  <si>
    <t>h</t>
  </si>
  <si>
    <t>Feb 2001 (Real Time)</t>
  </si>
  <si>
    <t>Oct 2000 (Real Time)</t>
  </si>
  <si>
    <t>Dec 2000 (Core)</t>
  </si>
  <si>
    <t>January 2001 (Real Time)</t>
  </si>
  <si>
    <t>February 2001 (Core Mkt)</t>
  </si>
  <si>
    <t>NOTES:</t>
  </si>
  <si>
    <t>a- As of 5/9/01, CAPX does not have available to the industry details to the actual percentages repesenting the CAPX default to the CAISO for Nov 2000 real time.  CAPX estimated only that 80% of the CAPX default is attributed to PG&amp;E.</t>
  </si>
  <si>
    <t>b- EPMI had paid in full the Dec, Jan, and Feb invoices due CAISO for real-time transmission and grid management charges to ensure EPMI compliance as a Scheduling Coordinator</t>
  </si>
  <si>
    <t>c- EPMI had CAPX net the Prelim and Final invoices of $864,091.23 and $15,297.24, respectively, from EPMI's cash collateral held by CAPX in escrow.</t>
  </si>
  <si>
    <t>d- all net sales due attributed to DEFAULT OF SOUTHERN CALIFORNIA EDISON COMPANY; FERC ordered reversal of previous chargebacks/shortpayments.</t>
  </si>
  <si>
    <t>e- EPMI had paid $32,648,116 in full to CAPX for the Dec Block Forward Market</t>
  </si>
  <si>
    <t>f- EPMI had CAPX net the Prelim and Final invoices of $64,547.04 and $2,255.74, respectively, from EPMI's cash collateral held by CAPX in escrow.</t>
  </si>
  <si>
    <t>g- not yet billed by CAPX</t>
  </si>
  <si>
    <t>h- EPMI paid CAPX admin fees for the Core and Block Forward Markets of $55,007.32 and $1,232.00, respectively, by having CAPX net the fees against EPMI's cash collateral held by CAPX in escrow.</t>
  </si>
  <si>
    <t xml:space="preserve">     Total National Energy Group Exposure</t>
  </si>
  <si>
    <t xml:space="preserve">     Total Trading Exposure after Collateral and Set-Off</t>
  </si>
  <si>
    <t xml:space="preserve">     Total Regulated Utility Exposure</t>
  </si>
  <si>
    <t xml:space="preserve">           Total Relationship Exposure after Collateral and Set-Off</t>
  </si>
  <si>
    <t xml:space="preserve">           Total Trading Exposure after Set-Off</t>
  </si>
  <si>
    <t>PRE-PETITION</t>
  </si>
  <si>
    <t>POST-PETITION</t>
  </si>
  <si>
    <t>Numbers to be confirmed</t>
  </si>
  <si>
    <t>Park/Lend Gas</t>
  </si>
  <si>
    <t>Estimated</t>
  </si>
  <si>
    <t>includes master set-off within trading entities and collateral held to date.</t>
  </si>
  <si>
    <t>a -</t>
  </si>
  <si>
    <t>Actual EES Exposure to PG&amp;E Energy Trading - Power LP and PG&amp;E Energy Trading Gas Corp set off through master set-off agreement.</t>
  </si>
  <si>
    <t>$1.5mm due PG&amp;E - Paid</t>
  </si>
  <si>
    <t>Enron MW LLC</t>
  </si>
  <si>
    <t>As of COB 05/29/01</t>
  </si>
  <si>
    <t>June</t>
  </si>
  <si>
    <t>Px Credit due to EES, part of which was transferred to EPMI balance sheet.  Forward Physical MTM of $(30.9)mm was released due to putting customers back to utility.</t>
  </si>
  <si>
    <t>Px Credit due to EEMC, part of which was transferred to EPMI balance sheet.  Forward Physical MTM of $0.0mm was released due to putting customers back to utility.</t>
  </si>
  <si>
    <t xml:space="preserve">Please note that $125,071,296 of the power receivables that EPMI has with Southern California Edison Company is related to EES receivables that was 'transferred' over to EPMI which are trued up on a quarterly basis to EES/EEMC books.
</t>
  </si>
  <si>
    <t>Px Credit due to EES which is to be transferred to EPMI's balance sheet. See EPMI net settlement exposure above Forward Physical MTM of $(8.8)mm was released due to putting customers back to utility effective March 13.</t>
  </si>
  <si>
    <t>Px Credit due to EEMC which is to be transferred to EPMI's balance sheet.  See EPMI net settlement exposure above.  Forward Physical MTM of $(9.8)mm was released due to putting customers back to utility effective March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</si>
</sst>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164" formatCode="dd\-mmm\-yy"/>
    <numFmt numFmtId="165" formatCode="mm/dd/yy"/>
  </numFmts>
  <fonts count="18" x14ac:knownFonts="1">
    <font>
      <sz val="10"/>
      <name val="Arial"/>
    </font>
    <font>
      <sz val="10"/>
      <name val="Arial"/>
    </font>
    <font>
      <b/>
      <sz val="10"/>
      <name val="Arial"/>
      <family val="2"/>
    </font>
    <font>
      <b/>
      <u/>
      <sz val="12"/>
      <name val="Arial"/>
      <family val="2"/>
    </font>
    <font>
      <b/>
      <sz val="12"/>
      <name val="Arial"/>
      <family val="2"/>
    </font>
    <font>
      <b/>
      <sz val="14"/>
      <name val="Arial"/>
      <family val="2"/>
    </font>
    <font>
      <b/>
      <sz val="16"/>
      <name val="Arial"/>
      <family val="2"/>
    </font>
    <font>
      <sz val="12"/>
      <name val="Arial"/>
      <family val="2"/>
    </font>
    <font>
      <sz val="12"/>
      <color indexed="10"/>
      <name val="Arial"/>
      <family val="2"/>
    </font>
    <font>
      <b/>
      <sz val="12"/>
      <color indexed="10"/>
      <name val="Arial"/>
      <family val="2"/>
    </font>
    <font>
      <b/>
      <sz val="12"/>
      <color indexed="48"/>
      <name val="Arial"/>
      <family val="2"/>
    </font>
    <font>
      <sz val="14"/>
      <name val="Arial"/>
      <family val="2"/>
    </font>
    <font>
      <sz val="8"/>
      <color indexed="81"/>
      <name val="Tahoma"/>
    </font>
    <font>
      <b/>
      <sz val="8"/>
      <color indexed="81"/>
      <name val="Tahoma"/>
    </font>
    <font>
      <b/>
      <sz val="24"/>
      <name val="Arial"/>
      <family val="2"/>
    </font>
    <font>
      <b/>
      <i/>
      <sz val="18"/>
      <name val="Arial"/>
      <family val="2"/>
    </font>
    <font>
      <sz val="10"/>
      <name val="Arial"/>
      <family val="2"/>
    </font>
    <font>
      <b/>
      <i/>
      <sz val="12"/>
      <name val="Arial"/>
      <family val="2"/>
    </font>
  </fonts>
  <fills count="13">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41"/>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
      <patternFill patternType="gray0625">
        <bgColor indexed="41"/>
      </patternFill>
    </fill>
    <fill>
      <patternFill patternType="gray0625">
        <bgColor indexed="27"/>
      </patternFill>
    </fill>
    <fill>
      <patternFill patternType="gray0625">
        <bgColor indexed="11"/>
      </patternFill>
    </fill>
    <fill>
      <patternFill patternType="solid">
        <fgColor indexed="42"/>
        <bgColor indexed="64"/>
      </patternFill>
    </fill>
    <fill>
      <patternFill patternType="gray0625">
        <bgColor indexed="26"/>
      </patternFill>
    </fill>
  </fills>
  <borders count="17">
    <border>
      <left/>
      <right/>
      <top/>
      <bottom/>
      <diagonal/>
    </border>
    <border>
      <left/>
      <right/>
      <top style="double">
        <color indexed="64"/>
      </top>
      <bottom style="double">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right/>
      <top style="thin">
        <color indexed="64"/>
      </top>
      <bottom style="double">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537">
    <xf numFmtId="0" fontId="0" fillId="0" borderId="0" xfId="0"/>
    <xf numFmtId="0" fontId="2" fillId="0" borderId="0" xfId="0" applyFont="1"/>
    <xf numFmtId="0" fontId="2" fillId="0" borderId="0" xfId="0" applyFont="1" applyProtection="1">
      <protection locked="0"/>
    </xf>
    <xf numFmtId="6" fontId="2" fillId="0" borderId="0" xfId="0" applyNumberFormat="1" applyFont="1" applyAlignment="1">
      <alignment horizontal="center"/>
    </xf>
    <xf numFmtId="0" fontId="2" fillId="0" borderId="0" xfId="0" applyFont="1" applyAlignment="1">
      <alignment horizontal="right"/>
    </xf>
    <xf numFmtId="0" fontId="0" fillId="2" borderId="0" xfId="0" applyFill="1"/>
    <xf numFmtId="0" fontId="3" fillId="0" borderId="0" xfId="0" applyFont="1" applyAlignment="1">
      <alignment horizontal="right"/>
    </xf>
    <xf numFmtId="6" fontId="4" fillId="3" borderId="0" xfId="0" applyNumberFormat="1" applyFont="1" applyFill="1" applyAlignment="1">
      <alignment horizontal="right"/>
    </xf>
    <xf numFmtId="6" fontId="4" fillId="3" borderId="1" xfId="0" applyNumberFormat="1" applyFont="1" applyFill="1" applyBorder="1" applyAlignment="1">
      <alignment horizontal="right"/>
    </xf>
    <xf numFmtId="6" fontId="4" fillId="3" borderId="0" xfId="0" applyNumberFormat="1" applyFont="1" applyFill="1" applyAlignment="1">
      <alignment horizontal="center"/>
    </xf>
    <xf numFmtId="6" fontId="4" fillId="0" borderId="0" xfId="0" applyNumberFormat="1" applyFont="1"/>
    <xf numFmtId="164" fontId="3" fillId="3" borderId="0" xfId="0" applyNumberFormat="1" applyFont="1" applyFill="1" applyAlignment="1">
      <alignment horizontal="right"/>
    </xf>
    <xf numFmtId="6" fontId="4" fillId="3" borderId="0" xfId="0" applyNumberFormat="1" applyFont="1" applyFill="1"/>
    <xf numFmtId="6" fontId="3" fillId="3" borderId="0" xfId="0" applyNumberFormat="1" applyFont="1" applyFill="1" applyAlignment="1">
      <alignment horizontal="right"/>
    </xf>
    <xf numFmtId="6" fontId="4" fillId="3" borderId="0" xfId="0" applyNumberFormat="1" applyFont="1" applyFill="1" applyBorder="1" applyAlignment="1">
      <alignment horizontal="right"/>
    </xf>
    <xf numFmtId="14" fontId="5" fillId="0" borderId="0" xfId="0" applyNumberFormat="1" applyFont="1" applyAlignment="1">
      <alignment horizontal="left"/>
    </xf>
    <xf numFmtId="0" fontId="5" fillId="0" borderId="0" xfId="0" applyFont="1" applyAlignment="1">
      <alignment horizontal="right"/>
    </xf>
    <xf numFmtId="0" fontId="6" fillId="0" borderId="0" xfId="0" applyFont="1"/>
    <xf numFmtId="0" fontId="4" fillId="0" borderId="0" xfId="0" applyFont="1" applyAlignment="1" applyProtection="1">
      <alignment horizontal="right"/>
      <protection locked="0"/>
    </xf>
    <xf numFmtId="0" fontId="4" fillId="0" borderId="0" xfId="0" applyFont="1" applyAlignment="1">
      <alignment horizontal="right"/>
    </xf>
    <xf numFmtId="0" fontId="4" fillId="0" borderId="0" xfId="0" applyFont="1" applyAlignment="1" applyProtection="1">
      <alignment horizontal="left"/>
      <protection locked="0"/>
    </xf>
    <xf numFmtId="0" fontId="7" fillId="0" borderId="0" xfId="0" applyFont="1" applyProtection="1">
      <protection locked="0"/>
    </xf>
    <xf numFmtId="0" fontId="7" fillId="0" borderId="0" xfId="0" applyFont="1"/>
    <xf numFmtId="6" fontId="7" fillId="2" borderId="0" xfId="0" applyNumberFormat="1" applyFont="1" applyFill="1"/>
    <xf numFmtId="0" fontId="7" fillId="2" borderId="0" xfId="0" applyFont="1" applyFill="1"/>
    <xf numFmtId="6" fontId="7" fillId="2" borderId="2" xfId="0" applyNumberFormat="1" applyFont="1" applyFill="1" applyBorder="1" applyAlignment="1">
      <alignment vertical="top"/>
    </xf>
    <xf numFmtId="6" fontId="7" fillId="2" borderId="3" xfId="0" applyNumberFormat="1" applyFont="1" applyFill="1" applyBorder="1" applyAlignment="1">
      <alignment vertical="top" wrapText="1"/>
    </xf>
    <xf numFmtId="6" fontId="7" fillId="0" borderId="0" xfId="0" applyNumberFormat="1" applyFont="1"/>
    <xf numFmtId="0" fontId="7" fillId="4" borderId="0" xfId="0" applyFont="1" applyFill="1" applyProtection="1">
      <protection locked="0"/>
    </xf>
    <xf numFmtId="6" fontId="7" fillId="4" borderId="0" xfId="0" applyNumberFormat="1" applyFont="1" applyFill="1"/>
    <xf numFmtId="0" fontId="4" fillId="0" borderId="0" xfId="0" applyFont="1" applyProtection="1">
      <protection locked="0"/>
    </xf>
    <xf numFmtId="6" fontId="7" fillId="0" borderId="0" xfId="0" applyNumberFormat="1" applyFont="1" applyAlignment="1" applyProtection="1">
      <alignment vertical="top"/>
      <protection locked="0"/>
    </xf>
    <xf numFmtId="6" fontId="4" fillId="0" borderId="1" xfId="0" applyNumberFormat="1" applyFont="1" applyBorder="1" applyAlignment="1">
      <alignment horizontal="center" wrapText="1"/>
    </xf>
    <xf numFmtId="6" fontId="7" fillId="0" borderId="0" xfId="0" applyNumberFormat="1" applyFont="1" applyAlignment="1">
      <alignment horizontal="center"/>
    </xf>
    <xf numFmtId="0" fontId="4" fillId="0" borderId="0" xfId="0" applyFont="1"/>
    <xf numFmtId="6" fontId="4" fillId="0" borderId="0" xfId="0" applyNumberFormat="1" applyFont="1" applyAlignment="1">
      <alignment horizontal="center"/>
    </xf>
    <xf numFmtId="0" fontId="10" fillId="0" borderId="0" xfId="0" applyFont="1" applyProtection="1">
      <protection locked="0"/>
    </xf>
    <xf numFmtId="6" fontId="7" fillId="0" borderId="3" xfId="0" applyNumberFormat="1" applyFont="1" applyBorder="1"/>
    <xf numFmtId="6" fontId="4" fillId="0" borderId="0" xfId="0" applyNumberFormat="1" applyFont="1" applyBorder="1"/>
    <xf numFmtId="6" fontId="4" fillId="2" borderId="0" xfId="0" applyNumberFormat="1" applyFont="1" applyFill="1" applyAlignment="1">
      <alignment horizontal="center" vertical="top"/>
    </xf>
    <xf numFmtId="0" fontId="4" fillId="2" borderId="0" xfId="0" applyFont="1" applyFill="1" applyAlignment="1">
      <alignment horizontal="right" vertical="top"/>
    </xf>
    <xf numFmtId="6" fontId="4" fillId="2" borderId="3" xfId="0" applyNumberFormat="1" applyFont="1" applyFill="1" applyBorder="1" applyAlignment="1">
      <alignment horizontal="center" vertical="top" wrapText="1"/>
    </xf>
    <xf numFmtId="38" fontId="4" fillId="0" borderId="0" xfId="0" applyNumberFormat="1" applyFont="1"/>
    <xf numFmtId="6" fontId="4" fillId="0" borderId="0" xfId="0" applyNumberFormat="1" applyFont="1" applyBorder="1" applyAlignment="1">
      <alignment horizontal="center" vertical="top" wrapText="1"/>
    </xf>
    <xf numFmtId="6" fontId="4" fillId="0" borderId="0" xfId="0" applyNumberFormat="1" applyFont="1" applyAlignment="1">
      <alignment horizontal="center" vertical="top"/>
    </xf>
    <xf numFmtId="0" fontId="4" fillId="0" borderId="0" xfId="0" applyFont="1" applyAlignment="1">
      <alignment horizontal="right" vertical="top"/>
    </xf>
    <xf numFmtId="38" fontId="7" fillId="0" borderId="0" xfId="0" applyNumberFormat="1" applyFont="1"/>
    <xf numFmtId="0" fontId="7" fillId="4" borderId="0" xfId="0" applyFont="1" applyFill="1"/>
    <xf numFmtId="6" fontId="7" fillId="0" borderId="0" xfId="0" applyNumberFormat="1" applyFont="1" applyAlignment="1">
      <alignment horizontal="center" wrapText="1"/>
    </xf>
    <xf numFmtId="6" fontId="4" fillId="0" borderId="4" xfId="0" applyNumberFormat="1" applyFont="1" applyBorder="1" applyProtection="1">
      <protection locked="0"/>
    </xf>
    <xf numFmtId="6" fontId="4" fillId="0" borderId="0" xfId="0" applyNumberFormat="1" applyFont="1" applyBorder="1" applyProtection="1">
      <protection locked="0"/>
    </xf>
    <xf numFmtId="0" fontId="4" fillId="0" borderId="3" xfId="0" applyFont="1" applyBorder="1"/>
    <xf numFmtId="6" fontId="4" fillId="0" borderId="0" xfId="0" applyNumberFormat="1" applyFont="1" applyAlignment="1">
      <alignment horizontal="right"/>
    </xf>
    <xf numFmtId="164" fontId="4" fillId="0" borderId="0" xfId="0" applyNumberFormat="1" applyFont="1" applyAlignment="1">
      <alignment horizontal="center"/>
    </xf>
    <xf numFmtId="6" fontId="3" fillId="0" borderId="0" xfId="0" applyNumberFormat="1" applyFont="1" applyAlignment="1">
      <alignment horizontal="center"/>
    </xf>
    <xf numFmtId="164" fontId="3" fillId="0" borderId="0" xfId="0" applyNumberFormat="1" applyFont="1" applyAlignment="1">
      <alignment horizontal="right"/>
    </xf>
    <xf numFmtId="49" fontId="7" fillId="0" borderId="0" xfId="0" applyNumberFormat="1" applyFont="1" applyAlignment="1">
      <alignment horizontal="center"/>
    </xf>
    <xf numFmtId="6" fontId="7" fillId="0" borderId="0" xfId="1" applyNumberFormat="1" applyFont="1"/>
    <xf numFmtId="6" fontId="7" fillId="0" borderId="0" xfId="1" applyNumberFormat="1" applyFont="1" applyAlignment="1">
      <alignment horizontal="right"/>
    </xf>
    <xf numFmtId="164" fontId="4" fillId="0" borderId="0" xfId="0" applyNumberFormat="1" applyFont="1" applyFill="1"/>
    <xf numFmtId="164" fontId="4" fillId="0" borderId="0" xfId="0" applyNumberFormat="1" applyFont="1"/>
    <xf numFmtId="49" fontId="7" fillId="0" borderId="0" xfId="0" applyNumberFormat="1" applyFont="1" applyAlignment="1">
      <alignment horizontal="center" wrapText="1"/>
    </xf>
    <xf numFmtId="38" fontId="7" fillId="0" borderId="0" xfId="0" applyNumberFormat="1" applyFont="1" applyBorder="1" applyAlignment="1">
      <alignment horizontal="center"/>
    </xf>
    <xf numFmtId="6" fontId="7" fillId="0" borderId="3" xfId="1" applyNumberFormat="1" applyFont="1" applyBorder="1" applyAlignment="1">
      <alignment horizontal="right"/>
    </xf>
    <xf numFmtId="6" fontId="7" fillId="0" borderId="3" xfId="1" applyNumberFormat="1" applyFont="1" applyBorder="1"/>
    <xf numFmtId="0" fontId="7" fillId="0" borderId="3" xfId="0" applyFont="1" applyBorder="1"/>
    <xf numFmtId="38" fontId="7" fillId="0" borderId="3" xfId="0" applyNumberFormat="1" applyFont="1" applyBorder="1"/>
    <xf numFmtId="6" fontId="4" fillId="0" borderId="0" xfId="0" applyNumberFormat="1" applyFont="1" applyBorder="1" applyAlignment="1">
      <alignment horizontal="center"/>
    </xf>
    <xf numFmtId="38" fontId="7" fillId="0" borderId="0" xfId="0" applyNumberFormat="1" applyFont="1" applyAlignment="1">
      <alignment horizontal="center"/>
    </xf>
    <xf numFmtId="38" fontId="4" fillId="0" borderId="0" xfId="0" applyNumberFormat="1" applyFont="1" applyAlignment="1" applyProtection="1">
      <alignment horizontal="right"/>
      <protection locked="0"/>
    </xf>
    <xf numFmtId="38" fontId="4" fillId="0" borderId="0" xfId="0" applyNumberFormat="1" applyFont="1" applyAlignment="1" applyProtection="1">
      <alignment horizontal="center"/>
      <protection locked="0"/>
    </xf>
    <xf numFmtId="6" fontId="3" fillId="0" borderId="0" xfId="0" applyNumberFormat="1" applyFont="1" applyAlignment="1">
      <alignment horizontal="center" wrapText="1"/>
    </xf>
    <xf numFmtId="0" fontId="3" fillId="0" borderId="0" xfId="0" applyFont="1" applyAlignment="1">
      <alignment horizontal="right" wrapText="1"/>
    </xf>
    <xf numFmtId="164" fontId="7" fillId="0" borderId="0" xfId="0" applyNumberFormat="1" applyFont="1"/>
    <xf numFmtId="38" fontId="7" fillId="0" borderId="0" xfId="0" applyNumberFormat="1" applyFont="1" applyAlignment="1">
      <alignment horizontal="center" wrapText="1"/>
    </xf>
    <xf numFmtId="164" fontId="7" fillId="0" borderId="0" xfId="0" applyNumberFormat="1" applyFont="1" applyAlignment="1">
      <alignment horizontal="center"/>
    </xf>
    <xf numFmtId="6" fontId="7" fillId="0" borderId="3" xfId="0" applyNumberFormat="1" applyFont="1" applyBorder="1" applyAlignment="1">
      <alignment horizontal="center"/>
    </xf>
    <xf numFmtId="165" fontId="7" fillId="0" borderId="0" xfId="0" applyNumberFormat="1" applyFont="1" applyAlignment="1">
      <alignment horizontal="center"/>
    </xf>
    <xf numFmtId="6" fontId="7" fillId="0" borderId="0" xfId="0" applyNumberFormat="1" applyFont="1" applyAlignment="1">
      <alignment horizontal="right"/>
    </xf>
    <xf numFmtId="165" fontId="4" fillId="0" borderId="0" xfId="0" applyNumberFormat="1" applyFont="1" applyBorder="1" applyAlignment="1">
      <alignment horizontal="center"/>
    </xf>
    <xf numFmtId="49" fontId="4" fillId="0" borderId="0" xfId="0" applyNumberFormat="1" applyFont="1" applyAlignment="1">
      <alignment horizontal="center"/>
    </xf>
    <xf numFmtId="6" fontId="4" fillId="0" borderId="0" xfId="1" applyNumberFormat="1" applyFont="1" applyAlignment="1">
      <alignment horizontal="right"/>
    </xf>
    <xf numFmtId="165" fontId="7" fillId="0" borderId="0" xfId="0" applyNumberFormat="1" applyFont="1"/>
    <xf numFmtId="6" fontId="7" fillId="3" borderId="0" xfId="0" applyNumberFormat="1" applyFont="1" applyFill="1" applyAlignment="1">
      <alignment horizontal="center"/>
    </xf>
    <xf numFmtId="6" fontId="4" fillId="2" borderId="0" xfId="0" applyNumberFormat="1" applyFont="1" applyFill="1" applyBorder="1" applyAlignment="1">
      <alignment vertical="top"/>
    </xf>
    <xf numFmtId="6" fontId="4" fillId="2" borderId="0" xfId="0" applyNumberFormat="1" applyFont="1" applyFill="1" applyBorder="1" applyAlignment="1">
      <alignment vertical="top" wrapText="1"/>
    </xf>
    <xf numFmtId="6" fontId="7" fillId="0" borderId="0" xfId="0" applyNumberFormat="1" applyFont="1" applyBorder="1"/>
    <xf numFmtId="0" fontId="7" fillId="0" borderId="0" xfId="0" applyFont="1" applyAlignment="1">
      <alignment vertical="top"/>
    </xf>
    <xf numFmtId="6" fontId="4" fillId="0" borderId="0" xfId="0" applyNumberFormat="1" applyFont="1" applyFill="1" applyAlignment="1">
      <alignment vertical="top"/>
    </xf>
    <xf numFmtId="6" fontId="7" fillId="0" borderId="0" xfId="0" applyNumberFormat="1" applyFont="1" applyFill="1"/>
    <xf numFmtId="6" fontId="0" fillId="0" borderId="0" xfId="0" applyNumberFormat="1" applyFill="1"/>
    <xf numFmtId="0" fontId="0" fillId="0" borderId="0" xfId="0" applyFill="1"/>
    <xf numFmtId="0" fontId="7" fillId="0" borderId="0" xfId="0" applyFont="1" applyFill="1"/>
    <xf numFmtId="6" fontId="7" fillId="0" borderId="0" xfId="0" applyNumberFormat="1" applyFont="1" applyFill="1" applyProtection="1">
      <protection locked="0"/>
    </xf>
    <xf numFmtId="6" fontId="7" fillId="0" borderId="0" xfId="0" applyNumberFormat="1" applyFont="1" applyFill="1" applyBorder="1" applyProtection="1">
      <protection locked="0"/>
    </xf>
    <xf numFmtId="0" fontId="4" fillId="0" borderId="0" xfId="0" applyFont="1" applyFill="1" applyProtection="1">
      <protection locked="0"/>
    </xf>
    <xf numFmtId="6" fontId="4" fillId="0" borderId="0" xfId="0" applyNumberFormat="1" applyFont="1" applyFill="1" applyProtection="1">
      <protection locked="0"/>
    </xf>
    <xf numFmtId="6" fontId="4" fillId="0" borderId="0" xfId="0" applyNumberFormat="1" applyFont="1" applyFill="1"/>
    <xf numFmtId="0" fontId="7" fillId="0" borderId="0" xfId="0" applyFont="1" applyFill="1" applyProtection="1">
      <protection locked="0"/>
    </xf>
    <xf numFmtId="6" fontId="7" fillId="0" borderId="2" xfId="0" applyNumberFormat="1" applyFont="1" applyFill="1" applyBorder="1" applyProtection="1">
      <protection locked="0"/>
    </xf>
    <xf numFmtId="6" fontId="7" fillId="0" borderId="0" xfId="0" applyNumberFormat="1" applyFont="1" applyFill="1" applyAlignment="1">
      <alignment vertical="top"/>
    </xf>
    <xf numFmtId="6" fontId="0" fillId="0" borderId="0" xfId="0" applyNumberFormat="1" applyFill="1" applyAlignment="1">
      <alignment vertical="top"/>
    </xf>
    <xf numFmtId="0" fontId="0" fillId="0" borderId="0" xfId="0" applyFill="1" applyAlignment="1">
      <alignment vertical="top"/>
    </xf>
    <xf numFmtId="0" fontId="4" fillId="0" borderId="0" xfId="0" applyFont="1" applyFill="1" applyAlignment="1" applyProtection="1">
      <alignment vertical="top"/>
      <protection locked="0"/>
    </xf>
    <xf numFmtId="6" fontId="4" fillId="0" borderId="0" xfId="0" applyNumberFormat="1" applyFont="1" applyFill="1" applyAlignment="1" applyProtection="1">
      <alignment vertical="top"/>
      <protection locked="0"/>
    </xf>
    <xf numFmtId="6" fontId="4" fillId="0" borderId="0" xfId="0" applyNumberFormat="1" applyFont="1" applyFill="1" applyAlignment="1" applyProtection="1">
      <alignment horizontal="right"/>
      <protection locked="0"/>
    </xf>
    <xf numFmtId="49" fontId="7" fillId="0" borderId="0" xfId="0" applyNumberFormat="1" applyFont="1" applyFill="1" applyAlignment="1">
      <alignment horizontal="center"/>
    </xf>
    <xf numFmtId="38" fontId="7" fillId="0" borderId="0" xfId="0" applyNumberFormat="1" applyFont="1" applyFill="1"/>
    <xf numFmtId="6" fontId="7" fillId="0" borderId="0" xfId="1" applyNumberFormat="1" applyFont="1" applyFill="1"/>
    <xf numFmtId="6" fontId="7" fillId="0" borderId="0" xfId="1" applyNumberFormat="1" applyFont="1" applyFill="1" applyAlignment="1">
      <alignment horizontal="right"/>
    </xf>
    <xf numFmtId="49" fontId="7" fillId="0" borderId="0" xfId="0" applyNumberFormat="1" applyFont="1" applyFill="1" applyAlignment="1">
      <alignment horizontal="center" wrapText="1"/>
    </xf>
    <xf numFmtId="38" fontId="7" fillId="0" borderId="0" xfId="0" applyNumberFormat="1" applyFont="1" applyFill="1" applyAlignment="1">
      <alignment horizontal="center"/>
    </xf>
    <xf numFmtId="38" fontId="7" fillId="0" borderId="0" xfId="0" applyNumberFormat="1" applyFont="1" applyFill="1" applyAlignment="1">
      <alignment horizontal="center" wrapText="1"/>
    </xf>
    <xf numFmtId="0" fontId="7" fillId="0" borderId="0" xfId="0" applyFont="1" applyFill="1" applyAlignment="1">
      <alignment horizontal="center"/>
    </xf>
    <xf numFmtId="0" fontId="7" fillId="0" borderId="0" xfId="0" applyFont="1" applyFill="1" applyAlignment="1" applyProtection="1">
      <alignment vertical="top"/>
      <protection locked="0"/>
    </xf>
    <xf numFmtId="6" fontId="7" fillId="0" borderId="0" xfId="0" applyNumberFormat="1" applyFont="1" applyFill="1" applyAlignment="1" applyProtection="1">
      <alignment vertical="top"/>
      <protection locked="0"/>
    </xf>
    <xf numFmtId="6" fontId="7" fillId="0" borderId="0" xfId="0" applyNumberFormat="1" applyFont="1" applyFill="1" applyBorder="1" applyAlignment="1">
      <alignment vertical="top"/>
    </xf>
    <xf numFmtId="6" fontId="4" fillId="0" borderId="0" xfId="0" applyNumberFormat="1" applyFont="1" applyFill="1" applyAlignment="1" applyProtection="1">
      <alignment horizontal="right" vertical="top"/>
      <protection locked="0"/>
    </xf>
    <xf numFmtId="0" fontId="7" fillId="0" borderId="0" xfId="0" applyFont="1" applyFill="1" applyAlignment="1">
      <alignment vertical="top"/>
    </xf>
    <xf numFmtId="17" fontId="7" fillId="0" borderId="0" xfId="0" quotePrefix="1" applyNumberFormat="1" applyFont="1" applyFill="1" applyAlignment="1">
      <alignment horizontal="center"/>
    </xf>
    <xf numFmtId="6" fontId="7" fillId="0" borderId="0" xfId="0" applyNumberFormat="1" applyFont="1" applyFill="1" applyAlignment="1">
      <alignment horizontal="center" wrapText="1"/>
    </xf>
    <xf numFmtId="0" fontId="4" fillId="0" borderId="0" xfId="0" applyFont="1" applyFill="1"/>
    <xf numFmtId="6" fontId="4" fillId="0" borderId="0" xfId="0" applyNumberFormat="1" applyFont="1" applyFill="1" applyBorder="1" applyProtection="1">
      <protection locked="0"/>
    </xf>
    <xf numFmtId="6" fontId="4" fillId="0" borderId="2" xfId="0" applyNumberFormat="1" applyFont="1" applyFill="1" applyBorder="1" applyProtection="1">
      <protection locked="0"/>
    </xf>
    <xf numFmtId="6" fontId="2" fillId="0" borderId="0" xfId="0" applyNumberFormat="1" applyFont="1" applyFill="1"/>
    <xf numFmtId="0" fontId="2" fillId="0" borderId="0" xfId="0" applyFont="1" applyFill="1"/>
    <xf numFmtId="6" fontId="4" fillId="0" borderId="3" xfId="0" applyNumberFormat="1" applyFont="1" applyFill="1" applyBorder="1"/>
    <xf numFmtId="0" fontId="5" fillId="0" borderId="0" xfId="0" applyFont="1"/>
    <xf numFmtId="0" fontId="11" fillId="0" borderId="0" xfId="0" applyFont="1"/>
    <xf numFmtId="0" fontId="7" fillId="0" borderId="0" xfId="0" applyFont="1" applyFill="1" applyBorder="1"/>
    <xf numFmtId="6" fontId="7" fillId="5" borderId="0" xfId="0" applyNumberFormat="1" applyFont="1" applyFill="1"/>
    <xf numFmtId="0" fontId="7" fillId="5" borderId="0" xfId="0" applyFont="1" applyFill="1"/>
    <xf numFmtId="0" fontId="4" fillId="6" borderId="0" xfId="0" applyFont="1" applyFill="1" applyAlignment="1">
      <alignment vertical="top"/>
    </xf>
    <xf numFmtId="6" fontId="4" fillId="6" borderId="0" xfId="0" applyNumberFormat="1" applyFont="1" applyFill="1" applyAlignment="1">
      <alignment vertical="top"/>
    </xf>
    <xf numFmtId="6" fontId="7" fillId="6" borderId="0" xfId="0" applyNumberFormat="1" applyFont="1" applyFill="1"/>
    <xf numFmtId="6" fontId="0" fillId="6" borderId="0" xfId="0" applyNumberFormat="1" applyFill="1"/>
    <xf numFmtId="0" fontId="0" fillId="6" borderId="0" xfId="0" applyFill="1"/>
    <xf numFmtId="0" fontId="7" fillId="6" borderId="0" xfId="0" applyFont="1" applyFill="1"/>
    <xf numFmtId="6" fontId="7" fillId="6" borderId="0" xfId="0" applyNumberFormat="1" applyFont="1" applyFill="1" applyProtection="1">
      <protection locked="0"/>
    </xf>
    <xf numFmtId="6" fontId="7" fillId="6" borderId="2" xfId="0" applyNumberFormat="1" applyFont="1" applyFill="1" applyBorder="1" applyProtection="1">
      <protection locked="0"/>
    </xf>
    <xf numFmtId="6" fontId="4" fillId="0" borderId="5" xfId="0" applyNumberFormat="1" applyFont="1" applyFill="1" applyBorder="1"/>
    <xf numFmtId="0" fontId="4" fillId="4" borderId="0" xfId="0" applyFont="1" applyFill="1" applyProtection="1">
      <protection locked="0"/>
    </xf>
    <xf numFmtId="6" fontId="4" fillId="4" borderId="0" xfId="0" applyNumberFormat="1" applyFont="1" applyFill="1" applyProtection="1">
      <protection locked="0"/>
    </xf>
    <xf numFmtId="0" fontId="0" fillId="4" borderId="0" xfId="0" applyFill="1"/>
    <xf numFmtId="0" fontId="4" fillId="4" borderId="0" xfId="0" applyFont="1" applyFill="1" applyAlignment="1" applyProtection="1">
      <alignment vertical="top"/>
      <protection locked="0"/>
    </xf>
    <xf numFmtId="6" fontId="0" fillId="4" borderId="0" xfId="0" applyNumberFormat="1" applyFill="1"/>
    <xf numFmtId="0" fontId="7" fillId="4" borderId="0" xfId="0" applyFont="1" applyFill="1" applyAlignment="1" applyProtection="1">
      <alignment vertical="top"/>
      <protection locked="0"/>
    </xf>
    <xf numFmtId="6" fontId="7" fillId="4" borderId="0" xfId="0" applyNumberFormat="1" applyFont="1" applyFill="1" applyAlignment="1" applyProtection="1">
      <alignment vertical="top"/>
      <protection locked="0"/>
    </xf>
    <xf numFmtId="6" fontId="7" fillId="4" borderId="2" xfId="0" applyNumberFormat="1" applyFont="1" applyFill="1" applyBorder="1" applyAlignment="1" applyProtection="1">
      <alignment vertical="top"/>
      <protection locked="0"/>
    </xf>
    <xf numFmtId="0" fontId="7" fillId="4" borderId="0" xfId="0" applyFont="1" applyFill="1" applyAlignment="1">
      <alignment vertical="top"/>
    </xf>
    <xf numFmtId="6" fontId="7" fillId="4" borderId="0" xfId="0" applyNumberFormat="1" applyFont="1" applyFill="1" applyAlignment="1">
      <alignment vertical="top"/>
    </xf>
    <xf numFmtId="6" fontId="7" fillId="4" borderId="2" xfId="0" applyNumberFormat="1" applyFont="1" applyFill="1" applyBorder="1" applyAlignment="1">
      <alignment vertical="top"/>
    </xf>
    <xf numFmtId="0" fontId="4" fillId="4" borderId="0" xfId="0" applyFont="1" applyFill="1" applyAlignment="1">
      <alignment vertical="top"/>
    </xf>
    <xf numFmtId="6" fontId="4" fillId="4" borderId="0" xfId="0" applyNumberFormat="1" applyFont="1" applyFill="1" applyAlignment="1">
      <alignment vertical="top"/>
    </xf>
    <xf numFmtId="6" fontId="4" fillId="4" borderId="2" xfId="0" applyNumberFormat="1" applyFont="1" applyFill="1" applyBorder="1" applyAlignment="1">
      <alignment vertical="top"/>
    </xf>
    <xf numFmtId="6" fontId="7" fillId="0" borderId="0" xfId="0" applyNumberFormat="1" applyFont="1" applyBorder="1" applyProtection="1">
      <protection locked="0"/>
    </xf>
    <xf numFmtId="6" fontId="4" fillId="0" borderId="1" xfId="0" applyNumberFormat="1" applyFont="1" applyBorder="1" applyAlignment="1">
      <alignment horizontal="center"/>
    </xf>
    <xf numFmtId="0" fontId="4" fillId="2" borderId="0" xfId="0" applyFont="1" applyFill="1" applyBorder="1" applyProtection="1">
      <protection locked="0"/>
    </xf>
    <xf numFmtId="6" fontId="7" fillId="2" borderId="0" xfId="0" applyNumberFormat="1" applyFont="1" applyFill="1" applyBorder="1" applyProtection="1">
      <protection locked="0"/>
    </xf>
    <xf numFmtId="6" fontId="4" fillId="2" borderId="0" xfId="0" applyNumberFormat="1" applyFont="1" applyFill="1" applyBorder="1"/>
    <xf numFmtId="0" fontId="7" fillId="2" borderId="0" xfId="0" applyFont="1" applyFill="1" applyBorder="1" applyProtection="1">
      <protection locked="0"/>
    </xf>
    <xf numFmtId="6" fontId="7" fillId="2" borderId="0" xfId="0" applyNumberFormat="1" applyFont="1" applyFill="1" applyBorder="1"/>
    <xf numFmtId="0" fontId="4" fillId="2" borderId="0" xfId="0" applyFont="1" applyFill="1" applyBorder="1" applyAlignment="1">
      <alignment vertical="top"/>
    </xf>
    <xf numFmtId="0" fontId="7" fillId="2" borderId="0" xfId="0" applyFont="1" applyFill="1" applyBorder="1" applyAlignment="1">
      <alignment vertical="top"/>
    </xf>
    <xf numFmtId="6" fontId="7" fillId="2" borderId="0" xfId="0" applyNumberFormat="1" applyFont="1" applyFill="1" applyBorder="1" applyAlignment="1">
      <alignment vertical="top"/>
    </xf>
    <xf numFmtId="6" fontId="7" fillId="0" borderId="2" xfId="0" applyNumberFormat="1" applyFont="1" applyBorder="1" applyProtection="1">
      <protection locked="0"/>
    </xf>
    <xf numFmtId="6" fontId="7" fillId="0" borderId="2" xfId="0" applyNumberFormat="1" applyFont="1" applyBorder="1"/>
    <xf numFmtId="0" fontId="7" fillId="0" borderId="0" xfId="0" applyFont="1" applyFill="1" applyBorder="1" applyProtection="1">
      <protection locked="0"/>
    </xf>
    <xf numFmtId="6" fontId="7" fillId="0" borderId="0" xfId="0" applyNumberFormat="1" applyFont="1" applyFill="1" applyBorder="1"/>
    <xf numFmtId="0" fontId="7" fillId="0" borderId="0" xfId="0" applyFont="1" applyBorder="1" applyProtection="1">
      <protection locked="0"/>
    </xf>
    <xf numFmtId="0" fontId="9" fillId="0" borderId="0" xfId="0" applyFont="1" applyBorder="1" applyProtection="1">
      <protection locked="0"/>
    </xf>
    <xf numFmtId="0" fontId="8" fillId="0" borderId="0" xfId="0" applyFont="1" applyBorder="1" applyAlignment="1">
      <alignment vertical="top"/>
    </xf>
    <xf numFmtId="0" fontId="7" fillId="0" borderId="0" xfId="0" applyFont="1" applyBorder="1"/>
    <xf numFmtId="0" fontId="4" fillId="0" borderId="6" xfId="0" applyFont="1" applyBorder="1" applyProtection="1">
      <protection locked="0"/>
    </xf>
    <xf numFmtId="0" fontId="7" fillId="0" borderId="6" xfId="0" applyFont="1" applyBorder="1" applyProtection="1">
      <protection locked="0"/>
    </xf>
    <xf numFmtId="6" fontId="7" fillId="0" borderId="7" xfId="0" applyNumberFormat="1" applyFont="1" applyBorder="1"/>
    <xf numFmtId="0" fontId="9" fillId="0" borderId="6" xfId="0" applyFont="1" applyBorder="1" applyProtection="1">
      <protection locked="0"/>
    </xf>
    <xf numFmtId="0" fontId="8" fillId="0" borderId="6" xfId="0" applyFont="1" applyBorder="1" applyAlignment="1">
      <alignment vertical="top"/>
    </xf>
    <xf numFmtId="0" fontId="7" fillId="0" borderId="6" xfId="0" applyFont="1" applyBorder="1"/>
    <xf numFmtId="0" fontId="4" fillId="0" borderId="6" xfId="0" applyFont="1" applyBorder="1"/>
    <xf numFmtId="0" fontId="4" fillId="0" borderId="8" xfId="0" applyFont="1" applyBorder="1"/>
    <xf numFmtId="0" fontId="7" fillId="0" borderId="9" xfId="0" applyFont="1" applyBorder="1" applyProtection="1">
      <protection locked="0"/>
    </xf>
    <xf numFmtId="6" fontId="7" fillId="0" borderId="9" xfId="0" applyNumberFormat="1" applyFont="1" applyBorder="1" applyProtection="1">
      <protection locked="0"/>
    </xf>
    <xf numFmtId="6" fontId="7" fillId="0" borderId="9" xfId="0" applyNumberFormat="1" applyFont="1" applyBorder="1"/>
    <xf numFmtId="0" fontId="4" fillId="2" borderId="10" xfId="0" applyFont="1" applyFill="1" applyBorder="1" applyProtection="1">
      <protection locked="0"/>
    </xf>
    <xf numFmtId="6" fontId="7" fillId="2" borderId="10" xfId="0" applyNumberFormat="1" applyFont="1" applyFill="1" applyBorder="1" applyProtection="1">
      <protection locked="0"/>
    </xf>
    <xf numFmtId="6" fontId="4" fillId="2" borderId="10" xfId="0" applyNumberFormat="1" applyFont="1" applyFill="1" applyBorder="1"/>
    <xf numFmtId="0" fontId="4" fillId="2" borderId="6" xfId="0" applyFont="1" applyFill="1" applyBorder="1" applyProtection="1">
      <protection locked="0"/>
    </xf>
    <xf numFmtId="0" fontId="7" fillId="2" borderId="6" xfId="0" applyFont="1" applyFill="1" applyBorder="1" applyProtection="1">
      <protection locked="0"/>
    </xf>
    <xf numFmtId="6" fontId="7" fillId="2" borderId="7" xfId="0" applyNumberFormat="1" applyFont="1" applyFill="1" applyBorder="1"/>
    <xf numFmtId="0" fontId="4" fillId="2" borderId="6" xfId="0" applyFont="1" applyFill="1" applyBorder="1" applyAlignment="1">
      <alignment vertical="top"/>
    </xf>
    <xf numFmtId="6" fontId="4" fillId="2" borderId="7" xfId="0" applyNumberFormat="1" applyFont="1" applyFill="1" applyBorder="1" applyAlignment="1">
      <alignment vertical="top" wrapText="1"/>
    </xf>
    <xf numFmtId="0" fontId="7" fillId="2" borderId="6" xfId="0" applyFont="1" applyFill="1" applyBorder="1" applyAlignment="1">
      <alignment vertical="top"/>
    </xf>
    <xf numFmtId="0" fontId="7" fillId="0" borderId="8" xfId="0" applyFont="1" applyBorder="1" applyProtection="1">
      <protection locked="0"/>
    </xf>
    <xf numFmtId="6" fontId="7" fillId="0" borderId="11" xfId="0" applyNumberFormat="1" applyFont="1" applyBorder="1"/>
    <xf numFmtId="6" fontId="4" fillId="0" borderId="9" xfId="0" applyNumberFormat="1" applyFont="1" applyBorder="1" applyAlignment="1">
      <alignment horizontal="center"/>
    </xf>
    <xf numFmtId="6" fontId="7" fillId="2" borderId="12" xfId="0" applyNumberFormat="1" applyFont="1" applyFill="1" applyBorder="1"/>
    <xf numFmtId="0" fontId="7" fillId="2" borderId="7" xfId="0" applyFont="1" applyFill="1" applyBorder="1"/>
    <xf numFmtId="6" fontId="7" fillId="0" borderId="7" xfId="0" applyNumberFormat="1" applyFont="1" applyFill="1" applyBorder="1"/>
    <xf numFmtId="6" fontId="4" fillId="2" borderId="0" xfId="0" applyNumberFormat="1" applyFont="1" applyFill="1" applyBorder="1" applyAlignment="1" applyProtection="1">
      <alignment vertical="top"/>
      <protection locked="0"/>
    </xf>
    <xf numFmtId="0" fontId="4" fillId="2" borderId="7" xfId="0" applyFont="1" applyFill="1" applyBorder="1" applyAlignment="1" applyProtection="1">
      <alignment horizontal="right" vertical="top"/>
      <protection locked="0"/>
    </xf>
    <xf numFmtId="0" fontId="4" fillId="2" borderId="6" xfId="0" applyFont="1" applyFill="1" applyBorder="1"/>
    <xf numFmtId="0" fontId="7" fillId="2" borderId="0" xfId="0" applyFont="1" applyFill="1" applyBorder="1"/>
    <xf numFmtId="40" fontId="7" fillId="2" borderId="0" xfId="0" applyNumberFormat="1" applyFont="1" applyFill="1" applyBorder="1"/>
    <xf numFmtId="6" fontId="7" fillId="2" borderId="0" xfId="0" applyNumberFormat="1" applyFont="1" applyFill="1" applyBorder="1" applyAlignment="1" applyProtection="1">
      <alignment vertical="top"/>
      <protection locked="0"/>
    </xf>
    <xf numFmtId="38" fontId="4" fillId="2" borderId="0" xfId="0" applyNumberFormat="1" applyFont="1" applyFill="1" applyBorder="1"/>
    <xf numFmtId="0" fontId="7" fillId="0" borderId="9" xfId="0" applyFont="1" applyBorder="1"/>
    <xf numFmtId="40" fontId="7" fillId="0" borderId="9" xfId="0" applyNumberFormat="1" applyFont="1" applyBorder="1"/>
    <xf numFmtId="38" fontId="4" fillId="0" borderId="9" xfId="0" applyNumberFormat="1" applyFont="1" applyBorder="1"/>
    <xf numFmtId="6" fontId="4" fillId="0" borderId="9" xfId="0" applyNumberFormat="1" applyFont="1" applyBorder="1" applyAlignment="1">
      <alignment horizontal="center" vertical="top" wrapText="1"/>
    </xf>
    <xf numFmtId="0" fontId="4" fillId="0" borderId="11" xfId="0" applyFont="1" applyBorder="1" applyAlignment="1" applyProtection="1">
      <alignment horizontal="right" vertical="top"/>
      <protection locked="0"/>
    </xf>
    <xf numFmtId="0" fontId="4" fillId="0" borderId="13" xfId="0" applyFont="1" applyBorder="1"/>
    <xf numFmtId="0" fontId="7" fillId="0" borderId="10" xfId="0" applyFont="1" applyBorder="1"/>
    <xf numFmtId="40" fontId="7" fillId="0" borderId="10" xfId="0" applyNumberFormat="1" applyFont="1" applyBorder="1"/>
    <xf numFmtId="38" fontId="4" fillId="0" borderId="10" xfId="0" applyNumberFormat="1" applyFont="1" applyBorder="1"/>
    <xf numFmtId="6" fontId="4" fillId="0" borderId="10" xfId="0" applyNumberFormat="1" applyFont="1" applyBorder="1" applyAlignment="1">
      <alignment horizontal="center" vertical="top" wrapText="1"/>
    </xf>
    <xf numFmtId="0" fontId="4" fillId="0" borderId="12" xfId="0" applyFont="1" applyBorder="1" applyAlignment="1" applyProtection="1">
      <alignment horizontal="right" vertical="top"/>
      <protection locked="0"/>
    </xf>
    <xf numFmtId="40" fontId="7" fillId="0" borderId="0" xfId="0" applyNumberFormat="1" applyFont="1" applyBorder="1"/>
    <xf numFmtId="6" fontId="7" fillId="0" borderId="0" xfId="0" applyNumberFormat="1" applyFont="1" applyBorder="1" applyAlignment="1" applyProtection="1">
      <alignment horizontal="right" vertical="top"/>
      <protection locked="0"/>
    </xf>
    <xf numFmtId="0" fontId="4" fillId="0" borderId="7" xfId="0" applyFont="1" applyBorder="1" applyAlignment="1" applyProtection="1">
      <alignment horizontal="right" vertical="top"/>
      <protection locked="0"/>
    </xf>
    <xf numFmtId="0" fontId="7" fillId="0" borderId="7" xfId="0" applyFont="1" applyBorder="1"/>
    <xf numFmtId="6" fontId="4" fillId="0" borderId="6" xfId="0" applyNumberFormat="1" applyFont="1" applyBorder="1"/>
    <xf numFmtId="0" fontId="4" fillId="2" borderId="0" xfId="0" applyFont="1" applyFill="1" applyBorder="1"/>
    <xf numFmtId="6" fontId="0" fillId="0" borderId="0" xfId="0" applyNumberFormat="1"/>
    <xf numFmtId="0" fontId="7" fillId="0" borderId="1" xfId="0" applyFont="1" applyFill="1" applyBorder="1"/>
    <xf numFmtId="0" fontId="5" fillId="0" borderId="0" xfId="0" applyFont="1" applyFill="1"/>
    <xf numFmtId="6" fontId="7" fillId="2" borderId="0" xfId="0" applyNumberFormat="1" applyFont="1" applyFill="1" applyProtection="1">
      <protection locked="0"/>
    </xf>
    <xf numFmtId="6" fontId="7" fillId="4" borderId="0" xfId="0" applyNumberFormat="1" applyFont="1" applyFill="1" applyBorder="1" applyProtection="1">
      <protection locked="0"/>
    </xf>
    <xf numFmtId="49" fontId="7" fillId="4" borderId="0" xfId="0" applyNumberFormat="1" applyFont="1" applyFill="1" applyAlignment="1">
      <alignment horizontal="center"/>
    </xf>
    <xf numFmtId="38" fontId="7" fillId="4" borderId="0" xfId="0" applyNumberFormat="1" applyFont="1" applyFill="1"/>
    <xf numFmtId="6" fontId="7" fillId="4" borderId="0" xfId="1" applyNumberFormat="1" applyFont="1" applyFill="1"/>
    <xf numFmtId="6" fontId="7" fillId="4" borderId="0" xfId="1" applyNumberFormat="1" applyFont="1" applyFill="1" applyAlignment="1">
      <alignment horizontal="right"/>
    </xf>
    <xf numFmtId="6" fontId="7" fillId="4" borderId="0" xfId="0" applyNumberFormat="1" applyFont="1" applyFill="1" applyAlignment="1">
      <alignment horizontal="center"/>
    </xf>
    <xf numFmtId="164" fontId="4" fillId="4" borderId="0" xfId="0" applyNumberFormat="1" applyFont="1" applyFill="1"/>
    <xf numFmtId="6" fontId="7" fillId="4" borderId="0" xfId="0" applyNumberFormat="1" applyFont="1" applyFill="1" applyProtection="1">
      <protection locked="0"/>
    </xf>
    <xf numFmtId="6" fontId="7" fillId="0" borderId="9" xfId="0" applyNumberFormat="1" applyFont="1" applyFill="1" applyBorder="1" applyProtection="1">
      <protection locked="0"/>
    </xf>
    <xf numFmtId="6" fontId="7" fillId="4" borderId="0" xfId="0" applyNumberFormat="1" applyFont="1" applyFill="1" applyBorder="1"/>
    <xf numFmtId="6" fontId="7" fillId="4" borderId="10" xfId="0" applyNumberFormat="1" applyFont="1" applyFill="1" applyBorder="1"/>
    <xf numFmtId="6" fontId="7" fillId="4" borderId="12" xfId="0" applyNumberFormat="1" applyFont="1" applyFill="1" applyBorder="1"/>
    <xf numFmtId="0" fontId="7" fillId="4" borderId="0" xfId="0" applyFont="1" applyFill="1" applyBorder="1" applyProtection="1">
      <protection locked="0"/>
    </xf>
    <xf numFmtId="0" fontId="4" fillId="4" borderId="0" xfId="0" applyFont="1" applyFill="1" applyBorder="1" applyProtection="1">
      <protection locked="0"/>
    </xf>
    <xf numFmtId="6" fontId="7" fillId="4" borderId="0" xfId="0" applyNumberFormat="1" applyFont="1" applyFill="1" applyBorder="1" applyAlignment="1">
      <alignment horizontal="left" vertical="top" wrapText="1"/>
    </xf>
    <xf numFmtId="6" fontId="7" fillId="4" borderId="7" xfId="0" applyNumberFormat="1" applyFont="1" applyFill="1" applyBorder="1" applyAlignment="1">
      <alignment horizontal="center" vertical="top" wrapText="1"/>
    </xf>
    <xf numFmtId="6" fontId="7" fillId="4" borderId="7" xfId="0" applyNumberFormat="1" applyFont="1" applyFill="1" applyBorder="1"/>
    <xf numFmtId="0" fontId="8" fillId="4" borderId="0" xfId="0" applyFont="1" applyFill="1" applyBorder="1" applyAlignment="1">
      <alignment vertical="top"/>
    </xf>
    <xf numFmtId="0" fontId="4" fillId="4" borderId="0" xfId="0" applyFont="1" applyFill="1" applyBorder="1" applyAlignment="1">
      <alignment vertical="top"/>
    </xf>
    <xf numFmtId="6" fontId="7" fillId="4" borderId="0" xfId="0" applyNumberFormat="1" applyFont="1" applyFill="1" applyBorder="1" applyAlignment="1" applyProtection="1">
      <alignment vertical="top"/>
      <protection locked="0"/>
    </xf>
    <xf numFmtId="6" fontId="7" fillId="4" borderId="0" xfId="0" applyNumberFormat="1" applyFont="1" applyFill="1" applyBorder="1" applyAlignment="1">
      <alignment vertical="top"/>
    </xf>
    <xf numFmtId="0" fontId="7" fillId="4" borderId="6" xfId="0" applyFont="1" applyFill="1" applyBorder="1" applyProtection="1">
      <protection locked="0"/>
    </xf>
    <xf numFmtId="0" fontId="8" fillId="4" borderId="6" xfId="0" applyFont="1" applyFill="1" applyBorder="1" applyProtection="1">
      <protection locked="0"/>
    </xf>
    <xf numFmtId="0" fontId="8" fillId="4" borderId="0" xfId="0" applyFont="1" applyFill="1" applyBorder="1" applyProtection="1">
      <protection locked="0"/>
    </xf>
    <xf numFmtId="0" fontId="7" fillId="4" borderId="6" xfId="0" applyFont="1" applyFill="1" applyBorder="1" applyAlignment="1" applyProtection="1">
      <alignment vertical="top"/>
      <protection locked="0"/>
    </xf>
    <xf numFmtId="0" fontId="7" fillId="4" borderId="0" xfId="0" applyFont="1" applyFill="1" applyBorder="1" applyAlignment="1" applyProtection="1">
      <alignment vertical="top"/>
      <protection locked="0"/>
    </xf>
    <xf numFmtId="0" fontId="4" fillId="4" borderId="0" xfId="0" applyFont="1" applyFill="1" applyBorder="1" applyAlignment="1" applyProtection="1">
      <alignment vertical="top"/>
      <protection locked="0"/>
    </xf>
    <xf numFmtId="6" fontId="7" fillId="4" borderId="0" xfId="0" applyNumberFormat="1" applyFont="1" applyFill="1" applyBorder="1" applyAlignment="1">
      <alignment horizontal="center"/>
    </xf>
    <xf numFmtId="0" fontId="4" fillId="0" borderId="0" xfId="0" applyFont="1" applyFill="1" applyAlignment="1" applyProtection="1">
      <alignment horizontal="right"/>
      <protection locked="0"/>
    </xf>
    <xf numFmtId="0" fontId="7" fillId="4" borderId="13" xfId="0" applyFont="1" applyFill="1" applyBorder="1" applyProtection="1">
      <protection locked="0"/>
    </xf>
    <xf numFmtId="0" fontId="7" fillId="4" borderId="10" xfId="0" applyFont="1" applyFill="1" applyBorder="1" applyProtection="1">
      <protection locked="0"/>
    </xf>
    <xf numFmtId="0" fontId="4" fillId="0" borderId="6" xfId="0" applyFont="1" applyFill="1" applyBorder="1" applyProtection="1">
      <protection locked="0"/>
    </xf>
    <xf numFmtId="6" fontId="4" fillId="0" borderId="3" xfId="0" applyNumberFormat="1" applyFont="1" applyFill="1" applyBorder="1" applyAlignment="1">
      <alignment horizontal="center"/>
    </xf>
    <xf numFmtId="0" fontId="4" fillId="4" borderId="6" xfId="0" applyFont="1" applyFill="1" applyBorder="1" applyAlignment="1" applyProtection="1">
      <alignment vertical="top"/>
      <protection locked="0"/>
    </xf>
    <xf numFmtId="0" fontId="7" fillId="7" borderId="0" xfId="0" applyFont="1" applyFill="1"/>
    <xf numFmtId="0" fontId="4" fillId="7" borderId="0" xfId="0" applyFont="1" applyFill="1"/>
    <xf numFmtId="0" fontId="4" fillId="7" borderId="0" xfId="0" applyFont="1" applyFill="1" applyAlignment="1" applyProtection="1">
      <alignment horizontal="right"/>
      <protection locked="0"/>
    </xf>
    <xf numFmtId="0" fontId="7" fillId="7" borderId="0" xfId="0" applyFont="1" applyFill="1" applyProtection="1">
      <protection locked="0"/>
    </xf>
    <xf numFmtId="6" fontId="7" fillId="7" borderId="0" xfId="0" applyNumberFormat="1" applyFont="1" applyFill="1" applyBorder="1" applyProtection="1">
      <protection locked="0"/>
    </xf>
    <xf numFmtId="6" fontId="7" fillId="7" borderId="9" xfId="0" applyNumberFormat="1" applyFont="1" applyFill="1" applyBorder="1" applyProtection="1">
      <protection locked="0"/>
    </xf>
    <xf numFmtId="6" fontId="7" fillId="7" borderId="0" xfId="0" applyNumberFormat="1" applyFont="1" applyFill="1" applyBorder="1"/>
    <xf numFmtId="6" fontId="7" fillId="7" borderId="0" xfId="0" applyNumberFormat="1" applyFont="1" applyFill="1"/>
    <xf numFmtId="0" fontId="0" fillId="7" borderId="0" xfId="0" applyFill="1"/>
    <xf numFmtId="0" fontId="2" fillId="7" borderId="0" xfId="0" applyFont="1" applyFill="1"/>
    <xf numFmtId="6" fontId="4" fillId="2" borderId="0" xfId="0" applyNumberFormat="1" applyFont="1" applyFill="1" applyBorder="1" applyAlignment="1">
      <alignment wrapText="1"/>
    </xf>
    <xf numFmtId="6" fontId="4" fillId="0" borderId="14" xfId="0" applyNumberFormat="1" applyFont="1" applyBorder="1" applyAlignment="1">
      <alignment horizontal="center"/>
    </xf>
    <xf numFmtId="40" fontId="7" fillId="0" borderId="9" xfId="0" applyNumberFormat="1" applyFont="1" applyFill="1" applyBorder="1"/>
    <xf numFmtId="6" fontId="7" fillId="0" borderId="9" xfId="0" applyNumberFormat="1" applyFont="1" applyFill="1" applyBorder="1" applyAlignment="1" applyProtection="1">
      <alignment vertical="top"/>
      <protection locked="0"/>
    </xf>
    <xf numFmtId="38" fontId="4" fillId="0" borderId="9" xfId="0" applyNumberFormat="1" applyFont="1" applyFill="1" applyBorder="1"/>
    <xf numFmtId="40" fontId="7" fillId="0" borderId="10" xfId="0" applyNumberFormat="1" applyFont="1" applyFill="1" applyBorder="1"/>
    <xf numFmtId="6" fontId="7" fillId="0" borderId="10" xfId="0" applyNumberFormat="1" applyFont="1" applyFill="1" applyBorder="1" applyAlignment="1" applyProtection="1">
      <alignment vertical="top"/>
      <protection locked="0"/>
    </xf>
    <xf numFmtId="38" fontId="4" fillId="0" borderId="10" xfId="0" applyNumberFormat="1" applyFont="1" applyFill="1" applyBorder="1"/>
    <xf numFmtId="40" fontId="7" fillId="0" borderId="0" xfId="0" applyNumberFormat="1" applyFont="1" applyFill="1" applyBorder="1"/>
    <xf numFmtId="6" fontId="7" fillId="0" borderId="0" xfId="0" applyNumberFormat="1" applyFont="1" applyFill="1" applyBorder="1" applyAlignment="1" applyProtection="1">
      <alignment vertical="top"/>
      <protection locked="0"/>
    </xf>
    <xf numFmtId="38" fontId="7" fillId="0" borderId="0" xfId="0" applyNumberFormat="1" applyFont="1" applyFill="1" applyBorder="1"/>
    <xf numFmtId="0" fontId="9" fillId="4" borderId="0" xfId="0" applyFont="1" applyFill="1" applyBorder="1" applyAlignment="1" applyProtection="1">
      <alignment vertical="top"/>
      <protection locked="0"/>
    </xf>
    <xf numFmtId="6" fontId="4" fillId="4" borderId="0" xfId="0" applyNumberFormat="1" applyFont="1" applyFill="1" applyBorder="1" applyAlignment="1">
      <alignment vertical="top" wrapText="1"/>
    </xf>
    <xf numFmtId="0" fontId="8" fillId="4" borderId="0" xfId="0" applyFont="1" applyFill="1" applyBorder="1" applyAlignment="1" applyProtection="1">
      <alignment vertical="top"/>
      <protection locked="0"/>
    </xf>
    <xf numFmtId="6" fontId="0" fillId="2" borderId="0" xfId="0" applyNumberFormat="1" applyFill="1" applyProtection="1">
      <protection locked="0"/>
    </xf>
    <xf numFmtId="6" fontId="4" fillId="0" borderId="0" xfId="0" applyNumberFormat="1" applyFont="1" applyFill="1" applyBorder="1" applyAlignment="1">
      <alignment horizontal="center"/>
    </xf>
    <xf numFmtId="6" fontId="0" fillId="0" borderId="0" xfId="0" applyNumberFormat="1" applyFill="1" applyBorder="1"/>
    <xf numFmtId="6" fontId="7" fillId="2" borderId="10" xfId="0" applyNumberFormat="1" applyFont="1" applyFill="1" applyBorder="1"/>
    <xf numFmtId="0" fontId="4" fillId="2" borderId="0" xfId="0" applyFont="1" applyFill="1" applyBorder="1" applyAlignment="1" applyProtection="1">
      <alignment vertical="top"/>
      <protection locked="0"/>
    </xf>
    <xf numFmtId="6" fontId="7" fillId="2" borderId="0" xfId="0" applyNumberFormat="1" applyFont="1" applyFill="1" applyAlignment="1" applyProtection="1">
      <alignment vertical="top"/>
      <protection locked="0"/>
    </xf>
    <xf numFmtId="0" fontId="4" fillId="2" borderId="6" xfId="0" applyFont="1" applyFill="1" applyBorder="1" applyAlignment="1" applyProtection="1">
      <alignment vertical="top"/>
      <protection locked="0"/>
    </xf>
    <xf numFmtId="0" fontId="7" fillId="4" borderId="6" xfId="0" applyFont="1" applyFill="1" applyBorder="1" applyAlignment="1">
      <alignment vertical="top"/>
    </xf>
    <xf numFmtId="0" fontId="4" fillId="4" borderId="6" xfId="0" applyFont="1" applyFill="1" applyBorder="1" applyProtection="1">
      <protection locked="0"/>
    </xf>
    <xf numFmtId="0" fontId="7" fillId="0" borderId="6" xfId="0" applyFont="1" applyBorder="1" applyAlignment="1">
      <alignment vertical="top"/>
    </xf>
    <xf numFmtId="0" fontId="7" fillId="2" borderId="6" xfId="0" applyFont="1" applyFill="1" applyBorder="1" applyAlignment="1" applyProtection="1">
      <alignment vertical="top"/>
      <protection locked="0"/>
    </xf>
    <xf numFmtId="0" fontId="7" fillId="2" borderId="0" xfId="0" applyFont="1" applyFill="1" applyBorder="1" applyAlignment="1" applyProtection="1">
      <alignment vertical="top"/>
      <protection locked="0"/>
    </xf>
    <xf numFmtId="0" fontId="7" fillId="2" borderId="13" xfId="0" applyFont="1" applyFill="1" applyBorder="1"/>
    <xf numFmtId="0" fontId="7" fillId="2" borderId="10" xfId="0" applyFont="1" applyFill="1" applyBorder="1"/>
    <xf numFmtId="6" fontId="7" fillId="2" borderId="10" xfId="1" applyNumberFormat="1" applyFont="1" applyFill="1" applyBorder="1"/>
    <xf numFmtId="6" fontId="7" fillId="2" borderId="10" xfId="0" applyNumberFormat="1" applyFont="1" applyFill="1" applyBorder="1" applyAlignment="1">
      <alignment horizontal="center"/>
    </xf>
    <xf numFmtId="0" fontId="7" fillId="2" borderId="8" xfId="0" applyFont="1" applyFill="1" applyBorder="1" applyProtection="1">
      <protection locked="0"/>
    </xf>
    <xf numFmtId="0" fontId="7" fillId="2" borderId="9" xfId="0" applyFont="1" applyFill="1" applyBorder="1"/>
    <xf numFmtId="0" fontId="4" fillId="2" borderId="9" xfId="0" applyFont="1" applyFill="1" applyBorder="1" applyProtection="1">
      <protection locked="0"/>
    </xf>
    <xf numFmtId="6" fontId="7" fillId="2" borderId="9" xfId="0" applyNumberFormat="1" applyFont="1" applyFill="1" applyBorder="1"/>
    <xf numFmtId="6" fontId="7" fillId="2" borderId="11" xfId="0" applyNumberFormat="1" applyFont="1" applyFill="1" applyBorder="1"/>
    <xf numFmtId="0" fontId="7" fillId="2" borderId="13" xfId="0" applyFont="1" applyFill="1" applyBorder="1" applyAlignment="1" applyProtection="1">
      <alignment vertical="top"/>
      <protection locked="0"/>
    </xf>
    <xf numFmtId="0" fontId="7" fillId="2" borderId="10" xfId="0" applyFont="1" applyFill="1" applyBorder="1" applyAlignment="1" applyProtection="1">
      <alignment vertical="top"/>
      <protection locked="0"/>
    </xf>
    <xf numFmtId="0" fontId="4" fillId="2" borderId="10" xfId="0" applyFont="1" applyFill="1" applyBorder="1" applyAlignment="1" applyProtection="1">
      <alignment vertical="top"/>
      <protection locked="0"/>
    </xf>
    <xf numFmtId="6" fontId="7" fillId="2" borderId="10" xfId="0" applyNumberFormat="1" applyFont="1" applyFill="1" applyBorder="1" applyAlignment="1" applyProtection="1">
      <alignment vertical="top"/>
      <protection locked="0"/>
    </xf>
    <xf numFmtId="6" fontId="4" fillId="2" borderId="10" xfId="0" applyNumberFormat="1" applyFont="1" applyFill="1" applyBorder="1" applyAlignment="1" applyProtection="1">
      <alignment horizontal="right" vertical="top"/>
      <protection locked="0"/>
    </xf>
    <xf numFmtId="0" fontId="4" fillId="2" borderId="12" xfId="0" applyFont="1" applyFill="1" applyBorder="1" applyAlignment="1" applyProtection="1">
      <alignment horizontal="right" vertical="top"/>
      <protection locked="0"/>
    </xf>
    <xf numFmtId="0" fontId="4" fillId="8" borderId="6" xfId="0" applyFont="1" applyFill="1" applyBorder="1"/>
    <xf numFmtId="0" fontId="7" fillId="8" borderId="0" xfId="0" applyFont="1" applyFill="1" applyBorder="1" applyProtection="1">
      <protection locked="0"/>
    </xf>
    <xf numFmtId="6" fontId="7" fillId="8" borderId="0" xfId="0" applyNumberFormat="1" applyFont="1" applyFill="1" applyBorder="1" applyProtection="1">
      <protection locked="0"/>
    </xf>
    <xf numFmtId="6" fontId="7" fillId="8" borderId="0" xfId="0" applyNumberFormat="1" applyFont="1" applyFill="1" applyBorder="1"/>
    <xf numFmtId="6" fontId="4" fillId="8" borderId="0" xfId="0" applyNumberFormat="1" applyFont="1" applyFill="1" applyBorder="1" applyAlignment="1">
      <alignment horizontal="center"/>
    </xf>
    <xf numFmtId="6" fontId="7" fillId="8" borderId="7" xfId="0" applyNumberFormat="1" applyFont="1" applyFill="1" applyBorder="1"/>
    <xf numFmtId="0" fontId="7" fillId="8" borderId="0" xfId="0" applyFont="1" applyFill="1"/>
    <xf numFmtId="6" fontId="7" fillId="8" borderId="0" xfId="0" applyNumberFormat="1" applyFont="1" applyFill="1"/>
    <xf numFmtId="6" fontId="4" fillId="8" borderId="2" xfId="0" applyNumberFormat="1" applyFont="1" applyFill="1" applyBorder="1" applyAlignment="1">
      <alignment horizontal="center"/>
    </xf>
    <xf numFmtId="0" fontId="7" fillId="8" borderId="13" xfId="0" applyFont="1" applyFill="1" applyBorder="1"/>
    <xf numFmtId="0" fontId="7" fillId="8" borderId="10" xfId="0" applyFont="1" applyFill="1" applyBorder="1"/>
    <xf numFmtId="6" fontId="7" fillId="8" borderId="10" xfId="0" applyNumberFormat="1" applyFont="1" applyFill="1" applyBorder="1"/>
    <xf numFmtId="6" fontId="7" fillId="8" borderId="12" xfId="0" applyNumberFormat="1" applyFont="1" applyFill="1" applyBorder="1"/>
    <xf numFmtId="0" fontId="7" fillId="8" borderId="6" xfId="0" applyFont="1" applyFill="1" applyBorder="1"/>
    <xf numFmtId="0" fontId="7" fillId="8" borderId="0" xfId="0" applyFont="1" applyFill="1" applyBorder="1"/>
    <xf numFmtId="6" fontId="4" fillId="8" borderId="4" xfId="0" applyNumberFormat="1" applyFont="1" applyFill="1" applyBorder="1"/>
    <xf numFmtId="0" fontId="7" fillId="8" borderId="8" xfId="0" applyFont="1" applyFill="1" applyBorder="1"/>
    <xf numFmtId="0" fontId="7" fillId="8" borderId="9" xfId="0" applyFont="1" applyFill="1" applyBorder="1"/>
    <xf numFmtId="6" fontId="7" fillId="8" borderId="9" xfId="0" applyNumberFormat="1" applyFont="1" applyFill="1" applyBorder="1"/>
    <xf numFmtId="6" fontId="7" fillId="8" borderId="11" xfId="0" applyNumberFormat="1" applyFont="1" applyFill="1" applyBorder="1"/>
    <xf numFmtId="6" fontId="4" fillId="9" borderId="13" xfId="0" applyNumberFormat="1" applyFont="1" applyFill="1" applyBorder="1"/>
    <xf numFmtId="0" fontId="7" fillId="9" borderId="10" xfId="0" applyFont="1" applyFill="1" applyBorder="1" applyProtection="1">
      <protection locked="0"/>
    </xf>
    <xf numFmtId="6" fontId="7" fillId="9" borderId="10" xfId="0" applyNumberFormat="1" applyFont="1" applyFill="1" applyBorder="1" applyProtection="1">
      <protection locked="0"/>
    </xf>
    <xf numFmtId="0" fontId="4" fillId="9" borderId="10" xfId="0" applyFont="1" applyFill="1" applyBorder="1"/>
    <xf numFmtId="0" fontId="7" fillId="9" borderId="12" xfId="0" applyFont="1" applyFill="1" applyBorder="1"/>
    <xf numFmtId="0" fontId="7" fillId="9" borderId="0" xfId="0" applyFont="1" applyFill="1"/>
    <xf numFmtId="0" fontId="7" fillId="9" borderId="0" xfId="0" applyFont="1" applyFill="1" applyBorder="1" applyProtection="1">
      <protection locked="0"/>
    </xf>
    <xf numFmtId="6" fontId="7" fillId="9" borderId="0" xfId="0" applyNumberFormat="1" applyFont="1" applyFill="1" applyBorder="1" applyProtection="1">
      <protection locked="0"/>
    </xf>
    <xf numFmtId="0" fontId="7" fillId="9" borderId="7" xfId="0" applyFont="1" applyFill="1" applyBorder="1"/>
    <xf numFmtId="0" fontId="7" fillId="9" borderId="9" xfId="0" applyFont="1" applyFill="1" applyBorder="1"/>
    <xf numFmtId="0" fontId="7" fillId="9" borderId="11" xfId="0" applyFont="1" applyFill="1" applyBorder="1"/>
    <xf numFmtId="6" fontId="7" fillId="9" borderId="0" xfId="0" applyNumberFormat="1" applyFont="1" applyFill="1"/>
    <xf numFmtId="0" fontId="4" fillId="0" borderId="0" xfId="0" applyFont="1" applyBorder="1"/>
    <xf numFmtId="0" fontId="4" fillId="0" borderId="6" xfId="0" applyFont="1" applyFill="1" applyBorder="1"/>
    <xf numFmtId="6" fontId="4" fillId="0" borderId="2" xfId="0" applyNumberFormat="1" applyFont="1" applyBorder="1" applyAlignment="1">
      <alignment horizontal="center"/>
    </xf>
    <xf numFmtId="0" fontId="7" fillId="9" borderId="0" xfId="0" applyFont="1" applyFill="1" applyBorder="1"/>
    <xf numFmtId="6" fontId="4" fillId="9" borderId="0" xfId="0" applyNumberFormat="1" applyFont="1" applyFill="1" applyBorder="1" applyAlignment="1">
      <alignment horizontal="center"/>
    </xf>
    <xf numFmtId="6" fontId="4" fillId="9" borderId="0" xfId="0" applyNumberFormat="1" applyFont="1" applyFill="1" applyBorder="1" applyProtection="1">
      <protection locked="0"/>
    </xf>
    <xf numFmtId="6" fontId="7" fillId="9" borderId="0" xfId="0" applyNumberFormat="1" applyFont="1" applyFill="1" applyBorder="1"/>
    <xf numFmtId="6" fontId="4" fillId="9" borderId="2" xfId="0" applyNumberFormat="1" applyFont="1" applyFill="1" applyBorder="1" applyAlignment="1">
      <alignment horizontal="center"/>
    </xf>
    <xf numFmtId="0" fontId="4" fillId="9" borderId="8" xfId="0" applyFont="1" applyFill="1" applyBorder="1"/>
    <xf numFmtId="6" fontId="7" fillId="7" borderId="9" xfId="0" applyNumberFormat="1" applyFont="1" applyFill="1" applyBorder="1"/>
    <xf numFmtId="6" fontId="7" fillId="10" borderId="0" xfId="0" applyNumberFormat="1" applyFont="1" applyFill="1"/>
    <xf numFmtId="0" fontId="7" fillId="10" borderId="0" xfId="0" applyFont="1" applyFill="1"/>
    <xf numFmtId="6" fontId="4" fillId="10" borderId="0" xfId="0" applyNumberFormat="1" applyFont="1" applyFill="1"/>
    <xf numFmtId="6" fontId="4" fillId="8" borderId="0" xfId="0" applyNumberFormat="1" applyFont="1" applyFill="1"/>
    <xf numFmtId="6" fontId="4" fillId="10" borderId="0" xfId="0" applyNumberFormat="1" applyFont="1" applyFill="1" applyAlignment="1">
      <alignment horizontal="right"/>
    </xf>
    <xf numFmtId="0" fontId="7" fillId="11" borderId="6" xfId="0" applyFont="1" applyFill="1" applyBorder="1" applyProtection="1">
      <protection locked="0"/>
    </xf>
    <xf numFmtId="0" fontId="7" fillId="11" borderId="0" xfId="0" applyFont="1" applyFill="1" applyBorder="1" applyProtection="1">
      <protection locked="0"/>
    </xf>
    <xf numFmtId="0" fontId="4" fillId="11" borderId="0" xfId="0" applyFont="1" applyFill="1" applyBorder="1" applyProtection="1">
      <protection locked="0"/>
    </xf>
    <xf numFmtId="6" fontId="7" fillId="11" borderId="0" xfId="0" applyNumberFormat="1" applyFont="1" applyFill="1" applyProtection="1">
      <protection locked="0"/>
    </xf>
    <xf numFmtId="6" fontId="7" fillId="11" borderId="0" xfId="0" applyNumberFormat="1" applyFont="1" applyFill="1" applyBorder="1"/>
    <xf numFmtId="6" fontId="7" fillId="11" borderId="7" xfId="0" applyNumberFormat="1" applyFont="1" applyFill="1" applyBorder="1"/>
    <xf numFmtId="6" fontId="7" fillId="11" borderId="0" xfId="0" applyNumberFormat="1" applyFont="1" applyFill="1"/>
    <xf numFmtId="0" fontId="7" fillId="11" borderId="0" xfId="0" applyFont="1" applyFill="1"/>
    <xf numFmtId="0" fontId="4" fillId="11" borderId="6" xfId="0" applyFont="1" applyFill="1" applyBorder="1" applyAlignment="1">
      <alignment vertical="top"/>
    </xf>
    <xf numFmtId="0" fontId="4" fillId="11" borderId="0" xfId="0" applyFont="1" applyFill="1" applyBorder="1" applyAlignment="1">
      <alignment vertical="top"/>
    </xf>
    <xf numFmtId="6" fontId="4" fillId="11" borderId="0" xfId="0" applyNumberFormat="1" applyFont="1" applyFill="1" applyBorder="1" applyAlignment="1">
      <alignment vertical="top"/>
    </xf>
    <xf numFmtId="6" fontId="7"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horizontal="right" vertical="top"/>
      <protection locked="0"/>
    </xf>
    <xf numFmtId="0" fontId="4" fillId="11" borderId="7" xfId="0" applyFont="1" applyFill="1" applyBorder="1" applyAlignment="1" applyProtection="1">
      <alignment horizontal="right" vertical="top"/>
      <protection locked="0"/>
    </xf>
    <xf numFmtId="0" fontId="4" fillId="11" borderId="0" xfId="0" applyFont="1" applyFill="1" applyAlignment="1">
      <alignment horizontal="right" vertical="top"/>
    </xf>
    <xf numFmtId="6" fontId="4" fillId="11" borderId="0" xfId="0" applyNumberFormat="1" applyFont="1" applyFill="1" applyBorder="1" applyAlignment="1">
      <alignment horizontal="left" vertical="top" wrapText="1"/>
    </xf>
    <xf numFmtId="6" fontId="7" fillId="11" borderId="0" xfId="0" applyNumberFormat="1" applyFont="1" applyFill="1" applyBorder="1" applyProtection="1">
      <protection locked="0"/>
    </xf>
    <xf numFmtId="6" fontId="7" fillId="11" borderId="3" xfId="0" applyNumberFormat="1" applyFont="1" applyFill="1" applyBorder="1"/>
    <xf numFmtId="6" fontId="4" fillId="2" borderId="0" xfId="1" applyNumberFormat="1" applyFont="1" applyFill="1" applyBorder="1" applyAlignment="1">
      <alignment vertical="top"/>
    </xf>
    <xf numFmtId="6" fontId="4" fillId="2" borderId="0" xfId="0" applyNumberFormat="1" applyFont="1" applyFill="1" applyBorder="1" applyAlignment="1" applyProtection="1">
      <alignment horizontal="right" vertical="top"/>
      <protection locked="0"/>
    </xf>
    <xf numFmtId="0" fontId="4" fillId="11" borderId="0" xfId="0" applyFont="1" applyFill="1" applyAlignment="1" applyProtection="1">
      <alignment horizontal="right"/>
      <protection locked="0"/>
    </xf>
    <xf numFmtId="0" fontId="7" fillId="11" borderId="0" xfId="0" applyFont="1" applyFill="1" applyProtection="1">
      <protection locked="0"/>
    </xf>
    <xf numFmtId="6" fontId="7" fillId="11" borderId="10" xfId="0" applyNumberFormat="1" applyFont="1" applyFill="1" applyBorder="1" applyProtection="1">
      <protection locked="0"/>
    </xf>
    <xf numFmtId="6" fontId="4" fillId="11" borderId="0" xfId="0" applyNumberFormat="1" applyFont="1" applyFill="1" applyBorder="1" applyProtection="1">
      <protection locked="0"/>
    </xf>
    <xf numFmtId="6" fontId="7" fillId="11" borderId="9" xfId="0" applyNumberFormat="1" applyFont="1" applyFill="1" applyBorder="1" applyProtection="1">
      <protection locked="0"/>
    </xf>
    <xf numFmtId="6" fontId="7" fillId="11" borderId="10" xfId="0" applyNumberFormat="1" applyFont="1" applyFill="1" applyBorder="1"/>
    <xf numFmtId="6" fontId="7" fillId="11" borderId="9" xfId="0" applyNumberFormat="1" applyFont="1" applyFill="1" applyBorder="1"/>
    <xf numFmtId="0" fontId="0" fillId="11" borderId="0" xfId="0" applyFill="1"/>
    <xf numFmtId="6" fontId="7" fillId="11" borderId="10" xfId="0" applyNumberFormat="1" applyFont="1" applyFill="1" applyBorder="1" applyAlignment="1" applyProtection="1">
      <alignment vertical="top"/>
      <protection locked="0"/>
    </xf>
    <xf numFmtId="40" fontId="7" fillId="11" borderId="0" xfId="0" applyNumberFormat="1" applyFont="1" applyFill="1" applyBorder="1"/>
    <xf numFmtId="6" fontId="7" fillId="11" borderId="9" xfId="0" applyNumberFormat="1" applyFont="1" applyFill="1" applyBorder="1" applyAlignment="1" applyProtection="1">
      <alignment vertical="top"/>
      <protection locked="0"/>
    </xf>
    <xf numFmtId="40" fontId="7" fillId="11" borderId="9" xfId="0" applyNumberFormat="1" applyFont="1" applyFill="1" applyBorder="1"/>
    <xf numFmtId="40" fontId="7" fillId="11" borderId="10" xfId="0" applyNumberFormat="1" applyFont="1" applyFill="1" applyBorder="1"/>
    <xf numFmtId="6" fontId="7" fillId="11" borderId="0" xfId="0" applyNumberFormat="1" applyFont="1" applyFill="1" applyAlignment="1" applyProtection="1">
      <alignment vertical="top"/>
      <protection locked="0"/>
    </xf>
    <xf numFmtId="0" fontId="7" fillId="11" borderId="0" xfId="0" applyFont="1" applyFill="1" applyBorder="1"/>
    <xf numFmtId="0" fontId="7" fillId="11" borderId="9" xfId="0" applyFont="1" applyFill="1" applyBorder="1"/>
    <xf numFmtId="6" fontId="7" fillId="5" borderId="10" xfId="0" applyNumberFormat="1" applyFont="1" applyFill="1" applyBorder="1"/>
    <xf numFmtId="6" fontId="9" fillId="0" borderId="0" xfId="0" applyNumberFormat="1" applyFont="1" applyBorder="1" applyProtection="1">
      <protection locked="0"/>
    </xf>
    <xf numFmtId="6" fontId="4" fillId="0" borderId="0" xfId="0" applyNumberFormat="1" applyFont="1" applyFill="1" applyAlignment="1">
      <alignment horizontal="right"/>
    </xf>
    <xf numFmtId="6" fontId="4" fillId="7" borderId="0" xfId="0" applyNumberFormat="1" applyFont="1" applyFill="1" applyAlignment="1">
      <alignment horizontal="right"/>
    </xf>
    <xf numFmtId="6" fontId="4" fillId="11" borderId="0" xfId="0" applyNumberFormat="1" applyFont="1" applyFill="1" applyAlignment="1">
      <alignment horizontal="right"/>
    </xf>
    <xf numFmtId="6" fontId="7" fillId="5" borderId="2" xfId="0" applyNumberFormat="1" applyFont="1" applyFill="1" applyBorder="1"/>
    <xf numFmtId="0" fontId="7" fillId="0" borderId="0" xfId="0" applyFont="1" applyAlignment="1">
      <alignment horizontal="right"/>
    </xf>
    <xf numFmtId="0" fontId="7" fillId="0" borderId="0" xfId="0" applyFont="1" applyAlignment="1">
      <alignment vertical="top" wrapText="1"/>
    </xf>
    <xf numFmtId="0" fontId="7" fillId="0" borderId="0" xfId="0" applyFont="1" applyAlignment="1" applyProtection="1">
      <alignment vertical="top" wrapText="1"/>
      <protection locked="0"/>
    </xf>
    <xf numFmtId="0" fontId="4" fillId="0" borderId="0" xfId="0" applyFont="1" applyAlignment="1" applyProtection="1">
      <alignment vertical="top" wrapText="1"/>
      <protection locked="0"/>
    </xf>
    <xf numFmtId="38" fontId="7" fillId="0" borderId="0" xfId="0" applyNumberFormat="1" applyFont="1" applyAlignment="1">
      <alignment horizontal="center" vertical="top" wrapText="1"/>
    </xf>
    <xf numFmtId="6" fontId="7" fillId="0" borderId="0" xfId="0" applyNumberFormat="1" applyFont="1" applyAlignment="1">
      <alignment vertical="top" wrapText="1"/>
    </xf>
    <xf numFmtId="6" fontId="7" fillId="0" borderId="0" xfId="1" applyNumberFormat="1" applyFont="1" applyAlignment="1">
      <alignment horizontal="right" vertical="top" wrapText="1"/>
    </xf>
    <xf numFmtId="164" fontId="7" fillId="0" borderId="0" xfId="0" applyNumberFormat="1" applyFont="1" applyAlignment="1">
      <alignment horizontal="center" vertical="top" wrapText="1"/>
    </xf>
    <xf numFmtId="164" fontId="4" fillId="0" borderId="0" xfId="0" applyNumberFormat="1" applyFont="1" applyAlignment="1">
      <alignment vertical="top" wrapText="1"/>
    </xf>
    <xf numFmtId="6" fontId="4" fillId="12" borderId="0" xfId="0" applyNumberFormat="1" applyFont="1" applyFill="1" applyBorder="1" applyAlignment="1">
      <alignment horizontal="center"/>
    </xf>
    <xf numFmtId="0" fontId="8" fillId="11" borderId="0" xfId="0" applyFont="1" applyFill="1" applyBorder="1" applyProtection="1">
      <protection locked="0"/>
    </xf>
    <xf numFmtId="0" fontId="7" fillId="11" borderId="6" xfId="0" applyFont="1" applyFill="1" applyBorder="1" applyAlignment="1">
      <alignment vertical="top"/>
    </xf>
    <xf numFmtId="0" fontId="7" fillId="11" borderId="0" xfId="0" applyFont="1" applyFill="1" applyBorder="1" applyAlignment="1">
      <alignment vertical="top"/>
    </xf>
    <xf numFmtId="6" fontId="7" fillId="11" borderId="0" xfId="0" applyNumberFormat="1" applyFont="1" applyFill="1" applyBorder="1" applyAlignment="1">
      <alignment vertical="top"/>
    </xf>
    <xf numFmtId="6" fontId="7" fillId="11" borderId="0" xfId="0" applyNumberFormat="1" applyFont="1" applyFill="1" applyBorder="1" applyAlignment="1">
      <alignment horizontal="left" wrapText="1"/>
    </xf>
    <xf numFmtId="6" fontId="7" fillId="2" borderId="7" xfId="0" applyNumberFormat="1" applyFont="1" applyFill="1" applyBorder="1" applyAlignment="1">
      <alignment vertical="top"/>
    </xf>
    <xf numFmtId="6" fontId="7" fillId="4" borderId="10" xfId="0" applyNumberFormat="1" applyFont="1" applyFill="1" applyBorder="1" applyProtection="1">
      <protection locked="0"/>
    </xf>
    <xf numFmtId="0" fontId="4" fillId="0" borderId="9" xfId="0" applyFont="1" applyBorder="1" applyAlignment="1" applyProtection="1">
      <alignment horizontal="left"/>
      <protection locked="0"/>
    </xf>
    <xf numFmtId="0" fontId="4" fillId="0" borderId="9" xfId="0" applyFont="1" applyFill="1" applyBorder="1" applyAlignment="1" applyProtection="1">
      <alignment horizontal="right"/>
      <protection locked="0"/>
    </xf>
    <xf numFmtId="0" fontId="4" fillId="0" borderId="9" xfId="0" applyFont="1" applyBorder="1" applyAlignment="1" applyProtection="1">
      <alignment horizontal="right"/>
      <protection locked="0"/>
    </xf>
    <xf numFmtId="0" fontId="4" fillId="7" borderId="9" xfId="0" applyFont="1" applyFill="1" applyBorder="1" applyAlignment="1" applyProtection="1">
      <alignment horizontal="right"/>
      <protection locked="0"/>
    </xf>
    <xf numFmtId="0" fontId="4" fillId="11" borderId="9" xfId="0" applyFont="1" applyFill="1" applyBorder="1" applyAlignment="1" applyProtection="1">
      <alignment horizontal="right"/>
      <protection locked="0"/>
    </xf>
    <xf numFmtId="0" fontId="4" fillId="0" borderId="9" xfId="0" applyFont="1" applyBorder="1" applyAlignment="1">
      <alignment horizontal="right"/>
    </xf>
    <xf numFmtId="0" fontId="7" fillId="0" borderId="12" xfId="0" applyFont="1" applyBorder="1"/>
    <xf numFmtId="0" fontId="7" fillId="0" borderId="13" xfId="0" applyFont="1" applyBorder="1" applyProtection="1">
      <protection locked="0"/>
    </xf>
    <xf numFmtId="6" fontId="7" fillId="0" borderId="0" xfId="0" applyNumberFormat="1" applyFont="1" applyAlignment="1">
      <alignment horizontal="right" wrapText="1"/>
    </xf>
    <xf numFmtId="0" fontId="2" fillId="0" borderId="0" xfId="0" applyFont="1" applyAlignment="1">
      <alignment horizontal="left"/>
    </xf>
    <xf numFmtId="6" fontId="4" fillId="8" borderId="3" xfId="0" applyNumberFormat="1" applyFont="1" applyFill="1" applyBorder="1" applyAlignment="1">
      <alignment horizontal="center"/>
    </xf>
    <xf numFmtId="6" fontId="4" fillId="9" borderId="9" xfId="0" applyNumberFormat="1" applyFont="1" applyFill="1" applyBorder="1" applyAlignment="1">
      <alignment horizontal="center"/>
    </xf>
    <xf numFmtId="6" fontId="4" fillId="9" borderId="15" xfId="0" applyNumberFormat="1" applyFont="1" applyFill="1" applyBorder="1" applyAlignment="1">
      <alignment horizontal="center"/>
    </xf>
    <xf numFmtId="6" fontId="7" fillId="7" borderId="0" xfId="0" applyNumberFormat="1" applyFont="1" applyFill="1" applyProtection="1">
      <protection locked="0"/>
    </xf>
    <xf numFmtId="6" fontId="4" fillId="7" borderId="0" xfId="0" applyNumberFormat="1" applyFont="1" applyFill="1" applyBorder="1" applyAlignment="1" applyProtection="1">
      <alignment vertical="top"/>
      <protection locked="0"/>
    </xf>
    <xf numFmtId="6" fontId="7" fillId="7" borderId="0" xfId="0" applyNumberFormat="1" applyFont="1" applyFill="1" applyBorder="1" applyAlignment="1" applyProtection="1">
      <alignment vertical="top"/>
      <protection locked="0"/>
    </xf>
    <xf numFmtId="6" fontId="4" fillId="7" borderId="0" xfId="0" applyNumberFormat="1" applyFont="1" applyFill="1" applyBorder="1" applyAlignment="1">
      <alignment vertical="top"/>
    </xf>
    <xf numFmtId="6" fontId="7" fillId="7" borderId="0" xfId="0" applyNumberFormat="1" applyFont="1" applyFill="1" applyBorder="1" applyAlignment="1">
      <alignment vertical="top"/>
    </xf>
    <xf numFmtId="6" fontId="4" fillId="7" borderId="0" xfId="0" applyNumberFormat="1" applyFont="1" applyFill="1" applyBorder="1" applyProtection="1">
      <protection locked="0"/>
    </xf>
    <xf numFmtId="6" fontId="7" fillId="7" borderId="10" xfId="0" applyNumberFormat="1" applyFont="1" applyFill="1" applyBorder="1" applyProtection="1">
      <protection locked="0"/>
    </xf>
    <xf numFmtId="6" fontId="7" fillId="7" borderId="0" xfId="0" applyNumberFormat="1" applyFont="1" applyFill="1" applyAlignment="1" applyProtection="1">
      <alignment vertical="top"/>
      <protection locked="0"/>
    </xf>
    <xf numFmtId="6" fontId="7" fillId="7" borderId="10" xfId="0" applyNumberFormat="1" applyFont="1" applyFill="1" applyBorder="1"/>
    <xf numFmtId="0" fontId="7" fillId="7" borderId="2" xfId="0" applyFont="1" applyFill="1" applyBorder="1"/>
    <xf numFmtId="6" fontId="7" fillId="7" borderId="2" xfId="0" applyNumberFormat="1" applyFont="1" applyFill="1" applyBorder="1"/>
    <xf numFmtId="0" fontId="4" fillId="7" borderId="3" xfId="0" applyFont="1" applyFill="1" applyBorder="1"/>
    <xf numFmtId="6" fontId="4" fillId="7" borderId="3" xfId="0" applyNumberFormat="1" applyFont="1" applyFill="1" applyBorder="1"/>
    <xf numFmtId="0" fontId="4" fillId="0" borderId="0" xfId="0" applyFont="1" applyFill="1" applyAlignment="1" applyProtection="1">
      <alignment horizontal="left"/>
      <protection locked="0"/>
    </xf>
    <xf numFmtId="0" fontId="4" fillId="0" borderId="0" xfId="0" applyFont="1" applyFill="1" applyAlignment="1" applyProtection="1">
      <alignment horizontal="center"/>
      <protection locked="0"/>
    </xf>
    <xf numFmtId="0" fontId="4" fillId="0" borderId="0" xfId="0" applyFont="1" applyFill="1" applyAlignment="1">
      <alignment horizontal="right"/>
    </xf>
    <xf numFmtId="6" fontId="4" fillId="0" borderId="0" xfId="0" applyNumberFormat="1" applyFont="1" applyFill="1" applyAlignment="1">
      <alignment horizontal="center"/>
    </xf>
    <xf numFmtId="0" fontId="0" fillId="0" borderId="13" xfId="0" applyFill="1" applyBorder="1"/>
    <xf numFmtId="0" fontId="0" fillId="0" borderId="10" xfId="0" applyFill="1" applyBorder="1"/>
    <xf numFmtId="6" fontId="0" fillId="0" borderId="10" xfId="0" applyNumberFormat="1" applyFill="1" applyBorder="1"/>
    <xf numFmtId="0" fontId="0" fillId="0" borderId="12" xfId="0" applyFill="1" applyBorder="1"/>
    <xf numFmtId="0" fontId="0" fillId="0" borderId="6" xfId="0" applyFill="1" applyBorder="1"/>
    <xf numFmtId="0" fontId="0" fillId="0" borderId="0" xfId="0" applyFill="1" applyBorder="1"/>
    <xf numFmtId="0" fontId="0" fillId="0" borderId="7" xfId="0" applyFill="1" applyBorder="1"/>
    <xf numFmtId="6" fontId="0" fillId="0" borderId="2" xfId="0" applyNumberFormat="1" applyFill="1" applyBorder="1"/>
    <xf numFmtId="0" fontId="0" fillId="0" borderId="2" xfId="0" applyFill="1" applyBorder="1"/>
    <xf numFmtId="0" fontId="0" fillId="0" borderId="3" xfId="0" applyFill="1" applyBorder="1"/>
    <xf numFmtId="6" fontId="0" fillId="0" borderId="3" xfId="0" applyNumberFormat="1" applyFill="1" applyBorder="1"/>
    <xf numFmtId="0" fontId="0" fillId="0" borderId="8" xfId="0" applyFill="1" applyBorder="1"/>
    <xf numFmtId="0" fontId="0" fillId="0" borderId="9" xfId="0" applyFill="1" applyBorder="1"/>
    <xf numFmtId="0" fontId="0" fillId="0" borderId="11" xfId="0" applyFill="1" applyBorder="1"/>
    <xf numFmtId="0" fontId="0" fillId="0" borderId="0" xfId="0" applyFill="1" applyAlignment="1">
      <alignment horizontal="right"/>
    </xf>
    <xf numFmtId="6" fontId="0" fillId="0" borderId="0" xfId="0" applyNumberFormat="1" applyFill="1" applyAlignment="1">
      <alignment horizontal="left"/>
    </xf>
    <xf numFmtId="6" fontId="4" fillId="12" borderId="15" xfId="0" applyNumberFormat="1" applyFont="1" applyFill="1" applyBorder="1" applyAlignment="1">
      <alignment horizontal="center"/>
    </xf>
    <xf numFmtId="38" fontId="4" fillId="11" borderId="0" xfId="0" applyNumberFormat="1" applyFont="1" applyFill="1" applyBorder="1" applyAlignment="1">
      <alignment vertical="top"/>
    </xf>
    <xf numFmtId="38" fontId="7" fillId="11" borderId="0" xfId="0" applyNumberFormat="1" applyFont="1" applyFill="1" applyBorder="1" applyAlignment="1" applyProtection="1">
      <alignment vertical="top"/>
      <protection locked="0"/>
    </xf>
    <xf numFmtId="38" fontId="4" fillId="11" borderId="0" xfId="0" applyNumberFormat="1" applyFont="1" applyFill="1" applyBorder="1" applyAlignment="1" applyProtection="1">
      <alignment vertical="top"/>
      <protection locked="0"/>
    </xf>
    <xf numFmtId="38" fontId="7" fillId="11" borderId="9" xfId="0" applyNumberFormat="1" applyFont="1" applyFill="1" applyBorder="1"/>
    <xf numFmtId="0" fontId="16" fillId="0" borderId="0" xfId="0" applyFont="1"/>
    <xf numFmtId="0" fontId="16" fillId="0" borderId="0" xfId="0" applyFont="1" applyFill="1"/>
    <xf numFmtId="0" fontId="16" fillId="7" borderId="0" xfId="0" applyFont="1" applyFill="1"/>
    <xf numFmtId="0" fontId="16" fillId="11" borderId="0" xfId="0" applyFont="1" applyFill="1"/>
    <xf numFmtId="6" fontId="16" fillId="0" borderId="0" xfId="0" applyNumberFormat="1" applyFont="1"/>
    <xf numFmtId="0" fontId="2" fillId="0" borderId="0" xfId="0" applyFont="1" applyAlignment="1" applyProtection="1">
      <alignment horizontal="right"/>
      <protection locked="0"/>
    </xf>
    <xf numFmtId="0" fontId="16" fillId="2" borderId="12" xfId="0" applyFont="1" applyFill="1" applyBorder="1"/>
    <xf numFmtId="0" fontId="16" fillId="2" borderId="0" xfId="0" applyFont="1" applyFill="1"/>
    <xf numFmtId="6" fontId="16" fillId="2" borderId="7" xfId="0" applyNumberFormat="1" applyFont="1" applyFill="1" applyBorder="1"/>
    <xf numFmtId="6" fontId="16" fillId="2" borderId="0" xfId="0" applyNumberFormat="1" applyFont="1" applyFill="1"/>
    <xf numFmtId="6" fontId="2" fillId="2" borderId="7" xfId="0" applyNumberFormat="1" applyFont="1" applyFill="1" applyBorder="1" applyAlignment="1">
      <alignment vertical="top" wrapText="1"/>
    </xf>
    <xf numFmtId="0" fontId="16" fillId="2" borderId="7" xfId="0" applyFont="1" applyFill="1" applyBorder="1"/>
    <xf numFmtId="6" fontId="16" fillId="0" borderId="7" xfId="0" applyNumberFormat="1" applyFont="1" applyFill="1" applyBorder="1"/>
    <xf numFmtId="6" fontId="16" fillId="0" borderId="0" xfId="0" applyNumberFormat="1" applyFont="1" applyFill="1"/>
    <xf numFmtId="6" fontId="16" fillId="0" borderId="11" xfId="0" applyNumberFormat="1" applyFont="1" applyBorder="1"/>
    <xf numFmtId="6" fontId="16" fillId="4" borderId="12" xfId="0" applyNumberFormat="1" applyFont="1" applyFill="1" applyBorder="1"/>
    <xf numFmtId="6" fontId="16" fillId="4" borderId="0" xfId="0" applyNumberFormat="1" applyFont="1" applyFill="1"/>
    <xf numFmtId="0" fontId="16" fillId="4" borderId="0" xfId="0" applyFont="1" applyFill="1"/>
    <xf numFmtId="6" fontId="16" fillId="4" borderId="7" xfId="0" applyNumberFormat="1" applyFont="1" applyFill="1" applyBorder="1"/>
    <xf numFmtId="6" fontId="16" fillId="11" borderId="7" xfId="0" applyNumberFormat="1" applyFont="1" applyFill="1" applyBorder="1"/>
    <xf numFmtId="6" fontId="16" fillId="11" borderId="0" xfId="0" applyNumberFormat="1" applyFont="1" applyFill="1"/>
    <xf numFmtId="6" fontId="16" fillId="0" borderId="7" xfId="0" applyNumberFormat="1" applyFont="1" applyBorder="1"/>
    <xf numFmtId="6" fontId="16" fillId="4" borderId="7" xfId="0" applyNumberFormat="1" applyFont="1" applyFill="1" applyBorder="1" applyAlignment="1">
      <alignment horizontal="center" vertical="top" wrapText="1"/>
    </xf>
    <xf numFmtId="6" fontId="16" fillId="4" borderId="0" xfId="0" applyNumberFormat="1" applyFont="1" applyFill="1" applyAlignment="1">
      <alignment vertical="top"/>
    </xf>
    <xf numFmtId="0" fontId="16" fillId="4" borderId="0" xfId="0" applyFont="1" applyFill="1" applyAlignment="1">
      <alignment vertical="top"/>
    </xf>
    <xf numFmtId="6" fontId="16" fillId="8" borderId="7" xfId="0" applyNumberFormat="1" applyFont="1" applyFill="1" applyBorder="1"/>
    <xf numFmtId="6" fontId="2" fillId="10" borderId="0" xfId="0" applyNumberFormat="1" applyFont="1" applyFill="1"/>
    <xf numFmtId="6" fontId="16" fillId="8" borderId="0" xfId="0" applyNumberFormat="1" applyFont="1" applyFill="1"/>
    <xf numFmtId="0" fontId="16" fillId="8" borderId="0" xfId="0" applyFont="1" applyFill="1"/>
    <xf numFmtId="6" fontId="2" fillId="10" borderId="0" xfId="0" applyNumberFormat="1" applyFont="1" applyFill="1" applyAlignment="1">
      <alignment horizontal="right"/>
    </xf>
    <xf numFmtId="6" fontId="16" fillId="10" borderId="0" xfId="0" applyNumberFormat="1" applyFont="1" applyFill="1"/>
    <xf numFmtId="0" fontId="16" fillId="10" borderId="0" xfId="0" applyFont="1" applyFill="1"/>
    <xf numFmtId="6" fontId="2" fillId="8" borderId="0" xfId="0" applyNumberFormat="1" applyFont="1" applyFill="1"/>
    <xf numFmtId="6" fontId="16" fillId="2" borderId="12" xfId="0" applyNumberFormat="1" applyFont="1" applyFill="1" applyBorder="1"/>
    <xf numFmtId="6" fontId="16" fillId="2" borderId="11" xfId="0" applyNumberFormat="1" applyFont="1" applyFill="1" applyBorder="1"/>
    <xf numFmtId="6" fontId="16" fillId="8" borderId="12" xfId="0" applyNumberFormat="1" applyFont="1" applyFill="1" applyBorder="1"/>
    <xf numFmtId="6" fontId="16" fillId="8" borderId="11" xfId="0" applyNumberFormat="1" applyFont="1" applyFill="1" applyBorder="1"/>
    <xf numFmtId="14" fontId="4" fillId="0" borderId="0" xfId="0" applyNumberFormat="1" applyFont="1" applyAlignment="1">
      <alignment horizontal="left"/>
    </xf>
    <xf numFmtId="0" fontId="17" fillId="2" borderId="13" xfId="0" applyFont="1" applyFill="1" applyBorder="1" applyProtection="1">
      <protection locked="0"/>
    </xf>
    <xf numFmtId="0" fontId="7" fillId="2" borderId="10" xfId="0" applyFont="1" applyFill="1" applyBorder="1" applyProtection="1">
      <protection locked="0"/>
    </xf>
    <xf numFmtId="0" fontId="7" fillId="0" borderId="10" xfId="0" applyFont="1" applyFill="1" applyBorder="1" applyProtection="1">
      <protection locked="0"/>
    </xf>
    <xf numFmtId="0" fontId="17" fillId="2" borderId="6" xfId="0" applyFont="1" applyFill="1" applyBorder="1" applyAlignment="1">
      <alignment vertical="top"/>
    </xf>
    <xf numFmtId="6" fontId="4" fillId="0" borderId="0" xfId="0" applyNumberFormat="1" applyFont="1" applyFill="1" applyBorder="1" applyAlignment="1">
      <alignment vertical="top"/>
    </xf>
    <xf numFmtId="6" fontId="7" fillId="0" borderId="10" xfId="0" applyNumberFormat="1" applyFont="1" applyFill="1" applyBorder="1" applyProtection="1">
      <protection locked="0"/>
    </xf>
    <xf numFmtId="6" fontId="7" fillId="2" borderId="16" xfId="0" applyNumberFormat="1" applyFont="1" applyFill="1" applyBorder="1" applyProtection="1">
      <protection locked="0"/>
    </xf>
    <xf numFmtId="6" fontId="7" fillId="4" borderId="2" xfId="0" applyNumberFormat="1" applyFont="1" applyFill="1" applyBorder="1"/>
    <xf numFmtId="6" fontId="7" fillId="0" borderId="10" xfId="0" applyNumberFormat="1" applyFont="1" applyFill="1" applyBorder="1"/>
    <xf numFmtId="6" fontId="7" fillId="0" borderId="9" xfId="0" applyNumberFormat="1" applyFont="1" applyFill="1" applyBorder="1"/>
    <xf numFmtId="6" fontId="4" fillId="8" borderId="15" xfId="0" applyNumberFormat="1" applyFont="1" applyFill="1" applyBorder="1" applyAlignment="1">
      <alignment horizontal="center"/>
    </xf>
    <xf numFmtId="0" fontId="7" fillId="0" borderId="2" xfId="0" applyFont="1" applyFill="1" applyBorder="1"/>
    <xf numFmtId="6" fontId="7" fillId="0" borderId="2" xfId="0" applyNumberFormat="1" applyFont="1" applyFill="1" applyBorder="1"/>
    <xf numFmtId="0" fontId="4" fillId="0" borderId="3" xfId="0" applyFont="1" applyFill="1" applyBorder="1"/>
    <xf numFmtId="6" fontId="16" fillId="2" borderId="10" xfId="0" applyNumberFormat="1" applyFont="1" applyFill="1" applyBorder="1" applyAlignment="1">
      <alignment horizontal="left" vertical="top" wrapText="1"/>
    </xf>
    <xf numFmtId="6" fontId="2" fillId="11" borderId="0" xfId="0" applyNumberFormat="1" applyFont="1" applyFill="1" applyBorder="1" applyAlignment="1">
      <alignment horizontal="left" vertical="top" wrapText="1"/>
    </xf>
    <xf numFmtId="6" fontId="2" fillId="2" borderId="0" xfId="0" applyNumberFormat="1" applyFont="1" applyFill="1" applyBorder="1" applyAlignment="1">
      <alignment vertical="top" wrapText="1"/>
    </xf>
    <xf numFmtId="6" fontId="16" fillId="2" borderId="3" xfId="0" applyNumberFormat="1" applyFont="1" applyFill="1" applyBorder="1" applyAlignment="1">
      <alignment horizontal="left" vertical="top" wrapText="1"/>
    </xf>
    <xf numFmtId="6" fontId="16" fillId="2" borderId="0" xfId="0" applyNumberFormat="1" applyFont="1" applyFill="1" applyBorder="1" applyAlignment="1">
      <alignment vertical="top" wrapText="1"/>
    </xf>
    <xf numFmtId="6" fontId="2" fillId="2" borderId="0" xfId="0" applyNumberFormat="1" applyFont="1" applyFill="1" applyBorder="1" applyAlignment="1">
      <alignment horizontal="left" vertical="top" wrapText="1"/>
    </xf>
    <xf numFmtId="6" fontId="16" fillId="2" borderId="0" xfId="0" applyNumberFormat="1" applyFont="1" applyFill="1" applyBorder="1" applyAlignment="1">
      <alignment horizontal="left" wrapText="1"/>
    </xf>
    <xf numFmtId="6" fontId="16" fillId="4" borderId="0" xfId="0" applyNumberFormat="1" applyFont="1" applyFill="1" applyBorder="1"/>
    <xf numFmtId="6" fontId="16" fillId="11" borderId="0" xfId="0" applyNumberFormat="1" applyFont="1" applyFill="1" applyBorder="1"/>
    <xf numFmtId="6" fontId="2" fillId="4" borderId="0" xfId="0" applyNumberFormat="1" applyFont="1" applyFill="1" applyBorder="1" applyAlignment="1">
      <alignment vertical="top" wrapText="1"/>
    </xf>
    <xf numFmtId="0" fontId="4" fillId="0" borderId="2" xfId="0" applyFont="1" applyFill="1" applyBorder="1" applyAlignment="1">
      <alignment horizontal="center"/>
    </xf>
    <xf numFmtId="0" fontId="4" fillId="7" borderId="2" xfId="0" applyFont="1" applyFill="1" applyBorder="1" applyAlignment="1">
      <alignment horizontal="center"/>
    </xf>
    <xf numFmtId="0" fontId="4" fillId="11" borderId="2" xfId="0" applyFont="1" applyFill="1" applyBorder="1" applyAlignment="1">
      <alignment horizontal="center"/>
    </xf>
    <xf numFmtId="0" fontId="15" fillId="0" borderId="0" xfId="0" applyFont="1" applyFill="1" applyAlignment="1">
      <alignment horizontal="center"/>
    </xf>
    <xf numFmtId="0" fontId="14" fillId="0" borderId="0" xfId="0" applyFont="1"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wconwell/Local%20Settings/Temporary%20Internet%20Files/OLK97/California%20Exposure%200509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amp;E Corp.  (unreg)"/>
      <sheetName val="PG&amp;E Corp.  "/>
      <sheetName val="Edison Int'l "/>
      <sheetName val="Px - ISO "/>
      <sheetName val="By Enron Entity"/>
      <sheetName val="Summary"/>
    </sheetNames>
    <sheetDataSet>
      <sheetData sheetId="0"/>
      <sheetData sheetId="1">
        <row r="15">
          <cell r="S15">
            <v>282384619.04401124</v>
          </cell>
        </row>
        <row r="21">
          <cell r="S21">
            <v>0</v>
          </cell>
        </row>
        <row r="33">
          <cell r="S33">
            <v>0</v>
          </cell>
        </row>
        <row r="39">
          <cell r="S39">
            <v>8223610</v>
          </cell>
        </row>
        <row r="47">
          <cell r="S47">
            <v>175756836</v>
          </cell>
        </row>
        <row r="58">
          <cell r="Q58">
            <v>65544466</v>
          </cell>
        </row>
      </sheetData>
      <sheetData sheetId="2">
        <row r="8">
          <cell r="Q8">
            <v>53333333</v>
          </cell>
        </row>
        <row r="12">
          <cell r="S12">
            <v>288155945.17102802</v>
          </cell>
        </row>
        <row r="25">
          <cell r="Q25">
            <v>10377138</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60"/>
  <sheetViews>
    <sheetView topLeftCell="B1" zoomScale="75" workbookViewId="0">
      <pane ySplit="7" topLeftCell="A35" activePane="bottomLeft" state="frozen"/>
      <selection pane="bottomLeft" activeCell="L4" sqref="L4"/>
    </sheetView>
  </sheetViews>
  <sheetFormatPr defaultColWidth="17.109375" defaultRowHeight="13.2" x14ac:dyDescent="0.25"/>
  <cols>
    <col min="1" max="1" width="31.109375" style="470" customWidth="1"/>
    <col min="2" max="2" width="13.109375" style="470" customWidth="1"/>
    <col min="3" max="3" width="17.109375" style="470" hidden="1" customWidth="1"/>
    <col min="4" max="4" width="19" style="471" bestFit="1" customWidth="1"/>
    <col min="5" max="5" width="21.109375" style="470" customWidth="1"/>
    <col min="6" max="11" width="17.109375" style="471" hidden="1" customWidth="1"/>
    <col min="12" max="12" width="23.33203125" style="470" bestFit="1" customWidth="1"/>
    <col min="13" max="13" width="17.109375" style="472" hidden="1" customWidth="1"/>
    <col min="14" max="16" width="17.109375" style="473" hidden="1" customWidth="1"/>
    <col min="17" max="17" width="17.109375" style="470" customWidth="1"/>
    <col min="18" max="18" width="19.33203125" style="470" bestFit="1" customWidth="1"/>
    <col min="19" max="19" width="49.88671875" style="470" customWidth="1"/>
    <col min="20" max="20" width="4" style="470" customWidth="1"/>
    <col min="21" max="16384" width="17.109375" style="470"/>
  </cols>
  <sheetData>
    <row r="1" spans="1:22" ht="15.6" x14ac:dyDescent="0.3">
      <c r="A1" s="34" t="s">
        <v>63</v>
      </c>
      <c r="B1" s="22"/>
      <c r="C1" s="22"/>
      <c r="D1" s="92"/>
      <c r="E1" s="22"/>
      <c r="F1" s="92"/>
      <c r="G1" s="92"/>
      <c r="H1" s="92"/>
      <c r="I1" s="92"/>
      <c r="J1" s="92"/>
      <c r="K1" s="92"/>
      <c r="L1" s="22"/>
      <c r="M1" s="261"/>
      <c r="N1" s="366"/>
      <c r="O1" s="366"/>
      <c r="P1" s="366"/>
      <c r="Q1" s="22"/>
      <c r="R1" s="22"/>
      <c r="S1" s="22"/>
    </row>
    <row r="2" spans="1:22" ht="15.6" x14ac:dyDescent="0.3">
      <c r="A2" s="19" t="s">
        <v>147</v>
      </c>
      <c r="B2" s="507">
        <v>37049</v>
      </c>
      <c r="C2" s="507"/>
      <c r="D2" s="92"/>
      <c r="E2" s="22"/>
      <c r="F2" s="92"/>
      <c r="G2" s="92"/>
      <c r="H2" s="92"/>
      <c r="I2" s="92"/>
      <c r="J2" s="92"/>
      <c r="K2" s="92"/>
      <c r="L2" s="22"/>
      <c r="M2" s="261"/>
      <c r="N2" s="366"/>
      <c r="O2" s="366"/>
      <c r="P2" s="366"/>
      <c r="Q2" s="22"/>
      <c r="R2" s="22"/>
      <c r="S2" s="22"/>
    </row>
    <row r="3" spans="1:22" ht="15.6" x14ac:dyDescent="0.3">
      <c r="A3" s="507"/>
      <c r="B3" s="507"/>
      <c r="C3" s="507"/>
      <c r="D3" s="92"/>
      <c r="E3" s="22"/>
      <c r="F3" s="92"/>
      <c r="G3" s="92"/>
      <c r="H3" s="92"/>
      <c r="I3" s="92"/>
      <c r="J3" s="92"/>
      <c r="K3" s="92"/>
      <c r="L3" s="22"/>
      <c r="M3" s="261"/>
      <c r="N3" s="366"/>
      <c r="O3" s="366"/>
      <c r="P3" s="366"/>
      <c r="Q3" s="22"/>
      <c r="R3" s="22"/>
      <c r="S3" s="27"/>
    </row>
    <row r="4" spans="1:22" s="1" customFormat="1" ht="15.6" x14ac:dyDescent="0.3">
      <c r="A4" s="34"/>
      <c r="B4" s="34"/>
      <c r="C4" s="34"/>
      <c r="D4" s="121"/>
      <c r="E4" s="34"/>
      <c r="F4" s="532" t="s">
        <v>194</v>
      </c>
      <c r="G4" s="532"/>
      <c r="H4" s="532"/>
      <c r="I4" s="532" t="s">
        <v>235</v>
      </c>
      <c r="J4" s="532"/>
      <c r="K4" s="532"/>
      <c r="L4" s="19" t="s">
        <v>228</v>
      </c>
      <c r="M4" s="262"/>
      <c r="N4" s="533"/>
      <c r="O4" s="533"/>
      <c r="P4" s="533"/>
      <c r="Q4" s="34"/>
      <c r="R4" s="34"/>
      <c r="S4" s="34"/>
      <c r="T4" s="2"/>
      <c r="U4" s="3"/>
    </row>
    <row r="5" spans="1:22" s="4" customFormat="1" ht="15.6" x14ac:dyDescent="0.3">
      <c r="A5" s="18"/>
      <c r="B5" s="18"/>
      <c r="C5" s="18"/>
      <c r="D5" s="255" t="s">
        <v>7</v>
      </c>
      <c r="E5" s="18" t="s">
        <v>8</v>
      </c>
      <c r="F5" s="255" t="s">
        <v>9</v>
      </c>
      <c r="G5" s="255" t="s">
        <v>10</v>
      </c>
      <c r="H5" s="255" t="s">
        <v>143</v>
      </c>
      <c r="I5" s="255" t="s">
        <v>9</v>
      </c>
      <c r="J5" s="255" t="s">
        <v>10</v>
      </c>
      <c r="K5" s="255" t="s">
        <v>143</v>
      </c>
      <c r="L5" s="19" t="s">
        <v>140</v>
      </c>
      <c r="M5" s="263" t="s">
        <v>22</v>
      </c>
      <c r="N5" s="380" t="s">
        <v>9</v>
      </c>
      <c r="O5" s="380" t="s">
        <v>10</v>
      </c>
      <c r="P5" s="380" t="s">
        <v>158</v>
      </c>
      <c r="Q5" s="18" t="s">
        <v>11</v>
      </c>
      <c r="R5" s="18" t="s">
        <v>12</v>
      </c>
      <c r="S5" s="19"/>
      <c r="T5" s="475"/>
      <c r="U5" s="3"/>
    </row>
    <row r="6" spans="1:22" s="4" customFormat="1" ht="15.6" x14ac:dyDescent="0.3">
      <c r="A6" s="20" t="s">
        <v>13</v>
      </c>
      <c r="B6" s="20" t="s">
        <v>14</v>
      </c>
      <c r="C6" s="20" t="s">
        <v>126</v>
      </c>
      <c r="D6" s="255" t="s">
        <v>15</v>
      </c>
      <c r="E6" s="18" t="s">
        <v>15</v>
      </c>
      <c r="F6" s="255" t="s">
        <v>16</v>
      </c>
      <c r="G6" s="255" t="s">
        <v>17</v>
      </c>
      <c r="H6" s="255" t="s">
        <v>18</v>
      </c>
      <c r="I6" s="255" t="s">
        <v>16</v>
      </c>
      <c r="J6" s="255" t="s">
        <v>17</v>
      </c>
      <c r="K6" s="255" t="s">
        <v>18</v>
      </c>
      <c r="L6" s="18" t="s">
        <v>18</v>
      </c>
      <c r="M6" s="263" t="s">
        <v>23</v>
      </c>
      <c r="N6" s="380" t="s">
        <v>16</v>
      </c>
      <c r="O6" s="380" t="s">
        <v>17</v>
      </c>
      <c r="P6" s="380" t="s">
        <v>18</v>
      </c>
      <c r="Q6" s="18" t="s">
        <v>19</v>
      </c>
      <c r="R6" s="18" t="s">
        <v>20</v>
      </c>
      <c r="S6" s="19"/>
      <c r="T6" s="475"/>
      <c r="U6" s="3"/>
    </row>
    <row r="7" spans="1:22" ht="15.6" thickBot="1" x14ac:dyDescent="0.3">
      <c r="A7" s="21"/>
      <c r="B7" s="21"/>
      <c r="C7" s="21"/>
      <c r="D7" s="98"/>
      <c r="E7" s="21"/>
      <c r="F7" s="98"/>
      <c r="G7" s="98"/>
      <c r="H7" s="98"/>
      <c r="I7" s="98"/>
      <c r="J7" s="98"/>
      <c r="K7" s="98"/>
      <c r="L7" s="21"/>
      <c r="M7" s="264"/>
      <c r="N7" s="381"/>
      <c r="O7" s="381"/>
      <c r="P7" s="381"/>
      <c r="Q7" s="21"/>
      <c r="R7" s="22"/>
      <c r="S7" s="22"/>
    </row>
    <row r="8" spans="1:22" s="477" customFormat="1" ht="15.6" x14ac:dyDescent="0.3">
      <c r="A8" s="508" t="s">
        <v>224</v>
      </c>
      <c r="B8" s="509"/>
      <c r="C8" s="509"/>
      <c r="D8" s="509"/>
      <c r="E8" s="509"/>
      <c r="F8" s="510"/>
      <c r="G8" s="510"/>
      <c r="H8" s="510"/>
      <c r="I8" s="510"/>
      <c r="J8" s="510"/>
      <c r="K8" s="510"/>
      <c r="L8" s="509"/>
      <c r="M8" s="509"/>
      <c r="N8" s="509"/>
      <c r="O8" s="509"/>
      <c r="P8" s="509"/>
      <c r="Q8" s="509"/>
      <c r="R8" s="298"/>
      <c r="S8" s="298"/>
      <c r="T8" s="476"/>
    </row>
    <row r="9" spans="1:22" s="477" customFormat="1" ht="15.6" x14ac:dyDescent="0.3">
      <c r="A9" s="187" t="s">
        <v>0</v>
      </c>
      <c r="B9" s="157" t="s">
        <v>77</v>
      </c>
      <c r="C9" s="157" t="s">
        <v>122</v>
      </c>
      <c r="D9" s="158">
        <v>0</v>
      </c>
      <c r="E9" s="158">
        <v>0</v>
      </c>
      <c r="F9" s="94">
        <v>0</v>
      </c>
      <c r="G9" s="94">
        <v>0</v>
      </c>
      <c r="H9" s="94">
        <f t="shared" ref="H9:H14" si="0">SUM(F9:G9)</f>
        <v>0</v>
      </c>
      <c r="I9" s="94">
        <v>0</v>
      </c>
      <c r="J9" s="94">
        <v>0</v>
      </c>
      <c r="K9" s="94">
        <v>0</v>
      </c>
      <c r="L9" s="158">
        <v>24209249</v>
      </c>
      <c r="M9" s="226"/>
      <c r="N9" s="376"/>
      <c r="O9" s="376"/>
      <c r="P9" s="376">
        <f t="shared" ref="P9:P14" si="1">SUM(N9:O9)</f>
        <v>0</v>
      </c>
      <c r="Q9" s="158">
        <f>+L9+E9</f>
        <v>24209249</v>
      </c>
      <c r="R9" s="159">
        <v>0</v>
      </c>
      <c r="S9" s="159"/>
      <c r="T9" s="478"/>
      <c r="U9" s="479"/>
      <c r="V9" s="479"/>
    </row>
    <row r="10" spans="1:22" s="477" customFormat="1" ht="15.6" x14ac:dyDescent="0.3">
      <c r="A10" s="187" t="s">
        <v>0</v>
      </c>
      <c r="B10" s="157" t="s">
        <v>78</v>
      </c>
      <c r="C10" s="157" t="s">
        <v>122</v>
      </c>
      <c r="D10" s="226">
        <v>79190183</v>
      </c>
      <c r="E10" s="158">
        <v>0</v>
      </c>
      <c r="F10" s="93">
        <v>0</v>
      </c>
      <c r="G10" s="93">
        <v>0</v>
      </c>
      <c r="H10" s="94">
        <f t="shared" si="0"/>
        <v>0</v>
      </c>
      <c r="I10" s="93">
        <v>0</v>
      </c>
      <c r="J10" s="93">
        <v>0</v>
      </c>
      <c r="K10" s="94">
        <v>0</v>
      </c>
      <c r="L10" s="158">
        <v>24138010</v>
      </c>
      <c r="M10" s="226"/>
      <c r="N10" s="370"/>
      <c r="O10" s="371"/>
      <c r="P10" s="370">
        <f>SUM(N10:O10)</f>
        <v>0</v>
      </c>
      <c r="Q10" s="158">
        <f>+L10+D10</f>
        <v>103328193</v>
      </c>
      <c r="R10" s="161">
        <v>0</v>
      </c>
      <c r="S10" s="159"/>
      <c r="T10" s="478"/>
      <c r="U10" s="479"/>
      <c r="V10" s="479"/>
    </row>
    <row r="11" spans="1:22" s="477" customFormat="1" ht="15.6" x14ac:dyDescent="0.3">
      <c r="A11" s="188" t="s">
        <v>0</v>
      </c>
      <c r="B11" s="160" t="s">
        <v>79</v>
      </c>
      <c r="C11" s="157" t="s">
        <v>122</v>
      </c>
      <c r="D11" s="226">
        <v>0</v>
      </c>
      <c r="E11" s="158">
        <v>0</v>
      </c>
      <c r="F11" s="93">
        <v>0</v>
      </c>
      <c r="G11" s="93">
        <v>0</v>
      </c>
      <c r="H11" s="94">
        <f t="shared" si="0"/>
        <v>0</v>
      </c>
      <c r="I11" s="93">
        <v>0</v>
      </c>
      <c r="J11" s="93">
        <v>0</v>
      </c>
      <c r="K11" s="94">
        <f>SUM(I11:J11)</f>
        <v>0</v>
      </c>
      <c r="L11" s="158">
        <v>-82256219</v>
      </c>
      <c r="M11" s="226"/>
      <c r="N11" s="370"/>
      <c r="O11" s="371"/>
      <c r="P11" s="370">
        <f>SUM(N11:O11)</f>
        <v>0</v>
      </c>
      <c r="Q11" s="226">
        <v>0</v>
      </c>
      <c r="R11" s="161">
        <f>+L11+E11</f>
        <v>-82256219</v>
      </c>
      <c r="S11" s="161"/>
      <c r="T11" s="478"/>
      <c r="U11" s="479"/>
      <c r="V11" s="479"/>
    </row>
    <row r="12" spans="1:22" s="477" customFormat="1" ht="52.8" x14ac:dyDescent="0.25">
      <c r="A12" s="190" t="s">
        <v>0</v>
      </c>
      <c r="B12" s="162" t="s">
        <v>102</v>
      </c>
      <c r="C12" s="162" t="s">
        <v>102</v>
      </c>
      <c r="D12" s="84">
        <v>0</v>
      </c>
      <c r="E12" s="84">
        <v>0</v>
      </c>
      <c r="F12" s="199">
        <v>0</v>
      </c>
      <c r="G12" s="199">
        <v>0</v>
      </c>
      <c r="H12" s="204">
        <f t="shared" si="0"/>
        <v>0</v>
      </c>
      <c r="I12" s="199">
        <v>0</v>
      </c>
      <c r="J12" s="199">
        <v>0</v>
      </c>
      <c r="K12" s="204">
        <f>SUM(I12:J12)</f>
        <v>0</v>
      </c>
      <c r="L12" s="204">
        <f>194285398.78+34626814.14+4407894.13</f>
        <v>233320107.05000001</v>
      </c>
      <c r="M12" s="199"/>
      <c r="N12" s="199"/>
      <c r="O12" s="199"/>
      <c r="P12" s="204">
        <f t="shared" si="1"/>
        <v>0</v>
      </c>
      <c r="Q12" s="199">
        <f>+L12+E12+D12</f>
        <v>233320107.05000001</v>
      </c>
      <c r="R12" s="84">
        <v>0</v>
      </c>
      <c r="S12" s="524" t="s">
        <v>236</v>
      </c>
      <c r="T12" s="478"/>
      <c r="U12" s="479"/>
      <c r="V12" s="479"/>
    </row>
    <row r="13" spans="1:22" s="477" customFormat="1" ht="52.8" x14ac:dyDescent="0.25">
      <c r="A13" s="190" t="s">
        <v>0</v>
      </c>
      <c r="B13" s="162" t="s">
        <v>26</v>
      </c>
      <c r="C13" s="162" t="s">
        <v>102</v>
      </c>
      <c r="D13" s="84">
        <v>0</v>
      </c>
      <c r="E13" s="84">
        <v>0</v>
      </c>
      <c r="F13" s="84">
        <v>0</v>
      </c>
      <c r="G13" s="84">
        <v>0</v>
      </c>
      <c r="H13" s="204">
        <f t="shared" si="0"/>
        <v>0</v>
      </c>
      <c r="I13" s="199">
        <v>0</v>
      </c>
      <c r="J13" s="199">
        <v>0</v>
      </c>
      <c r="K13" s="204">
        <f>SUM(I13:J13)</f>
        <v>0</v>
      </c>
      <c r="L13" s="204">
        <f>163734665.84+521046.47</f>
        <v>164255712.31</v>
      </c>
      <c r="M13" s="84"/>
      <c r="N13" s="199"/>
      <c r="O13" s="199"/>
      <c r="P13" s="204">
        <f t="shared" si="1"/>
        <v>0</v>
      </c>
      <c r="Q13" s="84">
        <f>+L13+E13+D13</f>
        <v>164255712.31</v>
      </c>
      <c r="R13" s="84">
        <v>0</v>
      </c>
      <c r="S13" s="524" t="s">
        <v>237</v>
      </c>
      <c r="T13" s="480"/>
    </row>
    <row r="14" spans="1:22" s="477" customFormat="1" ht="15.6" x14ac:dyDescent="0.3">
      <c r="A14" s="192" t="s">
        <v>0</v>
      </c>
      <c r="B14" s="163" t="s">
        <v>80</v>
      </c>
      <c r="C14" s="162" t="s">
        <v>127</v>
      </c>
      <c r="D14" s="164">
        <v>0</v>
      </c>
      <c r="E14" s="164">
        <v>-629598.665988839</v>
      </c>
      <c r="F14" s="116">
        <v>0</v>
      </c>
      <c r="G14" s="116">
        <v>0</v>
      </c>
      <c r="H14" s="94">
        <f t="shared" si="0"/>
        <v>0</v>
      </c>
      <c r="I14" s="122">
        <v>0</v>
      </c>
      <c r="J14" s="122">
        <v>0</v>
      </c>
      <c r="K14" s="94">
        <f>SUM(I14:J14)</f>
        <v>0</v>
      </c>
      <c r="L14" s="158">
        <f>+K14+H14</f>
        <v>0</v>
      </c>
      <c r="M14" s="164"/>
      <c r="N14" s="383"/>
      <c r="O14" s="383"/>
      <c r="P14" s="376">
        <f t="shared" si="1"/>
        <v>0</v>
      </c>
      <c r="Q14" s="164">
        <v>0</v>
      </c>
      <c r="R14" s="164">
        <f>+L14+E14</f>
        <v>-629598.665988839</v>
      </c>
      <c r="S14" s="526"/>
      <c r="T14" s="481"/>
    </row>
    <row r="15" spans="1:22" s="477" customFormat="1" ht="15.6" x14ac:dyDescent="0.3">
      <c r="A15" s="192"/>
      <c r="B15" s="163"/>
      <c r="C15" s="162"/>
      <c r="D15" s="164"/>
      <c r="E15" s="164"/>
      <c r="F15" s="116"/>
      <c r="G15" s="116"/>
      <c r="H15" s="94"/>
      <c r="I15" s="122"/>
      <c r="J15" s="122"/>
      <c r="K15" s="94"/>
      <c r="L15" s="158"/>
      <c r="M15" s="164"/>
      <c r="N15" s="383"/>
      <c r="O15" s="383"/>
      <c r="P15" s="376"/>
      <c r="Q15" s="164"/>
      <c r="R15" s="164"/>
      <c r="S15" s="526"/>
      <c r="T15" s="481"/>
    </row>
    <row r="16" spans="1:22" s="477" customFormat="1" ht="15.6" x14ac:dyDescent="0.3">
      <c r="A16" s="511" t="s">
        <v>225</v>
      </c>
      <c r="B16" s="163"/>
      <c r="C16" s="162"/>
      <c r="D16" s="164"/>
      <c r="E16" s="164"/>
      <c r="F16" s="116"/>
      <c r="G16" s="116"/>
      <c r="H16" s="94"/>
      <c r="I16" s="122"/>
      <c r="J16" s="122"/>
      <c r="K16" s="94"/>
      <c r="L16" s="158"/>
      <c r="M16" s="164"/>
      <c r="N16" s="383"/>
      <c r="O16" s="383"/>
      <c r="P16" s="376"/>
      <c r="Q16" s="164"/>
      <c r="R16" s="164"/>
      <c r="S16" s="526"/>
      <c r="T16" s="481"/>
    </row>
    <row r="17" spans="1:22" s="477" customFormat="1" ht="15.6" x14ac:dyDescent="0.3">
      <c r="A17" s="192" t="s">
        <v>0</v>
      </c>
      <c r="B17" s="162" t="s">
        <v>102</v>
      </c>
      <c r="C17" s="222" t="s">
        <v>102</v>
      </c>
      <c r="D17" s="84">
        <v>0</v>
      </c>
      <c r="E17" s="84">
        <v>0</v>
      </c>
      <c r="F17" s="512">
        <v>0</v>
      </c>
      <c r="G17" s="512">
        <v>0</v>
      </c>
      <c r="H17" s="94">
        <f>SUM(F17:G17)</f>
        <v>0</v>
      </c>
      <c r="I17" s="122">
        <v>0</v>
      </c>
      <c r="J17" s="122">
        <v>0</v>
      </c>
      <c r="K17" s="94">
        <f>SUM(I17:J17)</f>
        <v>0</v>
      </c>
      <c r="L17" s="158">
        <f>+K17+H17</f>
        <v>0</v>
      </c>
      <c r="M17" s="84"/>
      <c r="N17" s="383"/>
      <c r="O17" s="383"/>
      <c r="P17" s="376">
        <f>SUM(N17:O17)</f>
        <v>0</v>
      </c>
      <c r="Q17" s="84">
        <v>0</v>
      </c>
      <c r="R17" s="161">
        <f>+L17+E17</f>
        <v>0</v>
      </c>
      <c r="S17" s="524" t="s">
        <v>226</v>
      </c>
      <c r="T17" s="480"/>
    </row>
    <row r="18" spans="1:22" s="477" customFormat="1" ht="15.6" x14ac:dyDescent="0.3">
      <c r="A18" s="192" t="s">
        <v>0</v>
      </c>
      <c r="B18" s="163" t="s">
        <v>77</v>
      </c>
      <c r="C18" s="162"/>
      <c r="D18" s="164">
        <v>0</v>
      </c>
      <c r="E18" s="164">
        <v>0</v>
      </c>
      <c r="F18" s="116">
        <v>0</v>
      </c>
      <c r="G18" s="116">
        <v>0</v>
      </c>
      <c r="H18" s="94">
        <f>SUM(F18:G18)</f>
        <v>0</v>
      </c>
      <c r="I18" s="122">
        <v>0</v>
      </c>
      <c r="J18" s="122">
        <v>0</v>
      </c>
      <c r="K18" s="94">
        <f>SUM(I18:J18)</f>
        <v>0</v>
      </c>
      <c r="L18" s="158">
        <f>+K18+H18</f>
        <v>0</v>
      </c>
      <c r="M18" s="164"/>
      <c r="N18" s="383"/>
      <c r="O18" s="383"/>
      <c r="P18" s="376"/>
      <c r="Q18" s="164">
        <f>+L18+E18</f>
        <v>0</v>
      </c>
      <c r="R18" s="164">
        <v>0</v>
      </c>
      <c r="S18" s="526"/>
      <c r="T18" s="481"/>
    </row>
    <row r="19" spans="1:22" s="477" customFormat="1" ht="15.6" x14ac:dyDescent="0.3">
      <c r="A19" s="192" t="s">
        <v>0</v>
      </c>
      <c r="B19" s="163" t="s">
        <v>78</v>
      </c>
      <c r="C19" s="162"/>
      <c r="D19" s="164">
        <v>0</v>
      </c>
      <c r="E19" s="164">
        <v>-17162901</v>
      </c>
      <c r="F19" s="116">
        <v>2691</v>
      </c>
      <c r="G19" s="116">
        <v>0</v>
      </c>
      <c r="H19" s="94">
        <f>SUM(F19:G19)</f>
        <v>2691</v>
      </c>
      <c r="I19" s="122">
        <v>0</v>
      </c>
      <c r="J19" s="122">
        <v>0</v>
      </c>
      <c r="K19" s="94">
        <f>SUM(I19:J19)</f>
        <v>0</v>
      </c>
      <c r="L19" s="158">
        <f>+K19+H19</f>
        <v>2691</v>
      </c>
      <c r="M19" s="164"/>
      <c r="N19" s="383"/>
      <c r="O19" s="383"/>
      <c r="P19" s="376"/>
      <c r="Q19" s="164">
        <v>0</v>
      </c>
      <c r="R19" s="164">
        <f>+L19+E19+D19</f>
        <v>-17160210</v>
      </c>
      <c r="S19" s="526" t="s">
        <v>227</v>
      </c>
      <c r="T19" s="481"/>
    </row>
    <row r="20" spans="1:22" s="477" customFormat="1" ht="15.6" x14ac:dyDescent="0.3">
      <c r="A20" s="192" t="s">
        <v>0</v>
      </c>
      <c r="B20" s="163" t="s">
        <v>79</v>
      </c>
      <c r="C20" s="162"/>
      <c r="D20" s="164">
        <v>0</v>
      </c>
      <c r="E20" s="164">
        <v>0</v>
      </c>
      <c r="F20" s="116"/>
      <c r="G20" s="116">
        <v>-795</v>
      </c>
      <c r="H20" s="94">
        <f>SUM(F20:G20)</f>
        <v>-795</v>
      </c>
      <c r="I20" s="122"/>
      <c r="J20" s="122">
        <v>0</v>
      </c>
      <c r="K20" s="94">
        <f>SUM(I20:J20)</f>
        <v>0</v>
      </c>
      <c r="L20" s="158">
        <f>+K20+H20</f>
        <v>-795</v>
      </c>
      <c r="M20" s="164"/>
      <c r="N20" s="383"/>
      <c r="O20" s="383"/>
      <c r="P20" s="376"/>
      <c r="Q20" s="25">
        <v>0</v>
      </c>
      <c r="R20" s="25">
        <f>+L20+E20</f>
        <v>-795</v>
      </c>
      <c r="S20" s="526"/>
      <c r="T20" s="481"/>
    </row>
    <row r="21" spans="1:22" s="471" customFormat="1" ht="16.2" thickBot="1" x14ac:dyDescent="0.35">
      <c r="A21" s="258" t="s">
        <v>24</v>
      </c>
      <c r="B21" s="167"/>
      <c r="C21" s="167"/>
      <c r="D21" s="94"/>
      <c r="E21" s="94"/>
      <c r="F21" s="94"/>
      <c r="G21" s="94"/>
      <c r="H21" s="94"/>
      <c r="I21" s="122"/>
      <c r="J21" s="122"/>
      <c r="K21" s="94"/>
      <c r="L21" s="94"/>
      <c r="M21" s="265"/>
      <c r="N21" s="383"/>
      <c r="O21" s="383"/>
      <c r="P21" s="376"/>
      <c r="Q21" s="94">
        <f>SUM(Q9:Q20)</f>
        <v>525113261.36000001</v>
      </c>
      <c r="R21" s="94">
        <f>SUM(R9:R20)</f>
        <v>-100046822.66598883</v>
      </c>
      <c r="S21" s="259">
        <f>+Q21+R21</f>
        <v>425066438.69401121</v>
      </c>
      <c r="T21" s="482"/>
      <c r="U21" s="483"/>
      <c r="V21" s="483"/>
    </row>
    <row r="22" spans="1:22" ht="15.75" customHeight="1" thickTop="1" thickBot="1" x14ac:dyDescent="0.3">
      <c r="A22" s="193"/>
      <c r="B22" s="181"/>
      <c r="C22" s="181"/>
      <c r="D22" s="235"/>
      <c r="E22" s="182"/>
      <c r="F22" s="235"/>
      <c r="G22" s="235"/>
      <c r="H22" s="235"/>
      <c r="I22" s="235"/>
      <c r="J22" s="235"/>
      <c r="K22" s="235"/>
      <c r="L22" s="182"/>
      <c r="M22" s="266"/>
      <c r="N22" s="384"/>
      <c r="O22" s="384"/>
      <c r="P22" s="384"/>
      <c r="Q22" s="182"/>
      <c r="R22" s="183"/>
      <c r="S22" s="183"/>
      <c r="T22" s="484"/>
      <c r="U22" s="474"/>
      <c r="V22" s="474"/>
    </row>
    <row r="23" spans="1:22" s="487" customFormat="1" ht="15.6" hidden="1" x14ac:dyDescent="0.3">
      <c r="A23" s="256" t="s">
        <v>2</v>
      </c>
      <c r="B23" s="257" t="s">
        <v>77</v>
      </c>
      <c r="C23" s="240" t="s">
        <v>122</v>
      </c>
      <c r="D23" s="234">
        <v>0</v>
      </c>
      <c r="E23" s="234">
        <v>0</v>
      </c>
      <c r="F23" s="513">
        <v>0</v>
      </c>
      <c r="G23" s="513">
        <v>0</v>
      </c>
      <c r="H23" s="513">
        <f>SUM(F23:G23)</f>
        <v>0</v>
      </c>
      <c r="I23" s="513">
        <v>0</v>
      </c>
      <c r="J23" s="513">
        <v>0</v>
      </c>
      <c r="K23" s="513">
        <f>SUM(I23:J23)</f>
        <v>0</v>
      </c>
      <c r="L23" s="227">
        <f>+K23+H23</f>
        <v>0</v>
      </c>
      <c r="M23" s="234"/>
      <c r="N23" s="362"/>
      <c r="O23" s="362"/>
      <c r="P23" s="362">
        <f>SUM(N23:O23)</f>
        <v>0</v>
      </c>
      <c r="Q23" s="234">
        <f>+L23+E23</f>
        <v>0</v>
      </c>
      <c r="R23" s="237">
        <v>0</v>
      </c>
      <c r="S23" s="237"/>
      <c r="T23" s="485"/>
      <c r="U23" s="486"/>
      <c r="V23" s="486"/>
    </row>
    <row r="24" spans="1:22" s="487" customFormat="1" ht="15.6" x14ac:dyDescent="0.3">
      <c r="A24" s="248" t="s">
        <v>2</v>
      </c>
      <c r="B24" s="239" t="s">
        <v>233</v>
      </c>
      <c r="C24" s="240" t="s">
        <v>122</v>
      </c>
      <c r="D24" s="234">
        <v>0</v>
      </c>
      <c r="E24" s="234">
        <v>-2200031</v>
      </c>
      <c r="F24" s="93">
        <v>0</v>
      </c>
      <c r="G24" s="93">
        <v>0</v>
      </c>
      <c r="H24" s="93">
        <f>SUM(F24:G24)</f>
        <v>0</v>
      </c>
      <c r="I24" s="93">
        <v>0</v>
      </c>
      <c r="J24" s="93">
        <v>0</v>
      </c>
      <c r="K24" s="93">
        <f>SUM(I24:J24)</f>
        <v>0</v>
      </c>
      <c r="L24" s="227">
        <f>+K24+H24</f>
        <v>0</v>
      </c>
      <c r="M24" s="234"/>
      <c r="N24" s="362"/>
      <c r="O24" s="362"/>
      <c r="P24" s="362">
        <f>SUM(N24:O24)</f>
        <v>0</v>
      </c>
      <c r="Q24" s="234">
        <f>+L24</f>
        <v>0</v>
      </c>
      <c r="R24" s="236">
        <f>+L24+E24</f>
        <v>-2200031</v>
      </c>
      <c r="S24" s="236"/>
      <c r="T24" s="488"/>
      <c r="U24" s="486"/>
      <c r="V24" s="486"/>
    </row>
    <row r="25" spans="1:22" s="487" customFormat="1" ht="16.2" thickBot="1" x14ac:dyDescent="0.35">
      <c r="A25" s="248" t="s">
        <v>2</v>
      </c>
      <c r="B25" s="239" t="s">
        <v>79</v>
      </c>
      <c r="C25" s="240" t="s">
        <v>122</v>
      </c>
      <c r="D25" s="234">
        <v>0</v>
      </c>
      <c r="E25" s="234">
        <v>0</v>
      </c>
      <c r="F25" s="93">
        <v>0</v>
      </c>
      <c r="G25" s="93">
        <v>-22223</v>
      </c>
      <c r="H25" s="93">
        <f>+G25+F25</f>
        <v>-22223</v>
      </c>
      <c r="I25" s="93">
        <v>0</v>
      </c>
      <c r="J25" s="93">
        <v>0</v>
      </c>
      <c r="K25" s="93">
        <f>+J25+I25</f>
        <v>0</v>
      </c>
      <c r="L25" s="246">
        <f>+K25+H25</f>
        <v>-22223</v>
      </c>
      <c r="M25" s="234"/>
      <c r="N25" s="362"/>
      <c r="O25" s="362"/>
      <c r="P25" s="362">
        <f>SUM(N25:O25)</f>
        <v>0</v>
      </c>
      <c r="Q25" s="234">
        <v>0</v>
      </c>
      <c r="R25" s="236">
        <f>+L25</f>
        <v>-22223</v>
      </c>
      <c r="S25" s="529" t="s">
        <v>153</v>
      </c>
      <c r="T25" s="488"/>
      <c r="U25" s="486"/>
      <c r="V25" s="486"/>
    </row>
    <row r="26" spans="1:22" s="473" customFormat="1" ht="16.2" hidden="1" thickBot="1" x14ac:dyDescent="0.35">
      <c r="A26" s="359" t="s">
        <v>2</v>
      </c>
      <c r="B26" s="360" t="s">
        <v>146</v>
      </c>
      <c r="C26" s="361" t="s">
        <v>102</v>
      </c>
      <c r="D26" s="362">
        <v>0</v>
      </c>
      <c r="E26" s="362">
        <v>0</v>
      </c>
      <c r="F26" s="93">
        <v>0</v>
      </c>
      <c r="G26" s="93">
        <v>0</v>
      </c>
      <c r="H26" s="93">
        <v>0</v>
      </c>
      <c r="I26" s="93">
        <v>0</v>
      </c>
      <c r="J26" s="93">
        <v>0</v>
      </c>
      <c r="K26" s="93">
        <v>0</v>
      </c>
      <c r="L26" s="376">
        <v>0</v>
      </c>
      <c r="M26" s="362"/>
      <c r="N26" s="362"/>
      <c r="O26" s="362"/>
      <c r="P26" s="362">
        <f>SUM(N26:O26)</f>
        <v>0</v>
      </c>
      <c r="Q26" s="362">
        <f>+L26+E26</f>
        <v>0</v>
      </c>
      <c r="R26" s="363">
        <v>0</v>
      </c>
      <c r="S26" s="377"/>
      <c r="T26" s="489"/>
      <c r="U26" s="490"/>
      <c r="V26" s="490"/>
    </row>
    <row r="27" spans="1:22" ht="16.8" thickTop="1" thickBot="1" x14ac:dyDescent="0.35">
      <c r="A27" s="173" t="s">
        <v>25</v>
      </c>
      <c r="B27" s="169"/>
      <c r="C27" s="169"/>
      <c r="D27" s="94"/>
      <c r="E27" s="155"/>
      <c r="F27" s="94"/>
      <c r="G27" s="94"/>
      <c r="H27" s="94"/>
      <c r="I27" s="94"/>
      <c r="J27" s="94"/>
      <c r="K27" s="94"/>
      <c r="L27" s="155"/>
      <c r="M27" s="265"/>
      <c r="N27" s="376"/>
      <c r="O27" s="376"/>
      <c r="P27" s="376"/>
      <c r="Q27" s="155"/>
      <c r="R27" s="86"/>
      <c r="S27" s="32">
        <f>IF(SUM(Q23:Q26)&gt;-SUM(R23:R26),SUM(Q23:Q26),0)</f>
        <v>0</v>
      </c>
      <c r="T27" s="491"/>
      <c r="U27" s="474" t="s">
        <v>138</v>
      </c>
      <c r="V27" s="474"/>
    </row>
    <row r="28" spans="1:22" ht="15.6" thickTop="1" x14ac:dyDescent="0.25">
      <c r="A28" s="174"/>
      <c r="B28" s="169"/>
      <c r="C28" s="169"/>
      <c r="D28" s="94"/>
      <c r="E28" s="155"/>
      <c r="F28" s="94"/>
      <c r="G28" s="94"/>
      <c r="H28" s="94"/>
      <c r="I28" s="94"/>
      <c r="J28" s="94"/>
      <c r="K28" s="94"/>
      <c r="L28" s="155"/>
      <c r="M28" s="265"/>
      <c r="N28" s="376"/>
      <c r="O28" s="376"/>
      <c r="P28" s="376"/>
      <c r="Q28" s="155"/>
      <c r="R28" s="86"/>
      <c r="S28" s="86"/>
      <c r="T28" s="491"/>
      <c r="U28" s="474"/>
      <c r="V28" s="474"/>
    </row>
    <row r="29" spans="1:22" s="487" customFormat="1" ht="18.75" hidden="1" customHeight="1" x14ac:dyDescent="0.3">
      <c r="A29" s="249" t="s">
        <v>3</v>
      </c>
      <c r="B29" s="250" t="s">
        <v>88</v>
      </c>
      <c r="C29" s="240" t="s">
        <v>122</v>
      </c>
      <c r="D29" s="234">
        <v>0</v>
      </c>
      <c r="E29" s="234">
        <v>0</v>
      </c>
      <c r="F29" s="93"/>
      <c r="G29" s="93"/>
      <c r="H29" s="93">
        <v>0</v>
      </c>
      <c r="I29" s="93"/>
      <c r="J29" s="93"/>
      <c r="K29" s="93">
        <v>0</v>
      </c>
      <c r="L29" s="227">
        <v>0</v>
      </c>
      <c r="M29" s="226"/>
      <c r="N29" s="371"/>
      <c r="O29" s="371"/>
      <c r="P29" s="370">
        <f t="shared" ref="P29:P34" si="2">SUM(N29:O29)</f>
        <v>0</v>
      </c>
      <c r="Q29" s="234">
        <f>+L29+E29</f>
        <v>0</v>
      </c>
      <c r="R29" s="236">
        <v>0</v>
      </c>
      <c r="S29" s="236"/>
      <c r="T29" s="488"/>
      <c r="U29" s="486"/>
      <c r="V29" s="486"/>
    </row>
    <row r="30" spans="1:22" s="487" customFormat="1" ht="15.6" x14ac:dyDescent="0.3">
      <c r="A30" s="248" t="s">
        <v>3</v>
      </c>
      <c r="B30" s="250" t="s">
        <v>148</v>
      </c>
      <c r="C30" s="240" t="s">
        <v>123</v>
      </c>
      <c r="D30" s="234">
        <v>0</v>
      </c>
      <c r="E30" s="234">
        <v>0</v>
      </c>
      <c r="F30" s="93">
        <v>0</v>
      </c>
      <c r="G30" s="93">
        <v>0</v>
      </c>
      <c r="H30" s="115">
        <f>+F30+G30</f>
        <v>0</v>
      </c>
      <c r="I30" s="93">
        <v>0</v>
      </c>
      <c r="J30" s="93">
        <v>0</v>
      </c>
      <c r="K30" s="115">
        <f>+I30+J30</f>
        <v>0</v>
      </c>
      <c r="L30" s="246">
        <f>+K30+H30</f>
        <v>0</v>
      </c>
      <c r="M30" s="234"/>
      <c r="N30" s="371"/>
      <c r="O30" s="371"/>
      <c r="P30" s="370">
        <f t="shared" si="2"/>
        <v>0</v>
      </c>
      <c r="Q30" s="234">
        <f>+L30+E30</f>
        <v>0</v>
      </c>
      <c r="R30" s="236">
        <v>0</v>
      </c>
      <c r="S30" s="529" t="s">
        <v>149</v>
      </c>
      <c r="T30" s="488"/>
      <c r="U30" s="486"/>
      <c r="V30" s="486"/>
    </row>
    <row r="31" spans="1:22" s="487" customFormat="1" ht="15.6" x14ac:dyDescent="0.3">
      <c r="A31" s="248" t="s">
        <v>3</v>
      </c>
      <c r="B31" s="250" t="s">
        <v>78</v>
      </c>
      <c r="C31" s="240" t="s">
        <v>122</v>
      </c>
      <c r="D31" s="234">
        <v>138342</v>
      </c>
      <c r="E31" s="227">
        <v>0</v>
      </c>
      <c r="F31" s="94">
        <v>0</v>
      </c>
      <c r="G31" s="94">
        <v>0</v>
      </c>
      <c r="H31" s="115">
        <f>+F31+G31</f>
        <v>0</v>
      </c>
      <c r="I31" s="94">
        <v>0</v>
      </c>
      <c r="J31" s="94">
        <v>0</v>
      </c>
      <c r="K31" s="115">
        <f>+I31+J31</f>
        <v>0</v>
      </c>
      <c r="L31" s="246">
        <f>+K31+H31</f>
        <v>0</v>
      </c>
      <c r="M31" s="227"/>
      <c r="N31" s="371"/>
      <c r="O31" s="371"/>
      <c r="P31" s="370">
        <f t="shared" si="2"/>
        <v>0</v>
      </c>
      <c r="Q31" s="234">
        <f>+D31</f>
        <v>138342</v>
      </c>
      <c r="R31" s="236">
        <v>0</v>
      </c>
      <c r="S31" s="529"/>
      <c r="T31" s="488"/>
      <c r="U31" s="486"/>
      <c r="V31" s="486"/>
    </row>
    <row r="32" spans="1:22" s="487" customFormat="1" ht="15.6" x14ac:dyDescent="0.3">
      <c r="A32" s="248" t="s">
        <v>3</v>
      </c>
      <c r="B32" s="250" t="s">
        <v>78</v>
      </c>
      <c r="C32" s="240" t="s">
        <v>122</v>
      </c>
      <c r="D32" s="227">
        <v>0</v>
      </c>
      <c r="E32" s="234">
        <v>-436226</v>
      </c>
      <c r="F32" s="89">
        <v>4079375</v>
      </c>
      <c r="G32" s="89">
        <v>-7311856</v>
      </c>
      <c r="H32" s="115">
        <f>+F32+G32</f>
        <v>-3232481</v>
      </c>
      <c r="I32" s="94">
        <v>0</v>
      </c>
      <c r="J32" s="94">
        <v>0</v>
      </c>
      <c r="K32" s="115">
        <f>+I32+J32</f>
        <v>0</v>
      </c>
      <c r="L32" s="246">
        <f>+K32+H32</f>
        <v>-3232481</v>
      </c>
      <c r="M32" s="234"/>
      <c r="N32" s="362"/>
      <c r="O32" s="362"/>
      <c r="P32" s="370">
        <f t="shared" si="2"/>
        <v>0</v>
      </c>
      <c r="Q32" s="234">
        <v>0</v>
      </c>
      <c r="R32" s="236">
        <f>+L32+E32</f>
        <v>-3668707</v>
      </c>
      <c r="S32" s="529"/>
      <c r="T32" s="488"/>
      <c r="U32" s="486"/>
      <c r="V32" s="486"/>
    </row>
    <row r="33" spans="1:23" s="473" customFormat="1" ht="15.6" x14ac:dyDescent="0.3">
      <c r="A33" s="359" t="s">
        <v>3</v>
      </c>
      <c r="B33" s="412" t="s">
        <v>26</v>
      </c>
      <c r="C33" s="361" t="s">
        <v>102</v>
      </c>
      <c r="D33" s="376">
        <v>0</v>
      </c>
      <c r="E33" s="362">
        <v>27768720.881592654</v>
      </c>
      <c r="F33" s="365">
        <v>0</v>
      </c>
      <c r="G33" s="365">
        <v>0</v>
      </c>
      <c r="H33" s="393">
        <f>+F33+G33</f>
        <v>0</v>
      </c>
      <c r="I33" s="376">
        <v>0</v>
      </c>
      <c r="J33" s="376">
        <v>0</v>
      </c>
      <c r="K33" s="393">
        <f>+I33+J33</f>
        <v>0</v>
      </c>
      <c r="L33" s="370">
        <f>+K33+H33</f>
        <v>0</v>
      </c>
      <c r="M33" s="362"/>
      <c r="N33" s="362"/>
      <c r="O33" s="362"/>
      <c r="P33" s="370">
        <f t="shared" si="2"/>
        <v>0</v>
      </c>
      <c r="Q33" s="362">
        <f>+L33+E33</f>
        <v>27768720.881592654</v>
      </c>
      <c r="R33" s="363">
        <v>0</v>
      </c>
      <c r="S33" s="530"/>
      <c r="T33" s="489"/>
      <c r="U33" s="490"/>
      <c r="V33" s="490"/>
    </row>
    <row r="34" spans="1:23" s="487" customFormat="1" ht="27" thickBot="1" x14ac:dyDescent="0.3">
      <c r="A34" s="260" t="s">
        <v>3</v>
      </c>
      <c r="B34" s="282" t="s">
        <v>79</v>
      </c>
      <c r="C34" s="253" t="s">
        <v>122</v>
      </c>
      <c r="D34" s="147">
        <v>0</v>
      </c>
      <c r="E34" s="147">
        <v>-43172764</v>
      </c>
      <c r="F34" s="280">
        <f>1129162+38169628</f>
        <v>39298790</v>
      </c>
      <c r="G34" s="280">
        <v>-50185956</v>
      </c>
      <c r="H34" s="115">
        <f>+F34+G34</f>
        <v>-10887166</v>
      </c>
      <c r="I34" s="280">
        <f>21726891+50586220</f>
        <v>72313111</v>
      </c>
      <c r="J34" s="280">
        <f>-19537641-42326377</f>
        <v>-61864018</v>
      </c>
      <c r="K34" s="115">
        <f>+I34+J34</f>
        <v>10449093</v>
      </c>
      <c r="L34" s="246">
        <f>+K34+H34</f>
        <v>-438073</v>
      </c>
      <c r="M34" s="147"/>
      <c r="N34" s="371"/>
      <c r="O34" s="370"/>
      <c r="P34" s="370">
        <f t="shared" si="2"/>
        <v>0</v>
      </c>
      <c r="Q34" s="246">
        <v>0</v>
      </c>
      <c r="R34" s="247">
        <f>+E34+L34</f>
        <v>-43610837</v>
      </c>
      <c r="S34" s="531" t="s">
        <v>191</v>
      </c>
      <c r="T34" s="488"/>
      <c r="U34" s="486" t="s">
        <v>232</v>
      </c>
      <c r="V34" s="486"/>
    </row>
    <row r="35" spans="1:23" ht="16.8" thickTop="1" thickBot="1" x14ac:dyDescent="0.35">
      <c r="A35" s="173" t="s">
        <v>106</v>
      </c>
      <c r="B35" s="170"/>
      <c r="C35" s="170"/>
      <c r="D35" s="170"/>
      <c r="E35" s="397"/>
      <c r="F35" s="94"/>
      <c r="G35" s="94"/>
      <c r="H35" s="94"/>
      <c r="I35" s="94"/>
      <c r="J35" s="94"/>
      <c r="K35" s="94"/>
      <c r="L35" s="397"/>
      <c r="M35" s="265"/>
      <c r="N35" s="376"/>
      <c r="O35" s="376"/>
      <c r="P35" s="376"/>
      <c r="Q35" s="155"/>
      <c r="R35" s="38"/>
      <c r="S35" s="32">
        <f>IF(SUM(Q30:Q34)&gt;-SUM(R30:R34),SUM(Q30:Q34),0)</f>
        <v>0</v>
      </c>
      <c r="T35" s="491"/>
      <c r="U35" s="474" t="s">
        <v>138</v>
      </c>
      <c r="V35" s="474"/>
    </row>
    <row r="36" spans="1:23" ht="16.2" thickTop="1" x14ac:dyDescent="0.3">
      <c r="A36" s="176"/>
      <c r="B36" s="170"/>
      <c r="C36" s="170"/>
      <c r="D36" s="94"/>
      <c r="E36" s="155"/>
      <c r="F36" s="94"/>
      <c r="G36" s="94"/>
      <c r="H36" s="94"/>
      <c r="I36" s="94"/>
      <c r="J36" s="94"/>
      <c r="K36" s="94"/>
      <c r="L36" s="155"/>
      <c r="M36" s="265"/>
      <c r="N36" s="376"/>
      <c r="O36" s="376"/>
      <c r="P36" s="376"/>
      <c r="Q36" s="155"/>
      <c r="R36" s="38"/>
      <c r="S36" s="38"/>
      <c r="T36" s="491"/>
      <c r="U36" s="474"/>
      <c r="V36" s="474"/>
    </row>
    <row r="37" spans="1:23" s="494" customFormat="1" ht="30" hidden="1" x14ac:dyDescent="0.25">
      <c r="A37" s="292" t="s">
        <v>105</v>
      </c>
      <c r="B37" s="244" t="s">
        <v>26</v>
      </c>
      <c r="C37" s="245" t="s">
        <v>102</v>
      </c>
      <c r="D37" s="246">
        <v>0</v>
      </c>
      <c r="E37" s="246">
        <v>0</v>
      </c>
      <c r="F37" s="280"/>
      <c r="G37" s="280"/>
      <c r="H37" s="115">
        <v>0</v>
      </c>
      <c r="I37" s="280"/>
      <c r="J37" s="280"/>
      <c r="K37" s="115">
        <v>0</v>
      </c>
      <c r="L37" s="227">
        <v>0</v>
      </c>
      <c r="M37" s="246"/>
      <c r="N37" s="370"/>
      <c r="O37" s="370"/>
      <c r="P37" s="393">
        <f>SUM(N37:O37)</f>
        <v>0</v>
      </c>
      <c r="Q37" s="147">
        <f>+L37+E37</f>
        <v>0</v>
      </c>
      <c r="R37" s="247">
        <v>0</v>
      </c>
      <c r="S37" s="241" t="s">
        <v>141</v>
      </c>
      <c r="T37" s="492"/>
      <c r="U37" s="493"/>
      <c r="V37" s="493"/>
    </row>
    <row r="38" spans="1:23" s="494" customFormat="1" ht="15.6" hidden="1" x14ac:dyDescent="0.3">
      <c r="A38" s="293" t="s">
        <v>108</v>
      </c>
      <c r="B38" s="239" t="s">
        <v>78</v>
      </c>
      <c r="C38" s="240" t="s">
        <v>122</v>
      </c>
      <c r="D38" s="234">
        <v>0</v>
      </c>
      <c r="E38" s="234">
        <v>0</v>
      </c>
      <c r="F38" s="93"/>
      <c r="G38" s="93"/>
      <c r="H38" s="93">
        <v>0</v>
      </c>
      <c r="I38" s="93"/>
      <c r="J38" s="93"/>
      <c r="K38" s="93">
        <v>0</v>
      </c>
      <c r="L38" s="227">
        <v>0</v>
      </c>
      <c r="M38" s="234"/>
      <c r="N38" s="362"/>
      <c r="O38" s="362"/>
      <c r="P38" s="362">
        <f>SUM(N38:O38)</f>
        <v>0</v>
      </c>
      <c r="Q38" s="234">
        <f>+L38+E38</f>
        <v>0</v>
      </c>
      <c r="R38" s="236">
        <v>0</v>
      </c>
      <c r="S38" s="241"/>
      <c r="T38" s="492"/>
      <c r="U38" s="493"/>
      <c r="V38" s="493"/>
    </row>
    <row r="39" spans="1:23" ht="16.8" hidden="1" thickTop="1" thickBot="1" x14ac:dyDescent="0.35">
      <c r="A39" s="294" t="s">
        <v>109</v>
      </c>
      <c r="B39" s="171"/>
      <c r="C39" s="171"/>
      <c r="D39" s="94"/>
      <c r="E39" s="155"/>
      <c r="F39" s="94"/>
      <c r="G39" s="94"/>
      <c r="H39" s="94"/>
      <c r="I39" s="94"/>
      <c r="J39" s="94"/>
      <c r="K39" s="94"/>
      <c r="L39" s="227"/>
      <c r="M39" s="265"/>
      <c r="N39" s="376"/>
      <c r="O39" s="376"/>
      <c r="P39" s="376"/>
      <c r="Q39" s="155"/>
      <c r="R39" s="155"/>
      <c r="S39" s="32">
        <f>+Q37+Q38</f>
        <v>0</v>
      </c>
      <c r="T39" s="491"/>
      <c r="U39" s="474" t="s">
        <v>138</v>
      </c>
      <c r="V39" s="474"/>
      <c r="W39" s="474">
        <f>+Q41+Q42+Q44</f>
        <v>29557982</v>
      </c>
    </row>
    <row r="40" spans="1:23" ht="15" hidden="1" x14ac:dyDescent="0.25">
      <c r="A40" s="177"/>
      <c r="B40" s="171"/>
      <c r="C40" s="171"/>
      <c r="D40" s="94"/>
      <c r="E40" s="155"/>
      <c r="F40" s="94"/>
      <c r="G40" s="94"/>
      <c r="H40" s="94"/>
      <c r="I40" s="94"/>
      <c r="J40" s="94"/>
      <c r="K40" s="94"/>
      <c r="L40" s="227"/>
      <c r="M40" s="265"/>
      <c r="N40" s="376"/>
      <c r="O40" s="376"/>
      <c r="P40" s="376"/>
      <c r="Q40" s="155"/>
      <c r="R40" s="86"/>
      <c r="S40" s="86"/>
      <c r="T40" s="491"/>
      <c r="U40" s="474"/>
      <c r="V40" s="474"/>
    </row>
    <row r="41" spans="1:23" s="487" customFormat="1" ht="15.6" x14ac:dyDescent="0.25">
      <c r="A41" s="251" t="s">
        <v>4</v>
      </c>
      <c r="B41" s="284" t="s">
        <v>77</v>
      </c>
      <c r="C41" s="253" t="s">
        <v>122</v>
      </c>
      <c r="D41" s="147">
        <v>2090225</v>
      </c>
      <c r="E41" s="246">
        <v>0</v>
      </c>
      <c r="F41" s="280">
        <v>0</v>
      </c>
      <c r="G41" s="280">
        <v>0</v>
      </c>
      <c r="H41" s="115">
        <f>+F41+G41</f>
        <v>0</v>
      </c>
      <c r="I41" s="280">
        <v>0</v>
      </c>
      <c r="J41" s="280">
        <v>0</v>
      </c>
      <c r="K41" s="115">
        <f>+I41+J41</f>
        <v>0</v>
      </c>
      <c r="L41" s="246">
        <f>+K41+H41</f>
        <v>0</v>
      </c>
      <c r="M41" s="246"/>
      <c r="N41" s="371"/>
      <c r="O41" s="371"/>
      <c r="P41" s="370">
        <f>SUM(N41:O41)</f>
        <v>0</v>
      </c>
      <c r="Q41" s="227">
        <f>+L41+D41</f>
        <v>2090225</v>
      </c>
      <c r="R41" s="247">
        <v>0</v>
      </c>
      <c r="S41" s="283"/>
      <c r="T41" s="488"/>
      <c r="U41" s="486" t="s">
        <v>139</v>
      </c>
      <c r="V41" s="486"/>
    </row>
    <row r="42" spans="1:23" s="487" customFormat="1" ht="15.6" x14ac:dyDescent="0.25">
      <c r="A42" s="251" t="s">
        <v>4</v>
      </c>
      <c r="B42" s="284" t="s">
        <v>77</v>
      </c>
      <c r="C42" s="253" t="s">
        <v>122</v>
      </c>
      <c r="D42" s="246">
        <v>0</v>
      </c>
      <c r="E42" s="147">
        <v>-13670923</v>
      </c>
      <c r="F42" s="280">
        <v>2235269</v>
      </c>
      <c r="G42" s="280">
        <v>-2551593</v>
      </c>
      <c r="H42" s="115">
        <f>+F42+G42</f>
        <v>-316324</v>
      </c>
      <c r="I42" s="280">
        <v>43653747</v>
      </c>
      <c r="J42" s="280">
        <v>-20025697</v>
      </c>
      <c r="K42" s="115">
        <f>+I42+J42</f>
        <v>23628050</v>
      </c>
      <c r="L42" s="246">
        <f>+K42+H42</f>
        <v>23311726</v>
      </c>
      <c r="M42" s="147"/>
      <c r="N42" s="371"/>
      <c r="O42" s="371"/>
      <c r="P42" s="370">
        <f>SUM(N42:O42)</f>
        <v>0</v>
      </c>
      <c r="Q42" s="227">
        <f>+L42+E42</f>
        <v>9640803</v>
      </c>
      <c r="R42" s="247">
        <v>0</v>
      </c>
      <c r="S42" s="283"/>
      <c r="T42" s="488"/>
      <c r="U42" s="486" t="s">
        <v>139</v>
      </c>
      <c r="V42" s="486"/>
    </row>
    <row r="43" spans="1:23" s="487" customFormat="1" ht="15.6" x14ac:dyDescent="0.25">
      <c r="A43" s="248" t="s">
        <v>4</v>
      </c>
      <c r="B43" s="250" t="s">
        <v>78</v>
      </c>
      <c r="C43" s="253" t="s">
        <v>122</v>
      </c>
      <c r="D43" s="246">
        <v>31900</v>
      </c>
      <c r="E43" s="147">
        <v>0</v>
      </c>
      <c r="F43" s="280">
        <v>0</v>
      </c>
      <c r="G43" s="280">
        <v>0</v>
      </c>
      <c r="H43" s="115">
        <f>+F43+G43</f>
        <v>0</v>
      </c>
      <c r="I43" s="280">
        <v>0</v>
      </c>
      <c r="J43" s="280">
        <v>0</v>
      </c>
      <c r="K43" s="115">
        <f>+I43+J43</f>
        <v>0</v>
      </c>
      <c r="L43" s="246">
        <f>+K43+H43</f>
        <v>0</v>
      </c>
      <c r="M43" s="147"/>
      <c r="N43" s="371"/>
      <c r="O43" s="371"/>
      <c r="P43" s="370"/>
      <c r="Q43" s="227">
        <f>+D43</f>
        <v>31900</v>
      </c>
      <c r="R43" s="247">
        <v>0</v>
      </c>
      <c r="S43" s="283"/>
      <c r="T43" s="488"/>
      <c r="U43" s="486"/>
      <c r="V43" s="486"/>
    </row>
    <row r="44" spans="1:23" s="487" customFormat="1" ht="16.2" thickBot="1" x14ac:dyDescent="0.35">
      <c r="A44" s="248" t="s">
        <v>4</v>
      </c>
      <c r="B44" s="250" t="s">
        <v>78</v>
      </c>
      <c r="C44" s="240" t="s">
        <v>122</v>
      </c>
      <c r="D44" s="147">
        <v>0</v>
      </c>
      <c r="E44" s="147">
        <v>587374</v>
      </c>
      <c r="F44" s="280">
        <v>7569349</v>
      </c>
      <c r="G44" s="280">
        <v>-1131770</v>
      </c>
      <c r="H44" s="115">
        <f>+F44+G44</f>
        <v>6437579</v>
      </c>
      <c r="I44" s="280">
        <v>11401997</v>
      </c>
      <c r="J44" s="280">
        <v>-599996</v>
      </c>
      <c r="K44" s="115">
        <f>+I44+J44</f>
        <v>10802001</v>
      </c>
      <c r="L44" s="246">
        <f>+K44+H44</f>
        <v>17239580</v>
      </c>
      <c r="M44" s="234"/>
      <c r="N44" s="371"/>
      <c r="O44" s="371"/>
      <c r="P44" s="370">
        <f>SUM(N44:O44)</f>
        <v>0</v>
      </c>
      <c r="Q44" s="227">
        <f>+L44+E44</f>
        <v>17826954</v>
      </c>
      <c r="R44" s="236">
        <v>0</v>
      </c>
      <c r="S44" s="236"/>
      <c r="T44" s="488"/>
      <c r="U44" s="486"/>
      <c r="V44" s="486"/>
    </row>
    <row r="45" spans="1:23" ht="16.8" thickTop="1" thickBot="1" x14ac:dyDescent="0.35">
      <c r="A45" s="174" t="s">
        <v>27</v>
      </c>
      <c r="B45" s="169"/>
      <c r="C45" s="169"/>
      <c r="D45" s="169"/>
      <c r="E45" s="169"/>
      <c r="F45" s="94"/>
      <c r="G45" s="94"/>
      <c r="H45" s="94"/>
      <c r="I45" s="94"/>
      <c r="J45" s="94"/>
      <c r="K45" s="94"/>
      <c r="L45" s="169"/>
      <c r="M45" s="265"/>
      <c r="N45" s="376"/>
      <c r="O45" s="376"/>
      <c r="P45" s="376"/>
      <c r="Q45" s="155"/>
      <c r="R45" s="86"/>
      <c r="S45" s="32">
        <f>IF(SUM(Q41:Q44)&gt;-SUM(R41:R44),SUM(Q41:Q44),0)</f>
        <v>29589882</v>
      </c>
      <c r="T45" s="491"/>
      <c r="U45" s="474"/>
      <c r="V45" s="474"/>
    </row>
    <row r="46" spans="1:23" ht="15.6" thickTop="1" x14ac:dyDescent="0.25">
      <c r="A46" s="174"/>
      <c r="B46" s="169"/>
      <c r="C46" s="169"/>
      <c r="D46" s="94"/>
      <c r="E46" s="155"/>
      <c r="F46" s="94"/>
      <c r="G46" s="94"/>
      <c r="H46" s="94"/>
      <c r="I46" s="94"/>
      <c r="J46" s="94"/>
      <c r="K46" s="94"/>
      <c r="L46" s="155"/>
      <c r="M46" s="265"/>
      <c r="N46" s="376"/>
      <c r="O46" s="376"/>
      <c r="P46" s="376"/>
      <c r="Q46" s="155"/>
      <c r="R46" s="86"/>
      <c r="S46" s="86"/>
      <c r="T46" s="491"/>
      <c r="U46" s="474"/>
      <c r="V46" s="474"/>
    </row>
    <row r="47" spans="1:23" s="487" customFormat="1" ht="15.6" hidden="1" x14ac:dyDescent="0.3">
      <c r="A47" s="248" t="s">
        <v>5</v>
      </c>
      <c r="B47" s="239" t="s">
        <v>77</v>
      </c>
      <c r="C47" s="240" t="s">
        <v>122</v>
      </c>
      <c r="D47" s="234">
        <v>0</v>
      </c>
      <c r="E47" s="234">
        <v>0</v>
      </c>
      <c r="F47" s="93">
        <v>0</v>
      </c>
      <c r="G47" s="93">
        <v>0</v>
      </c>
      <c r="H47" s="93">
        <v>0</v>
      </c>
      <c r="I47" s="93">
        <v>0</v>
      </c>
      <c r="J47" s="93">
        <v>0</v>
      </c>
      <c r="K47" s="93">
        <v>0</v>
      </c>
      <c r="L47" s="227">
        <v>0</v>
      </c>
      <c r="M47" s="234"/>
      <c r="N47" s="371"/>
      <c r="O47" s="370"/>
      <c r="P47" s="370">
        <f t="shared" ref="P47:P52" si="3">SUM(N47:O47)</f>
        <v>0</v>
      </c>
      <c r="Q47" s="226">
        <f>+D47</f>
        <v>0</v>
      </c>
      <c r="R47" s="236">
        <f>+L47+E47</f>
        <v>0</v>
      </c>
      <c r="S47" s="236"/>
      <c r="T47" s="488"/>
      <c r="U47" s="486"/>
      <c r="V47" s="486"/>
    </row>
    <row r="48" spans="1:23" s="487" customFormat="1" ht="15.6" x14ac:dyDescent="0.3">
      <c r="A48" s="248" t="s">
        <v>5</v>
      </c>
      <c r="B48" s="239" t="s">
        <v>77</v>
      </c>
      <c r="C48" s="240" t="s">
        <v>122</v>
      </c>
      <c r="D48" s="234">
        <v>0</v>
      </c>
      <c r="E48" s="234">
        <v>-112764</v>
      </c>
      <c r="F48" s="280">
        <v>0</v>
      </c>
      <c r="G48" s="280">
        <v>-1390480</v>
      </c>
      <c r="H48" s="115">
        <f>+F48+G48</f>
        <v>-1390480</v>
      </c>
      <c r="I48" s="280">
        <v>0</v>
      </c>
      <c r="J48" s="280">
        <v>0</v>
      </c>
      <c r="K48" s="115">
        <f>+I48+J48</f>
        <v>0</v>
      </c>
      <c r="L48" s="246">
        <f>+K48+H48</f>
        <v>-1390480</v>
      </c>
      <c r="M48" s="234"/>
      <c r="N48" s="371"/>
      <c r="O48" s="370"/>
      <c r="P48" s="370">
        <f t="shared" si="3"/>
        <v>0</v>
      </c>
      <c r="Q48" s="227">
        <v>0</v>
      </c>
      <c r="R48" s="236">
        <f>+L48+E48</f>
        <v>-1503244</v>
      </c>
      <c r="S48" s="236"/>
      <c r="T48" s="488"/>
      <c r="U48" s="486"/>
      <c r="V48" s="486"/>
    </row>
    <row r="49" spans="1:27" s="487" customFormat="1" ht="15.6" x14ac:dyDescent="0.3">
      <c r="A49" s="248" t="s">
        <v>5</v>
      </c>
      <c r="B49" s="239" t="s">
        <v>78</v>
      </c>
      <c r="C49" s="240" t="s">
        <v>122</v>
      </c>
      <c r="D49" s="234">
        <v>-3947833</v>
      </c>
      <c r="E49" s="227">
        <v>0</v>
      </c>
      <c r="F49" s="280">
        <v>0</v>
      </c>
      <c r="G49" s="280">
        <v>0</v>
      </c>
      <c r="H49" s="115">
        <f>+F49+G49</f>
        <v>0</v>
      </c>
      <c r="I49" s="280">
        <v>0</v>
      </c>
      <c r="J49" s="280">
        <v>0</v>
      </c>
      <c r="K49" s="115">
        <f>+I49+J49</f>
        <v>0</v>
      </c>
      <c r="L49" s="246">
        <f>+K49+H49</f>
        <v>0</v>
      </c>
      <c r="M49" s="227"/>
      <c r="N49" s="371"/>
      <c r="O49" s="371"/>
      <c r="P49" s="370">
        <f t="shared" si="3"/>
        <v>0</v>
      </c>
      <c r="Q49" s="227">
        <v>0</v>
      </c>
      <c r="R49" s="236">
        <f>+D49</f>
        <v>-3947833</v>
      </c>
      <c r="S49" s="236"/>
      <c r="T49" s="488"/>
      <c r="U49" s="486"/>
      <c r="V49" s="486"/>
    </row>
    <row r="50" spans="1:27" s="487" customFormat="1" ht="15.6" x14ac:dyDescent="0.25">
      <c r="A50" s="251" t="s">
        <v>5</v>
      </c>
      <c r="B50" s="252" t="s">
        <v>78</v>
      </c>
      <c r="C50" s="253" t="s">
        <v>122</v>
      </c>
      <c r="D50" s="246">
        <v>0</v>
      </c>
      <c r="E50" s="234">
        <v>-6946316</v>
      </c>
      <c r="F50" s="280">
        <v>13378285</v>
      </c>
      <c r="G50" s="280">
        <v>-19067460</v>
      </c>
      <c r="H50" s="115">
        <f>+F50+G50</f>
        <v>-5689175</v>
      </c>
      <c r="I50" s="280">
        <v>26531472</v>
      </c>
      <c r="J50" s="280">
        <v>-35240446</v>
      </c>
      <c r="K50" s="115">
        <f>+I50+J50</f>
        <v>-8708974</v>
      </c>
      <c r="L50" s="246">
        <f>+K50+H50</f>
        <v>-14398149</v>
      </c>
      <c r="M50" s="147"/>
      <c r="N50" s="371"/>
      <c r="O50" s="371"/>
      <c r="P50" s="370">
        <f t="shared" si="3"/>
        <v>0</v>
      </c>
      <c r="Q50" s="227">
        <v>0</v>
      </c>
      <c r="R50" s="247">
        <f>+L50+E50</f>
        <v>-21344465</v>
      </c>
      <c r="S50" s="283"/>
      <c r="T50" s="488"/>
      <c r="U50" s="486"/>
      <c r="V50" s="486"/>
    </row>
    <row r="51" spans="1:27" s="487" customFormat="1" ht="15.6" x14ac:dyDescent="0.3">
      <c r="A51" s="248" t="s">
        <v>5</v>
      </c>
      <c r="B51" s="239" t="s">
        <v>81</v>
      </c>
      <c r="C51" s="240" t="s">
        <v>122</v>
      </c>
      <c r="D51" s="234">
        <v>0</v>
      </c>
      <c r="E51" s="234">
        <v>0</v>
      </c>
      <c r="F51" s="280">
        <v>1749125</v>
      </c>
      <c r="G51" s="280">
        <v>-2246725</v>
      </c>
      <c r="H51" s="115">
        <f>+F51+G51</f>
        <v>-497600</v>
      </c>
      <c r="I51" s="280">
        <v>0</v>
      </c>
      <c r="J51" s="280">
        <v>0</v>
      </c>
      <c r="K51" s="115">
        <f>+I51+J51</f>
        <v>0</v>
      </c>
      <c r="L51" s="246">
        <f>+K51+H51</f>
        <v>-497600</v>
      </c>
      <c r="M51" s="234"/>
      <c r="N51" s="371"/>
      <c r="O51" s="371"/>
      <c r="P51" s="370">
        <f t="shared" si="3"/>
        <v>0</v>
      </c>
      <c r="Q51" s="227">
        <v>0</v>
      </c>
      <c r="R51" s="236">
        <f>+E51+L51</f>
        <v>-497600</v>
      </c>
      <c r="S51" s="236"/>
      <c r="T51" s="488"/>
      <c r="U51" s="486"/>
      <c r="V51" s="486"/>
    </row>
    <row r="52" spans="1:27" s="473" customFormat="1" ht="16.2" thickBot="1" x14ac:dyDescent="0.35">
      <c r="A52" s="359" t="s">
        <v>28</v>
      </c>
      <c r="B52" s="360" t="s">
        <v>21</v>
      </c>
      <c r="C52" s="361" t="s">
        <v>102</v>
      </c>
      <c r="D52" s="362">
        <v>1218424</v>
      </c>
      <c r="E52" s="362">
        <v>-3314621</v>
      </c>
      <c r="F52" s="370">
        <v>681762</v>
      </c>
      <c r="G52" s="370">
        <v>0</v>
      </c>
      <c r="H52" s="393">
        <f>+F52+G52</f>
        <v>681762</v>
      </c>
      <c r="I52" s="370">
        <v>0</v>
      </c>
      <c r="J52" s="370">
        <v>0</v>
      </c>
      <c r="K52" s="393">
        <f>+I52+J52</f>
        <v>0</v>
      </c>
      <c r="L52" s="370">
        <f>+K52+H52</f>
        <v>681762</v>
      </c>
      <c r="M52" s="362"/>
      <c r="N52" s="371"/>
      <c r="O52" s="371"/>
      <c r="P52" s="370">
        <f t="shared" si="3"/>
        <v>0</v>
      </c>
      <c r="Q52" s="376">
        <f>+D52</f>
        <v>1218424</v>
      </c>
      <c r="R52" s="363">
        <f>+L52+E52</f>
        <v>-2632859</v>
      </c>
      <c r="S52" s="363"/>
      <c r="T52" s="489"/>
      <c r="U52" s="490"/>
      <c r="V52" s="490"/>
    </row>
    <row r="53" spans="1:27" ht="16.8" thickTop="1" thickBot="1" x14ac:dyDescent="0.35">
      <c r="A53" s="179" t="s">
        <v>29</v>
      </c>
      <c r="B53" s="169"/>
      <c r="C53" s="169"/>
      <c r="D53" s="155"/>
      <c r="E53" s="155"/>
      <c r="F53" s="94"/>
      <c r="G53" s="94"/>
      <c r="H53" s="94"/>
      <c r="I53" s="94"/>
      <c r="J53" s="94"/>
      <c r="K53" s="94"/>
      <c r="L53" s="155"/>
      <c r="M53" s="265"/>
      <c r="N53" s="376"/>
      <c r="O53" s="376"/>
      <c r="P53" s="376"/>
      <c r="Q53" s="165"/>
      <c r="R53" s="166"/>
      <c r="S53" s="32">
        <f>IF(SUM(Q47:Q52)&gt;-SUM(R47:R52),SUM(Q47:Q52),0)</f>
        <v>0</v>
      </c>
      <c r="T53" s="491"/>
      <c r="U53" s="474" t="s">
        <v>138</v>
      </c>
      <c r="V53" s="474"/>
    </row>
    <row r="54" spans="1:27" ht="16.2" thickTop="1" x14ac:dyDescent="0.3">
      <c r="A54" s="173" t="s">
        <v>112</v>
      </c>
      <c r="B54" s="169"/>
      <c r="C54" s="169"/>
      <c r="D54" s="155"/>
      <c r="E54" s="155"/>
      <c r="F54" s="94"/>
      <c r="G54" s="94"/>
      <c r="H54" s="94"/>
      <c r="I54" s="94"/>
      <c r="J54" s="94"/>
      <c r="K54" s="94"/>
      <c r="L54" s="155"/>
      <c r="M54" s="265"/>
      <c r="N54" s="376"/>
      <c r="O54" s="376"/>
      <c r="P54" s="376"/>
      <c r="Q54" s="155">
        <f>SUM(Q23:Q52)</f>
        <v>58715368.881592654</v>
      </c>
      <c r="R54" s="155">
        <f>SUM(R23:R52)</f>
        <v>-79427799</v>
      </c>
      <c r="S54" s="86"/>
      <c r="T54" s="491"/>
      <c r="U54" s="474"/>
      <c r="V54" s="474"/>
    </row>
    <row r="55" spans="1:27" ht="15.6" x14ac:dyDescent="0.3">
      <c r="A55" s="173"/>
      <c r="B55" s="169"/>
      <c r="C55" s="169"/>
      <c r="D55" s="94"/>
      <c r="E55" s="155"/>
      <c r="F55" s="94"/>
      <c r="G55" s="94"/>
      <c r="H55" s="94"/>
      <c r="I55" s="94"/>
      <c r="J55" s="94"/>
      <c r="K55" s="94"/>
      <c r="L55" s="155"/>
      <c r="M55" s="265"/>
      <c r="N55" s="376"/>
      <c r="O55" s="376"/>
      <c r="P55" s="376"/>
      <c r="Q55" s="155"/>
      <c r="R55" s="155"/>
      <c r="S55" s="86"/>
      <c r="T55" s="491"/>
      <c r="U55" s="474"/>
      <c r="V55" s="474"/>
    </row>
    <row r="56" spans="1:27" s="498" customFormat="1" ht="15.6" x14ac:dyDescent="0.3">
      <c r="A56" s="312" t="s">
        <v>113</v>
      </c>
      <c r="B56" s="313"/>
      <c r="C56" s="313"/>
      <c r="D56" s="314"/>
      <c r="E56" s="314"/>
      <c r="F56" s="94"/>
      <c r="G56" s="94"/>
      <c r="H56" s="94"/>
      <c r="I56" s="94"/>
      <c r="J56" s="94"/>
      <c r="K56" s="94"/>
      <c r="L56" s="314"/>
      <c r="M56" s="314"/>
      <c r="N56" s="376"/>
      <c r="O56" s="376"/>
      <c r="P56" s="376"/>
      <c r="Q56" s="314"/>
      <c r="R56" s="315"/>
      <c r="S56" s="316">
        <f>+Q54</f>
        <v>58715368.881592654</v>
      </c>
      <c r="T56" s="495"/>
      <c r="U56" s="496" t="s">
        <v>159</v>
      </c>
      <c r="V56" s="496"/>
      <c r="W56" s="497"/>
    </row>
    <row r="57" spans="1:27" s="498" customFormat="1" ht="15.6" x14ac:dyDescent="0.3">
      <c r="A57" s="312" t="s">
        <v>152</v>
      </c>
      <c r="B57" s="313"/>
      <c r="C57" s="313"/>
      <c r="D57" s="314"/>
      <c r="E57" s="314"/>
      <c r="F57" s="94"/>
      <c r="G57" s="94"/>
      <c r="H57" s="94"/>
      <c r="I57" s="94"/>
      <c r="J57" s="94"/>
      <c r="K57" s="94"/>
      <c r="L57" s="314"/>
      <c r="M57" s="314"/>
      <c r="N57" s="376"/>
      <c r="O57" s="376"/>
      <c r="P57" s="376"/>
      <c r="Q57" s="314"/>
      <c r="R57" s="315"/>
      <c r="S57" s="320">
        <f>+R54</f>
        <v>-79427799</v>
      </c>
      <c r="T57" s="495"/>
      <c r="U57" s="496" t="s">
        <v>160</v>
      </c>
      <c r="V57" s="499" t="s">
        <v>155</v>
      </c>
      <c r="W57" s="500"/>
      <c r="X57" s="501"/>
      <c r="Y57" s="501"/>
      <c r="Z57" s="501"/>
      <c r="AA57" s="501"/>
    </row>
    <row r="58" spans="1:27" s="498" customFormat="1" ht="15.6" x14ac:dyDescent="0.3">
      <c r="A58" s="312" t="s">
        <v>223</v>
      </c>
      <c r="B58" s="313"/>
      <c r="C58" s="313"/>
      <c r="D58" s="314"/>
      <c r="E58" s="314"/>
      <c r="F58" s="94"/>
      <c r="G58" s="94"/>
      <c r="H58" s="94"/>
      <c r="I58" s="94"/>
      <c r="J58" s="94"/>
      <c r="K58" s="94"/>
      <c r="L58" s="314"/>
      <c r="M58" s="314"/>
      <c r="N58" s="376"/>
      <c r="O58" s="376"/>
      <c r="P58" s="376"/>
      <c r="Q58" s="314"/>
      <c r="R58" s="315"/>
      <c r="S58" s="316">
        <f>+S56+S57</f>
        <v>-20712430.118407346</v>
      </c>
      <c r="T58" s="495"/>
      <c r="U58" s="502"/>
      <c r="V58" s="502"/>
      <c r="W58" s="497"/>
    </row>
    <row r="59" spans="1:27" s="498" customFormat="1" ht="15.6" x14ac:dyDescent="0.3">
      <c r="A59" s="312" t="s">
        <v>192</v>
      </c>
      <c r="B59" s="313"/>
      <c r="C59" s="313"/>
      <c r="D59" s="314"/>
      <c r="E59" s="314"/>
      <c r="F59" s="94"/>
      <c r="G59" s="94"/>
      <c r="H59" s="94"/>
      <c r="I59" s="94"/>
      <c r="J59" s="94"/>
      <c r="K59" s="94"/>
      <c r="L59" s="314"/>
      <c r="M59" s="314"/>
      <c r="N59" s="376"/>
      <c r="O59" s="376"/>
      <c r="P59" s="376"/>
      <c r="Q59" s="314"/>
      <c r="R59" s="315"/>
      <c r="S59" s="411">
        <f>-94000000-6000000</f>
        <v>-100000000</v>
      </c>
      <c r="T59" s="495"/>
      <c r="U59" s="502"/>
      <c r="V59" s="502"/>
      <c r="W59" s="497"/>
    </row>
    <row r="60" spans="1:27" s="498" customFormat="1" ht="15.6" x14ac:dyDescent="0.3">
      <c r="A60" s="312" t="s">
        <v>193</v>
      </c>
      <c r="B60" s="313"/>
      <c r="C60" s="313"/>
      <c r="D60" s="314"/>
      <c r="E60" s="314"/>
      <c r="F60" s="227"/>
      <c r="G60" s="227"/>
      <c r="H60" s="227"/>
      <c r="I60" s="227"/>
      <c r="J60" s="227"/>
      <c r="K60" s="227"/>
      <c r="L60" s="314"/>
      <c r="M60" s="314"/>
      <c r="N60" s="227"/>
      <c r="O60" s="227"/>
      <c r="P60" s="227"/>
      <c r="Q60" s="314"/>
      <c r="R60" s="315"/>
      <c r="S60" s="316">
        <v>-28148539.500651401</v>
      </c>
      <c r="T60" s="495"/>
      <c r="U60" s="502"/>
      <c r="V60" s="502"/>
      <c r="W60" s="497"/>
    </row>
    <row r="61" spans="1:27" s="498" customFormat="1" ht="16.2" thickBot="1" x14ac:dyDescent="0.35">
      <c r="A61" s="312" t="s">
        <v>170</v>
      </c>
      <c r="B61" s="313"/>
      <c r="C61" s="313"/>
      <c r="D61" s="314"/>
      <c r="E61" s="314"/>
      <c r="F61" s="94"/>
      <c r="G61" s="94"/>
      <c r="H61" s="94"/>
      <c r="I61" s="94"/>
      <c r="J61" s="94"/>
      <c r="K61" s="94"/>
      <c r="L61" s="314"/>
      <c r="M61" s="314"/>
      <c r="N61" s="376"/>
      <c r="O61" s="376"/>
      <c r="P61" s="376"/>
      <c r="Q61" s="314"/>
      <c r="R61" s="315"/>
      <c r="S61" s="465">
        <f>+S58+S59+S60</f>
        <v>-148860969.61905873</v>
      </c>
      <c r="T61" s="495"/>
      <c r="U61" s="502"/>
      <c r="V61" s="502"/>
      <c r="W61" s="497"/>
    </row>
    <row r="62" spans="1:27" ht="16.8" thickTop="1" thickBot="1" x14ac:dyDescent="0.35">
      <c r="A62" s="180"/>
      <c r="B62" s="181"/>
      <c r="C62" s="181"/>
      <c r="D62" s="235"/>
      <c r="E62" s="182"/>
      <c r="F62" s="235"/>
      <c r="G62" s="235"/>
      <c r="H62" s="235"/>
      <c r="I62" s="235"/>
      <c r="J62" s="235"/>
      <c r="K62" s="235"/>
      <c r="L62" s="182"/>
      <c r="M62" s="266"/>
      <c r="N62" s="384"/>
      <c r="O62" s="384"/>
      <c r="P62" s="384"/>
      <c r="Q62" s="182"/>
      <c r="R62" s="183"/>
      <c r="S62" s="195"/>
      <c r="T62" s="484"/>
      <c r="U62" s="474"/>
      <c r="V62" s="474">
        <f>2761920-975600+1691082.7-441575</f>
        <v>3035827.7</v>
      </c>
      <c r="W62" s="470" t="s">
        <v>161</v>
      </c>
    </row>
    <row r="63" spans="1:27" s="487" customFormat="1" ht="16.2" thickBot="1" x14ac:dyDescent="0.35">
      <c r="A63" s="293" t="s">
        <v>6</v>
      </c>
      <c r="B63" s="239" t="s">
        <v>78</v>
      </c>
      <c r="C63" s="240" t="s">
        <v>122</v>
      </c>
      <c r="D63" s="234">
        <v>0</v>
      </c>
      <c r="E63" s="234">
        <v>6357698</v>
      </c>
      <c r="F63" s="93">
        <v>0</v>
      </c>
      <c r="G63" s="93">
        <v>0</v>
      </c>
      <c r="H63" s="93"/>
      <c r="I63" s="93">
        <v>0</v>
      </c>
      <c r="J63" s="93">
        <v>0</v>
      </c>
      <c r="K63" s="93">
        <v>0</v>
      </c>
      <c r="L63" s="227">
        <v>0</v>
      </c>
      <c r="M63" s="234"/>
      <c r="N63" s="362"/>
      <c r="O63" s="362"/>
      <c r="P63" s="362">
        <f>SUM(N63:O63)</f>
        <v>0</v>
      </c>
      <c r="Q63" s="514">
        <f>+L63+E63</f>
        <v>6357698</v>
      </c>
      <c r="R63" s="515">
        <v>0</v>
      </c>
      <c r="S63" s="254">
        <f>+Q63</f>
        <v>6357698</v>
      </c>
      <c r="T63" s="488"/>
      <c r="U63" s="486"/>
      <c r="V63" s="486">
        <f>+V58-V62</f>
        <v>-3035827.7</v>
      </c>
    </row>
    <row r="64" spans="1:27" ht="16.2" hidden="1" thickBot="1" x14ac:dyDescent="0.35">
      <c r="A64" s="173"/>
      <c r="B64" s="169"/>
      <c r="C64" s="169"/>
      <c r="D64" s="94"/>
      <c r="E64" s="155"/>
      <c r="F64" s="94"/>
      <c r="G64" s="94"/>
      <c r="H64" s="94"/>
      <c r="I64" s="94"/>
      <c r="J64" s="94"/>
      <c r="K64" s="94"/>
      <c r="L64" s="94"/>
      <c r="M64" s="265"/>
      <c r="N64" s="376"/>
      <c r="O64" s="376"/>
      <c r="P64" s="376"/>
      <c r="Q64" s="155">
        <f>SUM(Q63:Q63)</f>
        <v>6357698</v>
      </c>
      <c r="R64" s="86">
        <f>SUM(R63:R63)</f>
        <v>0</v>
      </c>
      <c r="S64" s="172"/>
      <c r="T64" s="491"/>
      <c r="U64" s="474"/>
      <c r="V64" s="474"/>
    </row>
    <row r="65" spans="1:22" ht="16.8" hidden="1" thickTop="1" thickBot="1" x14ac:dyDescent="0.35">
      <c r="A65" s="178"/>
      <c r="B65" s="172"/>
      <c r="C65" s="172"/>
      <c r="D65" s="168"/>
      <c r="E65" s="86"/>
      <c r="F65" s="168"/>
      <c r="G65" s="168"/>
      <c r="H65" s="168"/>
      <c r="I65" s="168"/>
      <c r="J65" s="168"/>
      <c r="K65" s="168"/>
      <c r="L65" s="168"/>
      <c r="M65" s="267"/>
      <c r="N65" s="363"/>
      <c r="O65" s="363"/>
      <c r="P65" s="363"/>
      <c r="Q65" s="172"/>
      <c r="R65" s="172"/>
      <c r="S65" s="156">
        <f>+Q64</f>
        <v>6357698</v>
      </c>
      <c r="T65" s="491"/>
      <c r="U65" s="474" t="s">
        <v>138</v>
      </c>
      <c r="V65" s="474"/>
    </row>
    <row r="66" spans="1:22" ht="16.8" hidden="1" thickTop="1" thickBot="1" x14ac:dyDescent="0.35">
      <c r="A66" s="178"/>
      <c r="B66" s="172"/>
      <c r="C66" s="172"/>
      <c r="D66" s="168"/>
      <c r="E66" s="86"/>
      <c r="F66" s="168"/>
      <c r="G66" s="168"/>
      <c r="H66" s="168"/>
      <c r="I66" s="168"/>
      <c r="J66" s="168"/>
      <c r="K66" s="168"/>
      <c r="L66" s="168"/>
      <c r="M66" s="267"/>
      <c r="N66" s="363"/>
      <c r="O66" s="363"/>
      <c r="P66" s="363"/>
      <c r="Q66" s="172"/>
      <c r="R66" s="172"/>
      <c r="S66" s="67"/>
      <c r="T66" s="491"/>
      <c r="U66" s="474"/>
      <c r="V66" s="474"/>
    </row>
    <row r="67" spans="1:22" s="477" customFormat="1" ht="18.75" hidden="1" customHeight="1" x14ac:dyDescent="0.3">
      <c r="A67" s="297" t="s">
        <v>142</v>
      </c>
      <c r="B67" s="298" t="s">
        <v>78</v>
      </c>
      <c r="C67" s="184" t="s">
        <v>122</v>
      </c>
      <c r="D67" s="288">
        <v>0</v>
      </c>
      <c r="E67" s="288">
        <v>0</v>
      </c>
      <c r="F67" s="516">
        <v>0</v>
      </c>
      <c r="G67" s="516">
        <v>0</v>
      </c>
      <c r="H67" s="513">
        <v>0</v>
      </c>
      <c r="I67" s="516">
        <v>0</v>
      </c>
      <c r="J67" s="516">
        <v>0</v>
      </c>
      <c r="K67" s="513">
        <v>0</v>
      </c>
      <c r="L67" s="185">
        <f>+K67+H67</f>
        <v>0</v>
      </c>
      <c r="M67" s="288"/>
      <c r="N67" s="385"/>
      <c r="O67" s="385"/>
      <c r="P67" s="382">
        <f>SUM(N67:O67)</f>
        <v>0</v>
      </c>
      <c r="Q67" s="288">
        <f>+L67</f>
        <v>0</v>
      </c>
      <c r="R67" s="299">
        <v>0</v>
      </c>
      <c r="S67" s="300"/>
      <c r="T67" s="503" t="s">
        <v>110</v>
      </c>
      <c r="U67" s="479"/>
      <c r="V67" s="479"/>
    </row>
    <row r="68" spans="1:22" s="477" customFormat="1" ht="16.2" hidden="1" thickBot="1" x14ac:dyDescent="0.35">
      <c r="A68" s="301"/>
      <c r="B68" s="302"/>
      <c r="C68" s="303" t="s">
        <v>122</v>
      </c>
      <c r="D68" s="304"/>
      <c r="E68" s="304"/>
      <c r="F68" s="517"/>
      <c r="G68" s="517"/>
      <c r="H68" s="517"/>
      <c r="I68" s="517"/>
      <c r="J68" s="517"/>
      <c r="K68" s="517"/>
      <c r="L68" s="158"/>
      <c r="M68" s="161"/>
      <c r="N68" s="363"/>
      <c r="O68" s="363"/>
      <c r="P68" s="363"/>
      <c r="Q68" s="161"/>
      <c r="R68" s="304"/>
      <c r="S68" s="302"/>
      <c r="T68" s="504"/>
      <c r="U68" s="479"/>
      <c r="V68" s="479"/>
    </row>
    <row r="69" spans="1:22" ht="16.2" thickBot="1" x14ac:dyDescent="0.35">
      <c r="A69" s="174"/>
      <c r="B69" s="172"/>
      <c r="C69" s="172"/>
      <c r="D69" s="168"/>
      <c r="E69" s="86"/>
      <c r="F69" s="168"/>
      <c r="G69" s="168"/>
      <c r="H69" s="168"/>
      <c r="I69" s="168"/>
      <c r="J69" s="168"/>
      <c r="K69" s="168"/>
      <c r="L69" s="235"/>
      <c r="M69" s="353"/>
      <c r="N69" s="386"/>
      <c r="O69" s="386"/>
      <c r="P69" s="386"/>
      <c r="Q69" s="183"/>
      <c r="R69" s="86"/>
      <c r="S69" s="272"/>
      <c r="T69" s="491"/>
      <c r="U69" s="474"/>
      <c r="V69" s="474"/>
    </row>
    <row r="70" spans="1:22" s="498" customFormat="1" ht="15" x14ac:dyDescent="0.25">
      <c r="A70" s="321"/>
      <c r="B70" s="322"/>
      <c r="C70" s="322"/>
      <c r="D70" s="323"/>
      <c r="E70" s="323"/>
      <c r="F70" s="516"/>
      <c r="G70" s="516"/>
      <c r="H70" s="516"/>
      <c r="I70" s="516"/>
      <c r="J70" s="516"/>
      <c r="K70" s="516"/>
      <c r="L70" s="315"/>
      <c r="M70" s="315"/>
      <c r="N70" s="363"/>
      <c r="O70" s="363"/>
      <c r="P70" s="363"/>
      <c r="Q70" s="315"/>
      <c r="R70" s="323"/>
      <c r="S70" s="315"/>
      <c r="T70" s="505"/>
      <c r="U70" s="497"/>
      <c r="V70" s="497"/>
    </row>
    <row r="71" spans="1:22" s="498" customFormat="1" ht="15.6" hidden="1" x14ac:dyDescent="0.3">
      <c r="A71" s="325"/>
      <c r="B71" s="326"/>
      <c r="C71" s="326"/>
      <c r="D71" s="315"/>
      <c r="E71" s="315"/>
      <c r="F71" s="168"/>
      <c r="G71" s="168"/>
      <c r="H71" s="168"/>
      <c r="I71" s="168"/>
      <c r="J71" s="168"/>
      <c r="K71" s="168"/>
      <c r="L71" s="315"/>
      <c r="M71" s="315"/>
      <c r="N71" s="363"/>
      <c r="O71" s="363"/>
      <c r="P71" s="363"/>
      <c r="Q71" s="327">
        <f>+Q21+Q54+Q64</f>
        <v>590186328.24159265</v>
      </c>
      <c r="R71" s="327">
        <f>+R21+R54+R64</f>
        <v>-179474621.66598883</v>
      </c>
      <c r="S71" s="315"/>
      <c r="T71" s="495"/>
      <c r="V71" s="497"/>
    </row>
    <row r="72" spans="1:22" s="498" customFormat="1" ht="15.6" x14ac:dyDescent="0.3">
      <c r="A72" s="312" t="s">
        <v>220</v>
      </c>
      <c r="B72" s="326"/>
      <c r="C72" s="326"/>
      <c r="D72" s="315"/>
      <c r="E72" s="315"/>
      <c r="F72" s="168"/>
      <c r="G72" s="168"/>
      <c r="H72" s="168"/>
      <c r="I72" s="168"/>
      <c r="J72" s="168"/>
      <c r="K72" s="168"/>
      <c r="L72" s="315"/>
      <c r="M72" s="315"/>
      <c r="N72" s="363"/>
      <c r="O72" s="363"/>
      <c r="P72" s="363"/>
      <c r="Q72" s="326"/>
      <c r="R72" s="326"/>
      <c r="S72" s="316">
        <f>IF(S61&lt;0, 0,S61)</f>
        <v>0</v>
      </c>
      <c r="T72" s="495"/>
      <c r="U72" s="497"/>
      <c r="V72" s="497"/>
    </row>
    <row r="73" spans="1:22" s="498" customFormat="1" ht="15.6" x14ac:dyDescent="0.3">
      <c r="A73" s="312" t="s">
        <v>219</v>
      </c>
      <c r="B73" s="326"/>
      <c r="C73" s="326"/>
      <c r="D73" s="315"/>
      <c r="E73" s="315"/>
      <c r="F73" s="168"/>
      <c r="G73" s="168"/>
      <c r="H73" s="168"/>
      <c r="I73" s="168"/>
      <c r="J73" s="168"/>
      <c r="K73" s="168"/>
      <c r="L73" s="315"/>
      <c r="M73" s="315"/>
      <c r="N73" s="363"/>
      <c r="O73" s="363"/>
      <c r="P73" s="363"/>
      <c r="Q73" s="326"/>
      <c r="R73" s="326"/>
      <c r="S73" s="316">
        <f>+S63</f>
        <v>6357698</v>
      </c>
      <c r="T73" s="495"/>
      <c r="U73" s="497"/>
      <c r="V73" s="497"/>
    </row>
    <row r="74" spans="1:22" s="498" customFormat="1" ht="15.6" x14ac:dyDescent="0.3">
      <c r="A74" s="312" t="s">
        <v>221</v>
      </c>
      <c r="B74" s="326"/>
      <c r="C74" s="326"/>
      <c r="D74" s="315"/>
      <c r="E74" s="315"/>
      <c r="F74" s="168"/>
      <c r="G74" s="168"/>
      <c r="H74" s="168"/>
      <c r="I74" s="168"/>
      <c r="J74" s="168"/>
      <c r="K74" s="168"/>
      <c r="L74" s="315"/>
      <c r="M74" s="315"/>
      <c r="N74" s="363"/>
      <c r="O74" s="363"/>
      <c r="P74" s="363"/>
      <c r="Q74" s="326"/>
      <c r="R74" s="326"/>
      <c r="S74" s="320">
        <f>+S21</f>
        <v>425066438.69401121</v>
      </c>
      <c r="T74" s="495"/>
      <c r="U74" s="497"/>
      <c r="V74" s="497"/>
    </row>
    <row r="75" spans="1:22" s="498" customFormat="1" ht="16.2" thickBot="1" x14ac:dyDescent="0.35">
      <c r="A75" s="312" t="s">
        <v>222</v>
      </c>
      <c r="B75" s="326"/>
      <c r="C75" s="326"/>
      <c r="D75" s="315"/>
      <c r="E75" s="315"/>
      <c r="F75" s="168"/>
      <c r="G75" s="168"/>
      <c r="H75" s="168"/>
      <c r="I75" s="168"/>
      <c r="J75" s="168"/>
      <c r="K75" s="168"/>
      <c r="L75" s="315"/>
      <c r="M75" s="315"/>
      <c r="N75" s="363"/>
      <c r="O75" s="363"/>
      <c r="P75" s="363"/>
      <c r="Q75" s="326"/>
      <c r="R75" s="326"/>
      <c r="S75" s="518">
        <f>+S21+S73</f>
        <v>431424136.69401121</v>
      </c>
      <c r="T75" s="495"/>
      <c r="U75" s="497"/>
      <c r="V75" s="497"/>
    </row>
    <row r="76" spans="1:22" s="498" customFormat="1" ht="16.2" thickTop="1" thickBot="1" x14ac:dyDescent="0.3">
      <c r="A76" s="328"/>
      <c r="B76" s="329"/>
      <c r="C76" s="329"/>
      <c r="D76" s="330"/>
      <c r="E76" s="330"/>
      <c r="F76" s="517"/>
      <c r="G76" s="517"/>
      <c r="H76" s="517"/>
      <c r="I76" s="517"/>
      <c r="J76" s="517"/>
      <c r="K76" s="517"/>
      <c r="L76" s="330"/>
      <c r="M76" s="330"/>
      <c r="N76" s="386"/>
      <c r="O76" s="386"/>
      <c r="P76" s="386"/>
      <c r="Q76" s="330"/>
      <c r="R76" s="330"/>
      <c r="S76" s="330"/>
      <c r="T76" s="506"/>
      <c r="U76" s="497"/>
      <c r="V76" s="497"/>
    </row>
    <row r="77" spans="1:22" ht="15.6" x14ac:dyDescent="0.3">
      <c r="A77" s="22"/>
      <c r="B77" s="22"/>
      <c r="C77" s="22"/>
      <c r="D77" s="89"/>
      <c r="E77" s="27"/>
      <c r="F77" s="89"/>
      <c r="G77" s="89"/>
      <c r="H77" s="89"/>
      <c r="I77" s="89"/>
      <c r="J77" s="89"/>
      <c r="K77" s="89"/>
      <c r="L77" s="38"/>
      <c r="M77" s="268"/>
      <c r="N77" s="365"/>
      <c r="O77" s="365"/>
      <c r="P77" s="365"/>
      <c r="Q77" s="27"/>
      <c r="R77" s="27"/>
      <c r="S77" s="27"/>
      <c r="T77" s="474"/>
      <c r="U77" s="474"/>
      <c r="V77" s="474"/>
    </row>
    <row r="78" spans="1:22" ht="15" x14ac:dyDescent="0.25">
      <c r="A78" s="92"/>
      <c r="B78" s="92"/>
      <c r="C78" s="92"/>
      <c r="D78" s="89"/>
      <c r="E78" s="27"/>
      <c r="F78" s="89"/>
      <c r="G78" s="89"/>
      <c r="H78" s="89"/>
      <c r="I78" s="89"/>
      <c r="J78" s="89"/>
      <c r="K78" s="89"/>
      <c r="L78" s="27"/>
      <c r="M78" s="268"/>
      <c r="N78" s="365"/>
      <c r="O78" s="365"/>
      <c r="P78" s="365"/>
      <c r="Q78" s="27"/>
      <c r="R78" s="27"/>
      <c r="S78" s="27"/>
      <c r="T78" s="474"/>
      <c r="U78" s="474"/>
      <c r="V78" s="474"/>
    </row>
    <row r="79" spans="1:22" ht="15" x14ac:dyDescent="0.25">
      <c r="A79" s="92"/>
      <c r="B79" s="92"/>
      <c r="C79" s="92"/>
      <c r="D79" s="89"/>
      <c r="E79" s="27"/>
      <c r="F79" s="89"/>
      <c r="G79" s="89"/>
      <c r="H79" s="89"/>
      <c r="I79" s="89"/>
      <c r="J79" s="89"/>
      <c r="K79" s="89"/>
      <c r="L79" s="27"/>
      <c r="M79" s="268"/>
      <c r="N79" s="365"/>
      <c r="O79" s="365"/>
      <c r="P79" s="365"/>
      <c r="Q79" s="27"/>
      <c r="R79" s="27"/>
      <c r="S79" s="27"/>
      <c r="T79" s="474"/>
      <c r="U79" s="474"/>
      <c r="V79" s="474"/>
    </row>
    <row r="80" spans="1:22" ht="15" x14ac:dyDescent="0.25">
      <c r="A80" s="92"/>
      <c r="B80" s="92"/>
      <c r="C80" s="92"/>
      <c r="D80" s="89"/>
      <c r="E80" s="27"/>
      <c r="F80" s="89"/>
      <c r="G80" s="89"/>
      <c r="H80" s="89"/>
      <c r="I80" s="89"/>
      <c r="J80" s="89"/>
      <c r="K80" s="89"/>
      <c r="L80" s="27"/>
      <c r="M80" s="268"/>
      <c r="N80" s="365"/>
      <c r="O80" s="365"/>
      <c r="P80" s="365"/>
      <c r="Q80" s="27"/>
      <c r="R80" s="27"/>
      <c r="S80" s="27"/>
      <c r="T80" s="474"/>
      <c r="U80" s="474"/>
      <c r="V80" s="474"/>
    </row>
    <row r="81" spans="1:22" ht="15" x14ac:dyDescent="0.25">
      <c r="A81" s="92"/>
      <c r="B81" s="92"/>
      <c r="C81" s="92"/>
      <c r="D81" s="92"/>
      <c r="E81" s="22"/>
      <c r="F81" s="89"/>
      <c r="G81" s="89"/>
      <c r="H81" s="89"/>
      <c r="I81" s="89"/>
      <c r="J81" s="89"/>
      <c r="K81" s="89"/>
      <c r="L81" s="27"/>
      <c r="M81" s="268"/>
      <c r="N81" s="365"/>
      <c r="O81" s="365"/>
      <c r="P81" s="365"/>
      <c r="Q81" s="27"/>
      <c r="R81" s="27"/>
      <c r="S81" s="27"/>
      <c r="T81" s="474"/>
      <c r="U81" s="474"/>
      <c r="V81" s="474"/>
    </row>
    <row r="82" spans="1:22" s="471" customFormat="1" ht="16.2" thickBot="1" x14ac:dyDescent="0.35">
      <c r="A82" s="121"/>
      <c r="B82" s="92"/>
      <c r="C82" s="92"/>
      <c r="D82" s="89"/>
      <c r="E82" s="89"/>
      <c r="F82" s="89"/>
      <c r="G82" s="89"/>
      <c r="H82" s="89"/>
      <c r="I82" s="89"/>
      <c r="J82" s="89"/>
      <c r="K82" s="89"/>
      <c r="L82" s="89"/>
      <c r="M82" s="268"/>
      <c r="N82" s="365"/>
      <c r="O82" s="365"/>
      <c r="P82" s="365"/>
      <c r="Q82" s="89"/>
      <c r="R82" s="89"/>
      <c r="S82" s="89"/>
      <c r="T82" s="483"/>
      <c r="U82" s="483"/>
      <c r="V82" s="483"/>
    </row>
    <row r="83" spans="1:22" ht="15.6" x14ac:dyDescent="0.3">
      <c r="A83" s="22"/>
      <c r="B83" s="22"/>
      <c r="C83" s="22"/>
      <c r="D83" s="396">
        <f>+D63+SUM(D34:D51)+D32+D31+SUM(D9:D14)</f>
        <v>77502817</v>
      </c>
      <c r="E83" s="396">
        <f>+E63+SUM(E34:E51)+E32+E31+SUM(E9:E14)+E30</f>
        <v>-58023519.66598884</v>
      </c>
      <c r="F83" s="89"/>
      <c r="G83" s="89"/>
      <c r="H83" s="89"/>
      <c r="I83" s="89"/>
      <c r="J83" s="89"/>
      <c r="K83" s="89"/>
      <c r="L83" s="10" t="s">
        <v>103</v>
      </c>
      <c r="M83" s="268"/>
      <c r="N83" s="365"/>
      <c r="O83" s="365"/>
      <c r="P83" s="365"/>
      <c r="Q83" s="130">
        <f>+Q71-Q37-Q13-Q12-Q52-Q14</f>
        <v>191392084.88159263</v>
      </c>
      <c r="R83" s="130">
        <f>+R71-R37-R13-R12-R52-R14</f>
        <v>-176212164</v>
      </c>
      <c r="S83" s="27"/>
      <c r="T83" s="474"/>
      <c r="U83" s="474"/>
      <c r="V83" s="474"/>
    </row>
    <row r="84" spans="1:22" ht="15" x14ac:dyDescent="0.25">
      <c r="A84" s="22"/>
      <c r="B84" s="22"/>
      <c r="C84" s="22"/>
      <c r="D84" s="89"/>
      <c r="E84" s="27"/>
      <c r="F84" s="89"/>
      <c r="G84" s="89"/>
      <c r="H84" s="89"/>
      <c r="I84" s="89"/>
      <c r="J84" s="89"/>
      <c r="K84" s="89"/>
      <c r="L84" s="27"/>
      <c r="M84" s="268"/>
      <c r="N84" s="365"/>
      <c r="O84" s="365"/>
      <c r="P84" s="365"/>
      <c r="Q84" s="130"/>
      <c r="R84" s="130"/>
      <c r="S84" s="27"/>
      <c r="T84" s="474"/>
      <c r="U84" s="474"/>
      <c r="V84" s="474"/>
    </row>
    <row r="85" spans="1:22" ht="15" x14ac:dyDescent="0.25">
      <c r="A85" s="22"/>
      <c r="B85" s="22"/>
      <c r="C85" s="22"/>
      <c r="D85" s="89"/>
      <c r="E85" s="27"/>
      <c r="F85" s="89"/>
      <c r="G85" s="89"/>
      <c r="H85" s="89"/>
      <c r="I85" s="89"/>
      <c r="J85" s="89"/>
      <c r="K85" s="89"/>
      <c r="L85" s="27"/>
      <c r="M85" s="268"/>
      <c r="N85" s="365"/>
      <c r="O85" s="365"/>
      <c r="P85" s="365"/>
      <c r="Q85" s="27"/>
      <c r="R85" s="27"/>
      <c r="S85" s="27"/>
      <c r="T85" s="474"/>
      <c r="U85" s="474"/>
      <c r="V85" s="474"/>
    </row>
    <row r="86" spans="1:22" ht="15" x14ac:dyDescent="0.25">
      <c r="A86" s="22"/>
      <c r="B86" s="22"/>
      <c r="C86" s="22"/>
      <c r="D86" s="89"/>
      <c r="E86" s="27"/>
      <c r="F86" s="89"/>
      <c r="G86" s="89"/>
      <c r="H86" s="89"/>
      <c r="I86" s="89"/>
      <c r="J86" s="89"/>
      <c r="K86" s="89"/>
      <c r="L86" s="27"/>
      <c r="M86" s="268"/>
      <c r="N86" s="365"/>
      <c r="O86" s="365"/>
      <c r="P86" s="365"/>
      <c r="Q86" s="27"/>
      <c r="R86" s="27"/>
      <c r="S86" s="27"/>
      <c r="T86" s="474"/>
      <c r="U86" s="474"/>
      <c r="V86" s="474"/>
    </row>
    <row r="87" spans="1:22" ht="15" x14ac:dyDescent="0.25">
      <c r="A87" s="22"/>
      <c r="B87" s="22"/>
      <c r="C87" s="22"/>
      <c r="D87" s="89"/>
      <c r="E87" s="27"/>
      <c r="F87" s="89"/>
      <c r="G87" s="89"/>
      <c r="H87" s="89"/>
      <c r="I87" s="89"/>
      <c r="J87" s="89"/>
      <c r="K87" s="89"/>
      <c r="L87" s="27"/>
      <c r="M87" s="268"/>
      <c r="N87" s="365"/>
      <c r="O87" s="365"/>
      <c r="P87" s="365"/>
      <c r="Q87" s="27"/>
      <c r="R87" s="27"/>
      <c r="S87" s="27"/>
      <c r="T87" s="474"/>
      <c r="U87" s="474"/>
      <c r="V87" s="474"/>
    </row>
    <row r="88" spans="1:22" ht="15" x14ac:dyDescent="0.25">
      <c r="A88" s="22"/>
      <c r="B88" s="22"/>
      <c r="C88" s="22"/>
      <c r="D88" s="89"/>
      <c r="E88" s="27"/>
      <c r="F88" s="89"/>
      <c r="G88" s="89"/>
      <c r="H88" s="89"/>
      <c r="I88" s="89"/>
      <c r="J88" s="89"/>
      <c r="K88" s="89"/>
      <c r="L88" s="27"/>
      <c r="M88" s="268"/>
      <c r="N88" s="365"/>
      <c r="O88" s="365"/>
      <c r="P88" s="365"/>
      <c r="Q88" s="27"/>
      <c r="R88" s="27"/>
      <c r="S88" s="27"/>
      <c r="T88" s="474"/>
      <c r="U88" s="474"/>
      <c r="V88" s="474"/>
    </row>
    <row r="89" spans="1:22" ht="15.6" x14ac:dyDescent="0.3">
      <c r="A89" s="22"/>
      <c r="B89" s="10" t="s">
        <v>103</v>
      </c>
      <c r="C89" s="22"/>
      <c r="D89" s="130"/>
      <c r="E89" s="130"/>
      <c r="F89" s="168"/>
      <c r="G89" s="89"/>
      <c r="H89" s="89"/>
      <c r="I89" s="89"/>
      <c r="J89" s="89"/>
      <c r="K89" s="89"/>
      <c r="L89" s="27"/>
      <c r="M89" s="268"/>
      <c r="N89" s="365"/>
      <c r="O89" s="365"/>
      <c r="P89" s="365"/>
      <c r="Q89" s="27"/>
      <c r="R89" s="27"/>
      <c r="S89" s="27"/>
      <c r="T89" s="474"/>
      <c r="U89" s="474"/>
      <c r="V89" s="474"/>
    </row>
    <row r="90" spans="1:22" ht="15.6" x14ac:dyDescent="0.3">
      <c r="A90" s="22"/>
      <c r="B90" s="97" t="s">
        <v>154</v>
      </c>
      <c r="C90" s="22"/>
      <c r="D90" s="130">
        <f>SUM(D23:D53)-D37-D33</f>
        <v>-468942</v>
      </c>
      <c r="E90" s="130">
        <f>SUM(E23:E53)-E37-E33</f>
        <v>-69266271</v>
      </c>
      <c r="F90" s="89"/>
      <c r="G90" s="89"/>
      <c r="H90" s="89"/>
      <c r="I90" s="89"/>
      <c r="J90" s="89"/>
      <c r="K90" s="89"/>
      <c r="L90" s="27"/>
      <c r="M90" s="268"/>
      <c r="N90" s="365"/>
      <c r="O90" s="365"/>
      <c r="P90" s="365"/>
      <c r="Q90" s="27"/>
      <c r="R90" s="27"/>
      <c r="S90" s="27"/>
      <c r="T90" s="474"/>
      <c r="U90" s="474"/>
      <c r="V90" s="474"/>
    </row>
    <row r="91" spans="1:22" ht="15" x14ac:dyDescent="0.25">
      <c r="A91" s="22"/>
      <c r="B91" s="22"/>
      <c r="C91" s="22"/>
      <c r="D91" s="89"/>
      <c r="E91" s="27"/>
      <c r="F91" s="89"/>
      <c r="G91" s="89"/>
      <c r="H91" s="89"/>
      <c r="I91" s="89"/>
      <c r="J91" s="89"/>
      <c r="K91" s="89"/>
      <c r="L91" s="27"/>
      <c r="M91" s="268"/>
      <c r="N91" s="365"/>
      <c r="O91" s="365"/>
      <c r="P91" s="365"/>
      <c r="Q91" s="27"/>
      <c r="R91" s="27"/>
      <c r="S91" s="27"/>
      <c r="T91" s="474"/>
      <c r="U91" s="474"/>
      <c r="V91" s="474"/>
    </row>
    <row r="92" spans="1:22" ht="15" x14ac:dyDescent="0.25">
      <c r="A92" s="22"/>
      <c r="B92" s="22"/>
      <c r="C92" s="22"/>
      <c r="D92" s="89"/>
      <c r="E92" s="27"/>
      <c r="F92" s="89"/>
      <c r="G92" s="89"/>
      <c r="H92" s="89"/>
      <c r="I92" s="89"/>
      <c r="J92" s="89"/>
      <c r="K92" s="89"/>
      <c r="L92" s="27"/>
      <c r="M92" s="268"/>
      <c r="N92" s="365"/>
      <c r="O92" s="365"/>
      <c r="P92" s="365"/>
      <c r="Q92" s="27"/>
      <c r="R92" s="27"/>
      <c r="S92" s="27"/>
      <c r="T92" s="474"/>
      <c r="U92" s="474"/>
      <c r="V92" s="474"/>
    </row>
    <row r="93" spans="1:22" ht="15" x14ac:dyDescent="0.25">
      <c r="A93" s="22"/>
      <c r="B93" s="22"/>
      <c r="C93" s="22"/>
      <c r="D93" s="89"/>
      <c r="E93" s="27"/>
      <c r="F93" s="89"/>
      <c r="G93" s="89"/>
      <c r="H93" s="89"/>
      <c r="I93" s="89"/>
      <c r="J93" s="89"/>
      <c r="K93" s="89"/>
      <c r="L93" s="27"/>
      <c r="M93" s="268"/>
      <c r="N93" s="365"/>
      <c r="O93" s="365"/>
      <c r="P93" s="365"/>
      <c r="Q93" s="27"/>
      <c r="R93" s="27"/>
      <c r="S93" s="27"/>
      <c r="T93" s="474"/>
      <c r="U93" s="474"/>
      <c r="V93" s="474"/>
    </row>
    <row r="94" spans="1:22" ht="15" x14ac:dyDescent="0.25">
      <c r="A94" s="22"/>
      <c r="B94" s="22"/>
      <c r="C94" s="22"/>
      <c r="D94" s="89"/>
      <c r="E94" s="27"/>
      <c r="F94" s="89"/>
      <c r="G94" s="89"/>
      <c r="H94" s="89"/>
      <c r="I94" s="89"/>
      <c r="J94" s="89"/>
      <c r="K94" s="89"/>
      <c r="L94" s="27"/>
      <c r="M94" s="268"/>
      <c r="N94" s="365"/>
      <c r="O94" s="365"/>
      <c r="P94" s="365"/>
      <c r="Q94" s="27"/>
      <c r="R94" s="27"/>
      <c r="S94" s="27"/>
      <c r="T94" s="474"/>
      <c r="U94" s="474"/>
      <c r="V94" s="474"/>
    </row>
    <row r="95" spans="1:22" ht="15" x14ac:dyDescent="0.25">
      <c r="A95" s="22"/>
      <c r="B95" s="22"/>
      <c r="C95" s="22"/>
      <c r="D95" s="89"/>
      <c r="E95" s="27"/>
      <c r="F95" s="89"/>
      <c r="G95" s="89"/>
      <c r="H95" s="89"/>
      <c r="I95" s="89"/>
      <c r="J95" s="89"/>
      <c r="K95" s="89"/>
      <c r="L95" s="27"/>
      <c r="M95" s="268"/>
      <c r="N95" s="365"/>
      <c r="O95" s="365"/>
      <c r="P95" s="365"/>
      <c r="Q95" s="27"/>
      <c r="R95" s="27"/>
      <c r="S95" s="27"/>
      <c r="T95" s="474"/>
      <c r="U95" s="474"/>
      <c r="V95" s="474"/>
    </row>
    <row r="96" spans="1:22" ht="15" x14ac:dyDescent="0.25">
      <c r="A96" s="22"/>
      <c r="B96" s="22"/>
      <c r="C96" s="22"/>
      <c r="D96" s="89"/>
      <c r="E96" s="27"/>
      <c r="F96" s="89"/>
      <c r="G96" s="89"/>
      <c r="H96" s="89"/>
      <c r="I96" s="89"/>
      <c r="J96" s="89"/>
      <c r="K96" s="89"/>
      <c r="L96" s="27"/>
      <c r="M96" s="268"/>
      <c r="N96" s="365"/>
      <c r="O96" s="365"/>
      <c r="P96" s="365"/>
      <c r="Q96" s="27"/>
      <c r="R96" s="27"/>
      <c r="S96" s="27"/>
      <c r="T96" s="474"/>
      <c r="U96" s="474"/>
      <c r="V96" s="474"/>
    </row>
    <row r="97" spans="1:256" ht="15" x14ac:dyDescent="0.25">
      <c r="A97" s="22"/>
      <c r="B97" s="22"/>
      <c r="C97" s="22"/>
      <c r="D97" s="89"/>
      <c r="E97" s="27"/>
      <c r="F97" s="89"/>
      <c r="G97" s="89"/>
      <c r="H97" s="89"/>
      <c r="I97" s="89"/>
      <c r="J97" s="89"/>
      <c r="K97" s="89"/>
      <c r="L97" s="27"/>
      <c r="M97" s="268"/>
      <c r="N97" s="365"/>
      <c r="O97" s="365"/>
      <c r="P97" s="365"/>
      <c r="Q97" s="27"/>
      <c r="R97" s="27"/>
      <c r="S97" s="27"/>
      <c r="T97" s="474"/>
      <c r="U97" s="474"/>
      <c r="V97" s="474"/>
    </row>
    <row r="98" spans="1:256" ht="15" x14ac:dyDescent="0.25">
      <c r="A98" s="22"/>
      <c r="B98" s="22"/>
      <c r="C98" s="22"/>
      <c r="D98" s="89"/>
      <c r="E98" s="27"/>
      <c r="F98" s="89"/>
      <c r="G98" s="89"/>
      <c r="H98" s="89"/>
      <c r="I98" s="89"/>
      <c r="J98" s="89"/>
      <c r="K98" s="89"/>
      <c r="L98" s="27"/>
      <c r="M98" s="268"/>
      <c r="N98" s="365"/>
      <c r="O98" s="365"/>
      <c r="P98" s="365"/>
      <c r="Q98" s="27"/>
      <c r="R98" s="27"/>
      <c r="S98" s="27"/>
      <c r="T98" s="474"/>
      <c r="U98" s="474"/>
      <c r="V98" s="474"/>
    </row>
    <row r="99" spans="1:256" ht="15.6" x14ac:dyDescent="0.3">
      <c r="A99" s="22"/>
      <c r="B99" s="22"/>
      <c r="C99" s="22"/>
      <c r="D99" s="398" t="s">
        <v>164</v>
      </c>
      <c r="E99" s="52" t="s">
        <v>165</v>
      </c>
      <c r="F99" s="398"/>
      <c r="G99" s="398"/>
      <c r="H99" s="398"/>
      <c r="I99" s="398"/>
      <c r="J99" s="398"/>
      <c r="K99" s="398"/>
      <c r="L99" s="52" t="s">
        <v>166</v>
      </c>
      <c r="M99" s="399"/>
      <c r="N99" s="400"/>
      <c r="O99" s="400"/>
      <c r="P99" s="400"/>
      <c r="Q99" s="52" t="s">
        <v>167</v>
      </c>
      <c r="R99" s="27"/>
      <c r="S99" s="27"/>
      <c r="T99" s="474"/>
      <c r="U99" s="474"/>
      <c r="V99" s="474"/>
    </row>
    <row r="100" spans="1:256" ht="15" x14ac:dyDescent="0.25">
      <c r="A100" s="22"/>
      <c r="B100" s="22"/>
      <c r="C100" s="22"/>
      <c r="D100" s="89"/>
      <c r="E100" s="27"/>
      <c r="F100" s="89"/>
      <c r="G100" s="89"/>
      <c r="H100" s="89"/>
      <c r="I100" s="89"/>
      <c r="J100" s="89"/>
      <c r="K100" s="89"/>
      <c r="L100" s="27"/>
      <c r="M100" s="268"/>
      <c r="N100" s="365"/>
      <c r="O100" s="365"/>
      <c r="P100" s="365"/>
      <c r="Q100" s="27"/>
      <c r="R100" s="27"/>
      <c r="S100" s="27"/>
      <c r="T100" s="474"/>
      <c r="U100" s="474"/>
      <c r="V100" s="474"/>
    </row>
    <row r="101" spans="1:256" ht="15.6" x14ac:dyDescent="0.3">
      <c r="A101" s="22"/>
      <c r="B101" s="34" t="s">
        <v>122</v>
      </c>
      <c r="C101" s="22"/>
      <c r="D101" s="130">
        <f>+D50+D49+D44+D43+D32+D31+D24</f>
        <v>-3777591</v>
      </c>
      <c r="E101" s="130">
        <f>+E50+E49+E44+E43+E32+E31+E24</f>
        <v>-8995199</v>
      </c>
      <c r="F101" s="89"/>
      <c r="G101" s="89"/>
      <c r="H101" s="89"/>
      <c r="I101" s="89"/>
      <c r="J101" s="89"/>
      <c r="K101" s="89"/>
      <c r="L101" s="130">
        <f>+L50+L49+L44+L43+L32+L31+L24</f>
        <v>-391050</v>
      </c>
      <c r="M101" s="130"/>
      <c r="N101" s="130"/>
      <c r="O101" s="130"/>
      <c r="P101" s="130"/>
      <c r="Q101" s="130"/>
      <c r="R101" s="27"/>
      <c r="S101" s="27"/>
      <c r="T101" s="474"/>
      <c r="U101" s="474"/>
      <c r="V101" s="474"/>
    </row>
    <row r="102" spans="1:256" ht="15.6" x14ac:dyDescent="0.3">
      <c r="A102" s="22"/>
      <c r="B102" s="34" t="s">
        <v>163</v>
      </c>
      <c r="C102" s="22"/>
      <c r="D102" s="130">
        <f>+D52+D34+D33+D26+D25</f>
        <v>1218424</v>
      </c>
      <c r="E102" s="130">
        <f>+E52+E34+E33+E26+E25</f>
        <v>-18718664.118407346</v>
      </c>
      <c r="F102" s="92"/>
      <c r="G102" s="92"/>
      <c r="H102" s="92"/>
      <c r="I102" s="89"/>
      <c r="J102" s="89"/>
      <c r="K102" s="92"/>
      <c r="L102" s="130">
        <f>+L52+L34+L33+L26+L25</f>
        <v>221466</v>
      </c>
      <c r="M102" s="131"/>
      <c r="N102" s="131"/>
      <c r="O102" s="131"/>
      <c r="P102" s="131"/>
      <c r="Q102" s="131"/>
      <c r="R102" s="22">
        <v>66000000</v>
      </c>
      <c r="S102" s="22"/>
    </row>
    <row r="103" spans="1:256" ht="15.6" x14ac:dyDescent="0.3">
      <c r="A103" s="22"/>
      <c r="B103" s="34" t="s">
        <v>162</v>
      </c>
      <c r="C103" s="22"/>
      <c r="D103" s="130">
        <f>+D47+D42+D41+D23</f>
        <v>2090225</v>
      </c>
      <c r="E103" s="130">
        <f>+E47+E48+E42+E41+E23</f>
        <v>-13783687</v>
      </c>
      <c r="F103" s="92"/>
      <c r="G103" s="92"/>
      <c r="H103" s="92"/>
      <c r="I103" s="89"/>
      <c r="J103" s="89"/>
      <c r="K103" s="92"/>
      <c r="L103" s="130">
        <f>+L47+L42+L41+L23</f>
        <v>23311726</v>
      </c>
      <c r="M103" s="131"/>
      <c r="N103" s="131"/>
      <c r="O103" s="131"/>
      <c r="P103" s="131"/>
      <c r="Q103" s="131"/>
      <c r="R103" s="22"/>
      <c r="S103" s="22"/>
    </row>
    <row r="104" spans="1:256" ht="15.6" x14ac:dyDescent="0.3">
      <c r="A104" s="22"/>
      <c r="B104" s="34" t="s">
        <v>168</v>
      </c>
      <c r="C104" s="22"/>
      <c r="D104" s="130">
        <f>+D51</f>
        <v>0</v>
      </c>
      <c r="E104" s="130">
        <f>+E51</f>
        <v>0</v>
      </c>
      <c r="F104" s="92"/>
      <c r="G104" s="92"/>
      <c r="H104" s="92"/>
      <c r="I104" s="89"/>
      <c r="J104" s="89"/>
      <c r="K104" s="92"/>
      <c r="L104" s="130">
        <f>+L51</f>
        <v>-497600</v>
      </c>
      <c r="M104" s="131"/>
      <c r="N104" s="131"/>
      <c r="O104" s="131"/>
      <c r="P104" s="131"/>
      <c r="Q104" s="131"/>
      <c r="R104" s="22"/>
      <c r="S104" s="22"/>
    </row>
    <row r="105" spans="1:256" ht="15.6" x14ac:dyDescent="0.3">
      <c r="A105" s="22"/>
      <c r="B105" s="34" t="s">
        <v>123</v>
      </c>
      <c r="C105" s="22"/>
      <c r="D105" s="401">
        <f>+D30</f>
        <v>0</v>
      </c>
      <c r="E105" s="401">
        <f>+E30</f>
        <v>0</v>
      </c>
      <c r="F105" s="519"/>
      <c r="G105" s="519"/>
      <c r="H105" s="519"/>
      <c r="I105" s="520"/>
      <c r="J105" s="520"/>
      <c r="K105" s="519"/>
      <c r="L105" s="401">
        <f>+L30</f>
        <v>0</v>
      </c>
      <c r="M105" s="131"/>
      <c r="N105" s="131"/>
      <c r="O105" s="131"/>
      <c r="P105" s="131"/>
      <c r="Q105" s="131"/>
      <c r="R105" s="22"/>
      <c r="S105" s="22"/>
    </row>
    <row r="106" spans="1:256" ht="15" x14ac:dyDescent="0.25">
      <c r="A106" s="22"/>
      <c r="B106" s="22"/>
      <c r="C106" s="22"/>
      <c r="D106" s="92"/>
      <c r="E106" s="22"/>
      <c r="F106" s="92"/>
      <c r="G106" s="92"/>
      <c r="H106" s="92"/>
      <c r="I106" s="89"/>
      <c r="J106" s="89"/>
      <c r="K106" s="92"/>
      <c r="L106" s="22"/>
      <c r="M106" s="261"/>
      <c r="N106" s="366"/>
      <c r="O106" s="366"/>
      <c r="P106" s="366"/>
      <c r="Q106" s="22"/>
      <c r="R106" s="22"/>
      <c r="S106" s="22"/>
    </row>
    <row r="107" spans="1:256" ht="16.2" thickBot="1" x14ac:dyDescent="0.35">
      <c r="A107" s="22"/>
      <c r="B107" s="22"/>
      <c r="C107" s="22"/>
      <c r="D107" s="126">
        <f>SUM(D101:D106)</f>
        <v>-468942</v>
      </c>
      <c r="E107" s="126">
        <f>SUM(E101:E106)</f>
        <v>-41497550.118407346</v>
      </c>
      <c r="F107" s="521"/>
      <c r="G107" s="521"/>
      <c r="H107" s="521"/>
      <c r="I107" s="126"/>
      <c r="J107" s="126"/>
      <c r="K107" s="521"/>
      <c r="L107" s="126">
        <f>SUM(L101:L106)</f>
        <v>22644542</v>
      </c>
      <c r="M107" s="261"/>
      <c r="N107" s="366"/>
      <c r="O107" s="366"/>
      <c r="P107" s="366"/>
      <c r="Q107" s="10">
        <f>SUM(D107:L107)</f>
        <v>-19321950.118407346</v>
      </c>
      <c r="R107" s="22"/>
      <c r="S107" s="22"/>
      <c r="IV107" s="483"/>
    </row>
    <row r="108" spans="1:256" ht="15.6" thickTop="1" x14ac:dyDescent="0.25">
      <c r="A108" s="22"/>
      <c r="B108" s="22"/>
      <c r="C108" s="22"/>
      <c r="D108" s="92"/>
      <c r="E108" s="22"/>
      <c r="F108" s="92"/>
      <c r="G108" s="92"/>
      <c r="H108" s="92"/>
      <c r="I108" s="89"/>
      <c r="J108" s="89"/>
      <c r="K108" s="92"/>
      <c r="L108" s="22"/>
      <c r="M108" s="261"/>
      <c r="N108" s="366"/>
      <c r="O108" s="366"/>
      <c r="P108" s="366"/>
      <c r="Q108" s="22"/>
      <c r="R108" s="22"/>
      <c r="S108" s="22"/>
    </row>
    <row r="109" spans="1:256" ht="15" x14ac:dyDescent="0.25">
      <c r="A109" s="22"/>
      <c r="B109" s="22"/>
      <c r="C109" s="22"/>
      <c r="D109" s="92"/>
      <c r="E109" s="22"/>
      <c r="F109" s="92"/>
      <c r="G109" s="92"/>
      <c r="H109" s="92"/>
      <c r="I109" s="89"/>
      <c r="J109" s="89"/>
      <c r="K109" s="92"/>
      <c r="L109" s="22"/>
      <c r="M109" s="261"/>
      <c r="N109" s="366"/>
      <c r="O109" s="366"/>
      <c r="P109" s="366"/>
      <c r="Q109" s="22"/>
      <c r="R109" s="22"/>
      <c r="S109" s="22"/>
    </row>
    <row r="110" spans="1:256" ht="15" x14ac:dyDescent="0.25">
      <c r="A110" s="22"/>
      <c r="B110" s="22"/>
      <c r="C110" s="22"/>
      <c r="D110" s="92"/>
      <c r="E110" s="22"/>
      <c r="F110" s="92"/>
      <c r="G110" s="92"/>
      <c r="H110" s="92"/>
      <c r="I110" s="89"/>
      <c r="J110" s="89"/>
      <c r="K110" s="92"/>
      <c r="L110" s="22"/>
      <c r="M110" s="261"/>
      <c r="N110" s="366"/>
      <c r="O110" s="366"/>
      <c r="P110" s="366"/>
      <c r="Q110" s="22"/>
      <c r="R110" s="22"/>
      <c r="S110" s="22"/>
    </row>
    <row r="111" spans="1:256" ht="15" x14ac:dyDescent="0.25">
      <c r="A111" s="22"/>
      <c r="B111" s="22"/>
      <c r="C111" s="22"/>
      <c r="D111" s="92"/>
      <c r="E111" s="22"/>
      <c r="F111" s="92"/>
      <c r="G111" s="92"/>
      <c r="H111" s="92"/>
      <c r="I111" s="89"/>
      <c r="J111" s="89"/>
      <c r="K111" s="92"/>
      <c r="L111" s="22"/>
      <c r="M111" s="261"/>
      <c r="N111" s="366"/>
      <c r="O111" s="366"/>
      <c r="P111" s="366"/>
      <c r="Q111" s="22"/>
      <c r="R111" s="22"/>
      <c r="S111" s="22"/>
    </row>
    <row r="112" spans="1:256" ht="15" x14ac:dyDescent="0.25">
      <c r="A112" s="22"/>
      <c r="B112" s="22"/>
      <c r="C112" s="22"/>
      <c r="D112" s="92"/>
      <c r="E112" s="22"/>
      <c r="F112" s="92"/>
      <c r="G112" s="92"/>
      <c r="H112" s="92"/>
      <c r="I112" s="89"/>
      <c r="J112" s="89"/>
      <c r="K112" s="92"/>
      <c r="L112" s="22"/>
      <c r="M112" s="261"/>
      <c r="N112" s="366"/>
      <c r="O112" s="366"/>
      <c r="P112" s="366"/>
      <c r="Q112" s="22"/>
      <c r="R112" s="22"/>
      <c r="S112" s="22"/>
    </row>
    <row r="113" spans="1:19" ht="15" x14ac:dyDescent="0.25">
      <c r="A113" s="22"/>
      <c r="B113" s="22"/>
      <c r="C113" s="22"/>
      <c r="D113" s="92"/>
      <c r="E113" s="22"/>
      <c r="F113" s="92"/>
      <c r="G113" s="92"/>
      <c r="H113" s="92"/>
      <c r="I113" s="89"/>
      <c r="J113" s="89"/>
      <c r="K113" s="92"/>
      <c r="L113" s="22"/>
      <c r="M113" s="261"/>
      <c r="N113" s="366"/>
      <c r="O113" s="366"/>
      <c r="P113" s="366"/>
      <c r="Q113" s="22"/>
      <c r="R113" s="22"/>
      <c r="S113" s="22"/>
    </row>
    <row r="114" spans="1:19" ht="15" x14ac:dyDescent="0.25">
      <c r="A114" s="22"/>
      <c r="B114" s="22"/>
      <c r="C114" s="22"/>
      <c r="D114" s="92"/>
      <c r="E114" s="22"/>
      <c r="F114" s="92"/>
      <c r="G114" s="92"/>
      <c r="H114" s="92"/>
      <c r="I114" s="89"/>
      <c r="J114" s="89"/>
      <c r="K114" s="92"/>
      <c r="L114" s="22"/>
      <c r="M114" s="261"/>
      <c r="N114" s="366"/>
      <c r="O114" s="366"/>
      <c r="P114" s="366"/>
      <c r="Q114" s="22"/>
      <c r="R114" s="22"/>
      <c r="S114" s="22"/>
    </row>
    <row r="115" spans="1:19" ht="15" x14ac:dyDescent="0.25">
      <c r="A115" s="22"/>
      <c r="B115" s="22"/>
      <c r="C115" s="22"/>
      <c r="D115" s="92"/>
      <c r="E115" s="22"/>
      <c r="F115" s="92"/>
      <c r="G115" s="92"/>
      <c r="H115" s="92"/>
      <c r="I115" s="89"/>
      <c r="J115" s="89"/>
      <c r="K115" s="92"/>
      <c r="L115" s="22"/>
      <c r="M115" s="261"/>
      <c r="N115" s="366"/>
      <c r="O115" s="366"/>
      <c r="P115" s="366"/>
      <c r="Q115" s="22"/>
      <c r="R115" s="22"/>
      <c r="S115" s="22"/>
    </row>
    <row r="116" spans="1:19" ht="15" x14ac:dyDescent="0.25">
      <c r="A116" s="22"/>
      <c r="B116" s="22"/>
      <c r="C116" s="22"/>
      <c r="D116" s="92"/>
      <c r="E116" s="22"/>
      <c r="F116" s="92"/>
      <c r="G116" s="92"/>
      <c r="H116" s="92"/>
      <c r="I116" s="89"/>
      <c r="J116" s="89"/>
      <c r="K116" s="92"/>
      <c r="L116" s="22"/>
      <c r="M116" s="261"/>
      <c r="N116" s="366"/>
      <c r="O116" s="366"/>
      <c r="P116" s="366"/>
      <c r="Q116" s="22"/>
      <c r="R116" s="22"/>
      <c r="S116" s="22"/>
    </row>
    <row r="117" spans="1:19" ht="15" x14ac:dyDescent="0.25">
      <c r="A117" s="22"/>
      <c r="B117" s="22"/>
      <c r="C117" s="22"/>
      <c r="D117" s="92"/>
      <c r="E117" s="22"/>
      <c r="F117" s="92"/>
      <c r="G117" s="92"/>
      <c r="H117" s="92"/>
      <c r="I117" s="89"/>
      <c r="J117" s="89"/>
      <c r="K117" s="92"/>
      <c r="L117" s="22"/>
      <c r="M117" s="261"/>
      <c r="N117" s="366"/>
      <c r="O117" s="366"/>
      <c r="P117" s="366"/>
      <c r="Q117" s="22"/>
      <c r="R117" s="22"/>
      <c r="S117" s="22"/>
    </row>
    <row r="118" spans="1:19" ht="15" x14ac:dyDescent="0.25">
      <c r="A118" s="22"/>
      <c r="B118" s="22"/>
      <c r="C118" s="22"/>
      <c r="D118" s="92"/>
      <c r="E118" s="22"/>
      <c r="F118" s="92"/>
      <c r="G118" s="92"/>
      <c r="H118" s="92"/>
      <c r="I118" s="89"/>
      <c r="J118" s="89"/>
      <c r="K118" s="92"/>
      <c r="L118" s="22"/>
      <c r="M118" s="261"/>
      <c r="N118" s="366"/>
      <c r="O118" s="366"/>
      <c r="P118" s="366"/>
      <c r="Q118" s="22"/>
      <c r="R118" s="22"/>
      <c r="S118" s="22"/>
    </row>
    <row r="119" spans="1:19" ht="15" x14ac:dyDescent="0.25">
      <c r="A119" s="22"/>
      <c r="B119" s="22"/>
      <c r="C119" s="22"/>
      <c r="D119" s="92"/>
      <c r="E119" s="22"/>
      <c r="F119" s="92"/>
      <c r="G119" s="92"/>
      <c r="H119" s="92"/>
      <c r="I119" s="89"/>
      <c r="J119" s="89"/>
      <c r="K119" s="92"/>
      <c r="L119" s="22"/>
      <c r="M119" s="261"/>
      <c r="N119" s="366"/>
      <c r="O119" s="366"/>
      <c r="P119" s="366"/>
      <c r="Q119" s="22"/>
      <c r="R119" s="22"/>
      <c r="S119" s="22"/>
    </row>
    <row r="120" spans="1:19" ht="15" x14ac:dyDescent="0.25">
      <c r="A120" s="22"/>
      <c r="B120" s="22"/>
      <c r="C120" s="22"/>
      <c r="D120" s="92"/>
      <c r="E120" s="22"/>
      <c r="F120" s="92"/>
      <c r="G120" s="92"/>
      <c r="H120" s="92"/>
      <c r="I120" s="89"/>
      <c r="J120" s="89"/>
      <c r="K120" s="92"/>
      <c r="L120" s="22"/>
      <c r="M120" s="261"/>
      <c r="N120" s="366"/>
      <c r="O120" s="366"/>
      <c r="P120" s="366"/>
      <c r="Q120" s="22"/>
      <c r="R120" s="22"/>
      <c r="S120" s="22"/>
    </row>
    <row r="121" spans="1:19" ht="15" x14ac:dyDescent="0.25">
      <c r="A121" s="22"/>
      <c r="B121" s="22"/>
      <c r="C121" s="22"/>
      <c r="D121" s="92"/>
      <c r="E121" s="22"/>
      <c r="F121" s="92"/>
      <c r="G121" s="92"/>
      <c r="H121" s="92"/>
      <c r="I121" s="89"/>
      <c r="J121" s="89"/>
      <c r="K121" s="92"/>
      <c r="L121" s="22"/>
      <c r="M121" s="261"/>
      <c r="N121" s="366"/>
      <c r="O121" s="366"/>
      <c r="P121" s="366"/>
      <c r="Q121" s="22"/>
      <c r="R121" s="22"/>
      <c r="S121" s="22"/>
    </row>
    <row r="122" spans="1:19" ht="15" x14ac:dyDescent="0.25">
      <c r="A122" s="22"/>
      <c r="B122" s="22"/>
      <c r="C122" s="22"/>
      <c r="D122" s="92"/>
      <c r="E122" s="22"/>
      <c r="F122" s="92"/>
      <c r="G122" s="92"/>
      <c r="H122" s="92"/>
      <c r="I122" s="89"/>
      <c r="J122" s="89"/>
      <c r="K122" s="92"/>
      <c r="L122" s="22"/>
      <c r="M122" s="261"/>
      <c r="N122" s="366"/>
      <c r="O122" s="366"/>
      <c r="P122" s="366"/>
      <c r="Q122" s="22"/>
      <c r="R122" s="22"/>
      <c r="S122" s="22"/>
    </row>
    <row r="123" spans="1:19" ht="15" x14ac:dyDescent="0.25">
      <c r="A123" s="22"/>
      <c r="B123" s="22"/>
      <c r="C123" s="22"/>
      <c r="D123" s="92"/>
      <c r="E123" s="22"/>
      <c r="F123" s="92"/>
      <c r="G123" s="92"/>
      <c r="H123" s="92"/>
      <c r="I123" s="89"/>
      <c r="J123" s="89"/>
      <c r="K123" s="92"/>
      <c r="L123" s="22"/>
      <c r="M123" s="261"/>
      <c r="N123" s="366"/>
      <c r="O123" s="366"/>
      <c r="P123" s="366"/>
      <c r="Q123" s="22"/>
      <c r="R123" s="22"/>
      <c r="S123" s="22"/>
    </row>
    <row r="124" spans="1:19" ht="15" x14ac:dyDescent="0.25">
      <c r="A124" s="22"/>
      <c r="B124" s="22"/>
      <c r="C124" s="22"/>
      <c r="D124" s="92"/>
      <c r="E124" s="22"/>
      <c r="F124" s="92"/>
      <c r="G124" s="92"/>
      <c r="H124" s="92"/>
      <c r="I124" s="89"/>
      <c r="J124" s="89"/>
      <c r="K124" s="92"/>
      <c r="L124" s="22"/>
      <c r="M124" s="261"/>
      <c r="N124" s="366"/>
      <c r="O124" s="366"/>
      <c r="P124" s="366"/>
      <c r="Q124" s="22"/>
      <c r="R124" s="22"/>
      <c r="S124" s="22"/>
    </row>
    <row r="125" spans="1:19" ht="15" x14ac:dyDescent="0.25">
      <c r="A125" s="22"/>
      <c r="B125" s="22"/>
      <c r="C125" s="22"/>
      <c r="D125" s="92"/>
      <c r="E125" s="22"/>
      <c r="F125" s="92"/>
      <c r="G125" s="92"/>
      <c r="H125" s="92"/>
      <c r="I125" s="89"/>
      <c r="J125" s="89"/>
      <c r="K125" s="92"/>
      <c r="L125" s="22"/>
      <c r="M125" s="261"/>
      <c r="N125" s="366"/>
      <c r="O125" s="366"/>
      <c r="P125" s="366"/>
      <c r="Q125" s="22"/>
      <c r="R125" s="22"/>
      <c r="S125" s="22"/>
    </row>
    <row r="126" spans="1:19" ht="15" x14ac:dyDescent="0.25">
      <c r="A126" s="22"/>
      <c r="B126" s="22"/>
      <c r="C126" s="22"/>
      <c r="D126" s="92"/>
      <c r="E126" s="22"/>
      <c r="F126" s="92"/>
      <c r="G126" s="92"/>
      <c r="H126" s="92"/>
      <c r="I126" s="89"/>
      <c r="J126" s="89"/>
      <c r="K126" s="92"/>
      <c r="L126" s="22"/>
      <c r="M126" s="261"/>
      <c r="N126" s="366"/>
      <c r="O126" s="366"/>
      <c r="P126" s="366"/>
      <c r="Q126" s="22"/>
      <c r="R126" s="22"/>
      <c r="S126" s="22"/>
    </row>
    <row r="127" spans="1:19" ht="15" x14ac:dyDescent="0.25">
      <c r="A127" s="22"/>
      <c r="B127" s="22"/>
      <c r="C127" s="22"/>
      <c r="D127" s="92"/>
      <c r="E127" s="22"/>
      <c r="F127" s="92"/>
      <c r="G127" s="92"/>
      <c r="H127" s="92"/>
      <c r="I127" s="89"/>
      <c r="J127" s="89"/>
      <c r="K127" s="92"/>
      <c r="L127" s="22"/>
      <c r="M127" s="261"/>
      <c r="N127" s="366"/>
      <c r="O127" s="366"/>
      <c r="P127" s="366"/>
      <c r="Q127" s="22"/>
      <c r="R127" s="22"/>
      <c r="S127" s="22"/>
    </row>
    <row r="128" spans="1:19" ht="15" x14ac:dyDescent="0.25">
      <c r="A128" s="22"/>
      <c r="B128" s="22"/>
      <c r="C128" s="22"/>
      <c r="D128" s="92"/>
      <c r="E128" s="22"/>
      <c r="F128" s="92"/>
      <c r="G128" s="92"/>
      <c r="H128" s="92"/>
      <c r="I128" s="89"/>
      <c r="J128" s="89"/>
      <c r="K128" s="92"/>
      <c r="L128" s="22"/>
      <c r="M128" s="261"/>
      <c r="N128" s="366"/>
      <c r="O128" s="366"/>
      <c r="P128" s="366"/>
      <c r="Q128" s="22"/>
      <c r="R128" s="22"/>
      <c r="S128" s="22"/>
    </row>
    <row r="129" spans="1:19" ht="15" x14ac:dyDescent="0.25">
      <c r="A129" s="22"/>
      <c r="B129" s="22"/>
      <c r="C129" s="22"/>
      <c r="D129" s="92"/>
      <c r="E129" s="22"/>
      <c r="F129" s="92"/>
      <c r="G129" s="92"/>
      <c r="H129" s="92"/>
      <c r="I129" s="89"/>
      <c r="J129" s="89"/>
      <c r="K129" s="92"/>
      <c r="L129" s="22"/>
      <c r="M129" s="261"/>
      <c r="N129" s="366"/>
      <c r="O129" s="366"/>
      <c r="P129" s="366"/>
      <c r="Q129" s="22"/>
      <c r="R129" s="22"/>
      <c r="S129" s="22"/>
    </row>
    <row r="130" spans="1:19" ht="15" x14ac:dyDescent="0.25">
      <c r="A130" s="22"/>
      <c r="B130" s="22"/>
      <c r="C130" s="22"/>
      <c r="D130" s="92"/>
      <c r="E130" s="22"/>
      <c r="F130" s="92"/>
      <c r="G130" s="92"/>
      <c r="H130" s="92"/>
      <c r="I130" s="89"/>
      <c r="J130" s="89"/>
      <c r="K130" s="92"/>
      <c r="L130" s="22"/>
      <c r="M130" s="261"/>
      <c r="N130" s="366"/>
      <c r="O130" s="366"/>
      <c r="P130" s="366"/>
      <c r="Q130" s="22"/>
      <c r="R130" s="22"/>
      <c r="S130" s="22"/>
    </row>
    <row r="131" spans="1:19" ht="15" x14ac:dyDescent="0.25">
      <c r="A131" s="22"/>
      <c r="B131" s="22"/>
      <c r="C131" s="22"/>
      <c r="D131" s="92"/>
      <c r="E131" s="22"/>
      <c r="F131" s="92"/>
      <c r="G131" s="92"/>
      <c r="H131" s="92"/>
      <c r="I131" s="89"/>
      <c r="J131" s="89"/>
      <c r="K131" s="92"/>
      <c r="L131" s="22"/>
      <c r="M131" s="261"/>
      <c r="N131" s="366"/>
      <c r="O131" s="366"/>
      <c r="P131" s="366"/>
      <c r="Q131" s="22"/>
      <c r="R131" s="22"/>
      <c r="S131" s="22"/>
    </row>
    <row r="132" spans="1:19" ht="15" x14ac:dyDescent="0.25">
      <c r="A132" s="22"/>
      <c r="B132" s="22"/>
      <c r="C132" s="22"/>
      <c r="D132" s="92"/>
      <c r="E132" s="22"/>
      <c r="F132" s="92"/>
      <c r="G132" s="92"/>
      <c r="H132" s="92"/>
      <c r="I132" s="89"/>
      <c r="J132" s="89"/>
      <c r="K132" s="92"/>
      <c r="L132" s="22"/>
      <c r="M132" s="261"/>
      <c r="N132" s="366"/>
      <c r="O132" s="366"/>
      <c r="P132" s="366"/>
      <c r="Q132" s="22"/>
      <c r="R132" s="22"/>
      <c r="S132" s="22"/>
    </row>
    <row r="133" spans="1:19" ht="15" x14ac:dyDescent="0.25">
      <c r="A133" s="22"/>
      <c r="B133" s="22"/>
      <c r="C133" s="22"/>
      <c r="D133" s="92"/>
      <c r="E133" s="22"/>
      <c r="F133" s="92"/>
      <c r="G133" s="92"/>
      <c r="H133" s="92"/>
      <c r="I133" s="89"/>
      <c r="J133" s="89"/>
      <c r="K133" s="92"/>
      <c r="L133" s="22"/>
      <c r="M133" s="261"/>
      <c r="N133" s="366"/>
      <c r="O133" s="366"/>
      <c r="P133" s="366"/>
      <c r="Q133" s="22"/>
      <c r="R133" s="22"/>
      <c r="S133" s="22"/>
    </row>
    <row r="134" spans="1:19" ht="15" x14ac:dyDescent="0.25">
      <c r="A134" s="22"/>
      <c r="B134" s="22"/>
      <c r="C134" s="22"/>
      <c r="D134" s="92"/>
      <c r="E134" s="22"/>
      <c r="F134" s="92"/>
      <c r="G134" s="92"/>
      <c r="H134" s="92"/>
      <c r="I134" s="89"/>
      <c r="J134" s="89"/>
      <c r="K134" s="92"/>
      <c r="L134" s="22"/>
      <c r="M134" s="261"/>
      <c r="N134" s="366"/>
      <c r="O134" s="366"/>
      <c r="P134" s="366"/>
      <c r="Q134" s="22"/>
      <c r="R134" s="22"/>
      <c r="S134" s="22"/>
    </row>
    <row r="135" spans="1:19" ht="15" x14ac:dyDescent="0.25">
      <c r="A135" s="22"/>
      <c r="B135" s="22"/>
      <c r="C135" s="22"/>
      <c r="D135" s="92"/>
      <c r="E135" s="22"/>
      <c r="F135" s="92"/>
      <c r="G135" s="92"/>
      <c r="H135" s="92"/>
      <c r="I135" s="89"/>
      <c r="J135" s="89"/>
      <c r="K135" s="92"/>
      <c r="L135" s="22"/>
      <c r="M135" s="261"/>
      <c r="N135" s="366"/>
      <c r="O135" s="366"/>
      <c r="P135" s="366"/>
      <c r="Q135" s="22"/>
      <c r="R135" s="22"/>
      <c r="S135" s="22"/>
    </row>
    <row r="136" spans="1:19" ht="15" x14ac:dyDescent="0.25">
      <c r="A136" s="22"/>
      <c r="B136" s="22"/>
      <c r="C136" s="22"/>
      <c r="D136" s="92"/>
      <c r="E136" s="22"/>
      <c r="F136" s="92"/>
      <c r="G136" s="92"/>
      <c r="H136" s="92"/>
      <c r="I136" s="89"/>
      <c r="J136" s="89"/>
      <c r="K136" s="92"/>
      <c r="L136" s="22"/>
      <c r="M136" s="261"/>
      <c r="N136" s="366"/>
      <c r="O136" s="366"/>
      <c r="P136" s="366"/>
      <c r="Q136" s="22"/>
      <c r="R136" s="22"/>
      <c r="S136" s="22"/>
    </row>
    <row r="137" spans="1:19" ht="15" x14ac:dyDescent="0.25">
      <c r="A137" s="22"/>
      <c r="B137" s="22"/>
      <c r="C137" s="22"/>
      <c r="D137" s="92"/>
      <c r="E137" s="22"/>
      <c r="F137" s="92"/>
      <c r="G137" s="92"/>
      <c r="H137" s="92"/>
      <c r="I137" s="89"/>
      <c r="J137" s="89"/>
      <c r="K137" s="92"/>
      <c r="L137" s="22"/>
      <c r="M137" s="261"/>
      <c r="N137" s="366"/>
      <c r="O137" s="366"/>
      <c r="P137" s="366"/>
      <c r="Q137" s="22"/>
      <c r="R137" s="22"/>
      <c r="S137" s="22"/>
    </row>
    <row r="138" spans="1:19" ht="15" x14ac:dyDescent="0.25">
      <c r="A138" s="22"/>
      <c r="B138" s="22"/>
      <c r="C138" s="22"/>
      <c r="D138" s="92"/>
      <c r="E138" s="22"/>
      <c r="F138" s="92"/>
      <c r="G138" s="92"/>
      <c r="H138" s="92"/>
      <c r="I138" s="89"/>
      <c r="J138" s="89"/>
      <c r="K138" s="92"/>
      <c r="L138" s="22"/>
      <c r="M138" s="261"/>
      <c r="N138" s="366"/>
      <c r="O138" s="366"/>
      <c r="P138" s="366"/>
      <c r="Q138" s="22"/>
      <c r="R138" s="22"/>
      <c r="S138" s="22"/>
    </row>
    <row r="139" spans="1:19" ht="15" x14ac:dyDescent="0.25">
      <c r="A139" s="22"/>
      <c r="B139" s="22"/>
      <c r="C139" s="22"/>
      <c r="D139" s="92"/>
      <c r="E139" s="22"/>
      <c r="F139" s="92"/>
      <c r="G139" s="92"/>
      <c r="H139" s="92"/>
      <c r="I139" s="89"/>
      <c r="J139" s="89"/>
      <c r="K139" s="92"/>
      <c r="L139" s="22"/>
      <c r="M139" s="261"/>
      <c r="N139" s="366"/>
      <c r="O139" s="366"/>
      <c r="P139" s="366"/>
      <c r="Q139" s="22"/>
      <c r="R139" s="22"/>
      <c r="S139" s="22"/>
    </row>
    <row r="140" spans="1:19" ht="15" x14ac:dyDescent="0.25">
      <c r="A140" s="22"/>
      <c r="B140" s="22"/>
      <c r="C140" s="22"/>
      <c r="D140" s="92"/>
      <c r="E140" s="22"/>
      <c r="F140" s="92"/>
      <c r="G140" s="92"/>
      <c r="H140" s="92"/>
      <c r="I140" s="89"/>
      <c r="J140" s="89"/>
      <c r="K140" s="92"/>
      <c r="L140" s="22"/>
      <c r="M140" s="261"/>
      <c r="N140" s="366"/>
      <c r="O140" s="366"/>
      <c r="P140" s="366"/>
      <c r="Q140" s="22"/>
      <c r="R140" s="22"/>
      <c r="S140" s="22"/>
    </row>
    <row r="141" spans="1:19" ht="15" x14ac:dyDescent="0.25">
      <c r="A141" s="22"/>
      <c r="B141" s="22"/>
      <c r="C141" s="22"/>
      <c r="D141" s="92"/>
      <c r="E141" s="22"/>
      <c r="F141" s="92"/>
      <c r="G141" s="92"/>
      <c r="H141" s="92"/>
      <c r="I141" s="92"/>
      <c r="J141" s="92"/>
      <c r="K141" s="92"/>
      <c r="L141" s="22"/>
      <c r="M141" s="261"/>
      <c r="N141" s="366"/>
      <c r="O141" s="366"/>
      <c r="P141" s="366"/>
      <c r="Q141" s="22"/>
      <c r="R141" s="22"/>
      <c r="S141" s="22"/>
    </row>
    <row r="142" spans="1:19" ht="15" x14ac:dyDescent="0.25">
      <c r="A142" s="22"/>
      <c r="B142" s="22"/>
      <c r="C142" s="22"/>
      <c r="D142" s="92"/>
      <c r="E142" s="22"/>
      <c r="F142" s="92"/>
      <c r="G142" s="92"/>
      <c r="H142" s="92"/>
      <c r="I142" s="89"/>
      <c r="J142" s="89"/>
      <c r="K142" s="92"/>
      <c r="L142" s="22"/>
      <c r="M142" s="261"/>
      <c r="N142" s="366"/>
      <c r="O142" s="366"/>
      <c r="P142" s="366"/>
      <c r="Q142" s="22"/>
      <c r="R142" s="22"/>
      <c r="S142" s="22"/>
    </row>
    <row r="143" spans="1:19" ht="15" x14ac:dyDescent="0.25">
      <c r="A143" s="22"/>
      <c r="B143" s="22"/>
      <c r="C143" s="22"/>
      <c r="D143" s="92"/>
      <c r="E143" s="22"/>
      <c r="F143" s="92"/>
      <c r="G143" s="92"/>
      <c r="H143" s="92"/>
      <c r="I143" s="92"/>
      <c r="J143" s="92"/>
      <c r="K143" s="92"/>
      <c r="L143" s="22"/>
      <c r="M143" s="261"/>
      <c r="N143" s="366"/>
      <c r="O143" s="366"/>
      <c r="P143" s="366"/>
      <c r="Q143" s="22"/>
      <c r="R143" s="22"/>
      <c r="S143" s="22"/>
    </row>
    <row r="144" spans="1:19" ht="15" x14ac:dyDescent="0.25">
      <c r="A144" s="22"/>
      <c r="B144" s="22"/>
      <c r="C144" s="22"/>
      <c r="D144" s="92"/>
      <c r="E144" s="22"/>
      <c r="F144" s="92"/>
      <c r="G144" s="92"/>
      <c r="H144" s="92"/>
      <c r="I144" s="92"/>
      <c r="J144" s="92"/>
      <c r="K144" s="92"/>
      <c r="L144" s="22"/>
      <c r="M144" s="261"/>
      <c r="N144" s="366"/>
      <c r="O144" s="366"/>
      <c r="P144" s="366"/>
      <c r="Q144" s="22"/>
      <c r="R144" s="22"/>
      <c r="S144" s="22"/>
    </row>
    <row r="145" spans="1:19" ht="15" x14ac:dyDescent="0.25">
      <c r="A145" s="22"/>
      <c r="B145" s="22"/>
      <c r="C145" s="22"/>
      <c r="D145" s="92"/>
      <c r="E145" s="22"/>
      <c r="F145" s="92"/>
      <c r="G145" s="92"/>
      <c r="H145" s="92"/>
      <c r="I145" s="92"/>
      <c r="J145" s="92"/>
      <c r="K145" s="92"/>
      <c r="L145" s="22"/>
      <c r="M145" s="261"/>
      <c r="N145" s="366"/>
      <c r="O145" s="366"/>
      <c r="P145" s="366"/>
      <c r="Q145" s="22"/>
      <c r="R145" s="22"/>
      <c r="S145" s="22"/>
    </row>
    <row r="146" spans="1:19" ht="15" x14ac:dyDescent="0.25">
      <c r="A146" s="22"/>
      <c r="B146" s="22"/>
      <c r="C146" s="22"/>
      <c r="D146" s="92"/>
      <c r="E146" s="22"/>
      <c r="F146" s="92"/>
      <c r="G146" s="92"/>
      <c r="H146" s="92"/>
      <c r="I146" s="92"/>
      <c r="J146" s="92"/>
      <c r="K146" s="92"/>
      <c r="L146" s="22"/>
      <c r="M146" s="261"/>
      <c r="N146" s="366"/>
      <c r="O146" s="366"/>
      <c r="P146" s="366"/>
      <c r="Q146" s="22"/>
      <c r="R146" s="22"/>
      <c r="S146" s="22"/>
    </row>
    <row r="147" spans="1:19" ht="15" x14ac:dyDescent="0.25">
      <c r="A147" s="22"/>
      <c r="B147" s="22"/>
      <c r="C147" s="22"/>
      <c r="D147" s="92"/>
      <c r="E147" s="22"/>
      <c r="F147" s="92"/>
      <c r="G147" s="92"/>
      <c r="H147" s="92"/>
      <c r="I147" s="92"/>
      <c r="J147" s="92"/>
      <c r="K147" s="92"/>
      <c r="L147" s="22"/>
      <c r="M147" s="261"/>
      <c r="N147" s="366"/>
      <c r="O147" s="366"/>
      <c r="P147" s="366"/>
      <c r="Q147" s="22"/>
      <c r="R147" s="22"/>
      <c r="S147" s="22"/>
    </row>
    <row r="148" spans="1:19" ht="15" x14ac:dyDescent="0.25">
      <c r="A148" s="22"/>
      <c r="B148" s="22"/>
      <c r="C148" s="22"/>
      <c r="D148" s="92"/>
      <c r="E148" s="22"/>
      <c r="F148" s="92"/>
      <c r="G148" s="92"/>
      <c r="H148" s="92"/>
      <c r="I148" s="92"/>
      <c r="J148" s="92"/>
      <c r="K148" s="92"/>
      <c r="L148" s="22"/>
      <c r="M148" s="261"/>
      <c r="N148" s="366"/>
      <c r="O148" s="366"/>
      <c r="P148" s="366"/>
      <c r="Q148" s="22"/>
      <c r="R148" s="22"/>
      <c r="S148" s="22"/>
    </row>
    <row r="149" spans="1:19" ht="15" x14ac:dyDescent="0.25">
      <c r="A149" s="22"/>
      <c r="B149" s="22"/>
      <c r="C149" s="22"/>
      <c r="D149" s="92"/>
      <c r="E149" s="22"/>
      <c r="F149" s="92"/>
      <c r="G149" s="92"/>
      <c r="H149" s="92"/>
      <c r="I149" s="92"/>
      <c r="J149" s="92"/>
      <c r="K149" s="92"/>
      <c r="L149" s="22"/>
      <c r="M149" s="261"/>
      <c r="N149" s="366"/>
      <c r="O149" s="366"/>
      <c r="P149" s="366"/>
      <c r="Q149" s="22"/>
      <c r="R149" s="22"/>
      <c r="S149" s="22"/>
    </row>
    <row r="150" spans="1:19" ht="15" x14ac:dyDescent="0.25">
      <c r="A150" s="22"/>
      <c r="B150" s="22"/>
      <c r="C150" s="22"/>
      <c r="D150" s="92"/>
      <c r="E150" s="22"/>
      <c r="F150" s="92"/>
      <c r="G150" s="92"/>
      <c r="H150" s="92"/>
      <c r="I150" s="92"/>
      <c r="J150" s="92"/>
      <c r="K150" s="92"/>
      <c r="L150" s="22"/>
      <c r="M150" s="261"/>
      <c r="N150" s="366"/>
      <c r="O150" s="366"/>
      <c r="P150" s="366"/>
      <c r="Q150" s="22"/>
      <c r="R150" s="22"/>
      <c r="S150" s="22"/>
    </row>
    <row r="151" spans="1:19" ht="15" x14ac:dyDescent="0.25">
      <c r="A151" s="22"/>
      <c r="B151" s="22"/>
      <c r="C151" s="22"/>
      <c r="D151" s="92"/>
      <c r="E151" s="22"/>
      <c r="F151" s="92"/>
      <c r="G151" s="92"/>
      <c r="H151" s="92"/>
      <c r="I151" s="92"/>
      <c r="J151" s="92"/>
      <c r="K151" s="92"/>
      <c r="L151" s="22"/>
      <c r="M151" s="261"/>
      <c r="N151" s="366"/>
      <c r="O151" s="366"/>
      <c r="P151" s="366"/>
      <c r="Q151" s="22"/>
      <c r="R151" s="22"/>
      <c r="S151" s="22"/>
    </row>
    <row r="152" spans="1:19" ht="15" x14ac:dyDescent="0.25">
      <c r="A152" s="22"/>
      <c r="B152" s="22"/>
      <c r="C152" s="22"/>
      <c r="D152" s="92"/>
      <c r="E152" s="22"/>
      <c r="F152" s="92"/>
      <c r="G152" s="92"/>
      <c r="H152" s="92"/>
      <c r="I152" s="92"/>
      <c r="J152" s="92"/>
      <c r="K152" s="92"/>
      <c r="L152" s="22"/>
      <c r="M152" s="261"/>
      <c r="N152" s="366"/>
      <c r="O152" s="366"/>
      <c r="P152" s="366"/>
      <c r="Q152" s="22"/>
      <c r="R152" s="22"/>
      <c r="S152" s="22"/>
    </row>
    <row r="153" spans="1:19" ht="15" x14ac:dyDescent="0.25">
      <c r="A153" s="22"/>
      <c r="B153" s="22"/>
      <c r="C153" s="22"/>
      <c r="D153" s="92"/>
      <c r="E153" s="22"/>
      <c r="F153" s="92"/>
      <c r="G153" s="92"/>
      <c r="H153" s="92"/>
      <c r="I153" s="92"/>
      <c r="J153" s="92"/>
      <c r="K153" s="92"/>
      <c r="L153" s="22"/>
      <c r="M153" s="261"/>
      <c r="N153" s="366"/>
      <c r="O153" s="366"/>
      <c r="P153" s="366"/>
      <c r="Q153" s="22"/>
      <c r="R153" s="22"/>
      <c r="S153" s="22"/>
    </row>
    <row r="154" spans="1:19" ht="15" x14ac:dyDescent="0.25">
      <c r="A154" s="22"/>
      <c r="B154" s="22"/>
      <c r="C154" s="22"/>
      <c r="D154" s="92"/>
      <c r="E154" s="22"/>
      <c r="F154" s="92"/>
      <c r="G154" s="92"/>
      <c r="H154" s="92"/>
      <c r="I154" s="92"/>
      <c r="J154" s="92"/>
      <c r="K154" s="92"/>
      <c r="L154" s="22"/>
      <c r="M154" s="261"/>
      <c r="N154" s="366"/>
      <c r="O154" s="366"/>
      <c r="P154" s="366"/>
      <c r="Q154" s="22"/>
      <c r="R154" s="22"/>
      <c r="S154" s="22"/>
    </row>
    <row r="155" spans="1:19" ht="15" x14ac:dyDescent="0.25">
      <c r="A155" s="22"/>
      <c r="B155" s="22"/>
      <c r="C155" s="22"/>
      <c r="D155" s="92"/>
      <c r="E155" s="22"/>
      <c r="F155" s="92"/>
      <c r="G155" s="92"/>
      <c r="H155" s="92"/>
      <c r="I155" s="92"/>
      <c r="J155" s="92"/>
      <c r="K155" s="92"/>
      <c r="L155" s="22"/>
      <c r="M155" s="261"/>
      <c r="N155" s="366"/>
      <c r="O155" s="366"/>
      <c r="P155" s="366"/>
      <c r="Q155" s="22"/>
      <c r="R155" s="22"/>
      <c r="S155" s="22"/>
    </row>
    <row r="156" spans="1:19" ht="15" x14ac:dyDescent="0.25">
      <c r="A156" s="22"/>
      <c r="B156" s="22"/>
      <c r="C156" s="22"/>
      <c r="D156" s="92"/>
      <c r="E156" s="22"/>
      <c r="F156" s="92"/>
      <c r="G156" s="92"/>
      <c r="H156" s="92"/>
      <c r="I156" s="92"/>
      <c r="J156" s="92"/>
      <c r="K156" s="92"/>
      <c r="L156" s="22"/>
      <c r="M156" s="261"/>
      <c r="N156" s="366"/>
      <c r="O156" s="366"/>
      <c r="P156" s="366"/>
      <c r="Q156" s="22"/>
      <c r="R156" s="22"/>
      <c r="S156" s="22"/>
    </row>
    <row r="157" spans="1:19" ht="15" x14ac:dyDescent="0.25">
      <c r="A157" s="22"/>
      <c r="B157" s="22"/>
      <c r="C157" s="22"/>
      <c r="D157" s="92"/>
      <c r="E157" s="22"/>
      <c r="F157" s="92"/>
      <c r="G157" s="92"/>
      <c r="H157" s="92"/>
      <c r="I157" s="92"/>
      <c r="J157" s="92"/>
      <c r="K157" s="92"/>
      <c r="L157" s="22"/>
      <c r="M157" s="261"/>
      <c r="N157" s="366"/>
      <c r="O157" s="366"/>
      <c r="P157" s="366"/>
      <c r="Q157" s="22"/>
      <c r="R157" s="22"/>
      <c r="S157" s="22"/>
    </row>
    <row r="158" spans="1:19" ht="15" x14ac:dyDescent="0.25">
      <c r="A158" s="22"/>
      <c r="B158" s="22"/>
      <c r="C158" s="22"/>
      <c r="D158" s="92"/>
      <c r="E158" s="22"/>
      <c r="F158" s="92"/>
      <c r="G158" s="92"/>
      <c r="H158" s="92"/>
      <c r="I158" s="92"/>
      <c r="J158" s="92"/>
      <c r="K158" s="92"/>
      <c r="L158" s="22"/>
      <c r="M158" s="261"/>
      <c r="N158" s="366"/>
      <c r="O158" s="366"/>
      <c r="P158" s="366"/>
      <c r="Q158" s="22"/>
      <c r="R158" s="22"/>
      <c r="S158" s="22"/>
    </row>
    <row r="159" spans="1:19" ht="15" x14ac:dyDescent="0.25">
      <c r="A159" s="22"/>
      <c r="B159" s="22"/>
      <c r="C159" s="22"/>
      <c r="D159" s="92"/>
      <c r="E159" s="22"/>
      <c r="F159" s="92"/>
      <c r="G159" s="92"/>
      <c r="H159" s="92"/>
      <c r="I159" s="92"/>
      <c r="J159" s="92"/>
      <c r="K159" s="92"/>
      <c r="L159" s="22"/>
      <c r="M159" s="261"/>
      <c r="N159" s="366"/>
      <c r="O159" s="366"/>
      <c r="P159" s="366"/>
      <c r="Q159" s="22"/>
      <c r="R159" s="22"/>
      <c r="S159" s="22"/>
    </row>
    <row r="160" spans="1:19" ht="15" x14ac:dyDescent="0.25">
      <c r="A160" s="22"/>
      <c r="B160" s="22"/>
      <c r="C160" s="22"/>
      <c r="D160" s="92"/>
      <c r="E160" s="22"/>
      <c r="F160" s="92"/>
      <c r="G160" s="92"/>
      <c r="H160" s="92"/>
      <c r="I160" s="92"/>
      <c r="J160" s="92"/>
      <c r="K160" s="92"/>
      <c r="L160" s="22"/>
      <c r="M160" s="261"/>
      <c r="N160" s="366"/>
      <c r="O160" s="366"/>
      <c r="P160" s="366"/>
      <c r="Q160" s="22"/>
      <c r="R160" s="22"/>
      <c r="S160" s="22"/>
    </row>
  </sheetData>
  <mergeCells count="3">
    <mergeCell ref="F4:H4"/>
    <mergeCell ref="I4:K4"/>
    <mergeCell ref="N4:P4"/>
  </mergeCells>
  <phoneticPr fontId="0" type="noConversion"/>
  <pageMargins left="0.27" right="0.25" top="0.62" bottom="0.53" header="0.27" footer="0.5"/>
  <pageSetup scale="46" orientation="landscape" r:id="rId1"/>
  <headerFooter alignWithMargins="0">
    <oddHeader>&amp;C&amp;"Arial,Bold"&amp;16HIGHLY CONFIDENTIAL</oddHeader>
    <oddFooter>&amp;L&amp;D&amp;T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4"/>
  <sheetViews>
    <sheetView topLeftCell="B1" zoomScale="75" workbookViewId="0">
      <selection activeCell="L4" sqref="L4"/>
    </sheetView>
  </sheetViews>
  <sheetFormatPr defaultColWidth="20.5546875" defaultRowHeight="15" x14ac:dyDescent="0.25"/>
  <cols>
    <col min="1" max="1" width="62.33203125" style="22" customWidth="1"/>
    <col min="2" max="2" width="23.44140625" style="22" customWidth="1"/>
    <col min="3" max="3" width="10.33203125" style="22" hidden="1" customWidth="1"/>
    <col min="4" max="4" width="19" style="92" customWidth="1"/>
    <col min="5" max="5" width="19" style="22" customWidth="1"/>
    <col min="6" max="10" width="20.5546875" style="261" hidden="1" customWidth="1"/>
    <col min="11" max="11" width="18.109375" style="261" hidden="1" customWidth="1"/>
    <col min="12" max="12" width="24.88671875" style="22" customWidth="1"/>
    <col min="13" max="13" width="20.5546875" style="261" hidden="1" customWidth="1"/>
    <col min="14" max="14" width="21.109375" style="366" hidden="1" customWidth="1"/>
    <col min="15" max="16" width="20.5546875" style="366" hidden="1" customWidth="1"/>
    <col min="17" max="18" width="20.5546875" style="22" customWidth="1"/>
    <col min="19" max="19" width="46.5546875" style="22" customWidth="1"/>
    <col min="20" max="20" width="5.5546875" style="22" customWidth="1"/>
    <col min="21" max="21" width="26.88671875" style="22" customWidth="1"/>
    <col min="22" max="16384" width="20.5546875" style="22"/>
  </cols>
  <sheetData>
    <row r="1" spans="1:22" ht="17.399999999999999" x14ac:dyDescent="0.3">
      <c r="A1" s="127" t="s">
        <v>63</v>
      </c>
      <c r="B1" s="128"/>
      <c r="C1" s="128"/>
    </row>
    <row r="2" spans="1:22" ht="17.399999999999999" x14ac:dyDescent="0.3">
      <c r="A2" s="16" t="s">
        <v>147</v>
      </c>
      <c r="B2" s="15">
        <f>+'PG&amp;E Corp.  '!B2</f>
        <v>37049</v>
      </c>
      <c r="C2" s="15"/>
    </row>
    <row r="3" spans="1:22" ht="17.399999999999999" x14ac:dyDescent="0.3">
      <c r="A3" s="15"/>
      <c r="B3" s="15"/>
      <c r="C3" s="15"/>
    </row>
    <row r="4" spans="1:22" s="34" customFormat="1" ht="15.6" x14ac:dyDescent="0.3">
      <c r="D4" s="121"/>
      <c r="F4" s="533" t="str">
        <f>+'PG&amp;E Corp.  '!F4:H4</f>
        <v>May</v>
      </c>
      <c r="G4" s="533"/>
      <c r="H4" s="533"/>
      <c r="I4" s="533" t="str">
        <f>+'PG&amp;E Corp.  '!I4:K4</f>
        <v>June</v>
      </c>
      <c r="J4" s="533"/>
      <c r="K4" s="533"/>
      <c r="L4" s="19" t="s">
        <v>228</v>
      </c>
      <c r="M4" s="262"/>
      <c r="N4" s="533" t="s">
        <v>157</v>
      </c>
      <c r="O4" s="533"/>
      <c r="P4" s="533"/>
      <c r="T4" s="30"/>
      <c r="U4" s="35"/>
    </row>
    <row r="5" spans="1:22" s="19" customFormat="1" ht="15.6" x14ac:dyDescent="0.3">
      <c r="A5" s="18"/>
      <c r="B5" s="18"/>
      <c r="C5" s="18"/>
      <c r="D5" s="255" t="s">
        <v>7</v>
      </c>
      <c r="E5" s="18" t="s">
        <v>8</v>
      </c>
      <c r="F5" s="263" t="s">
        <v>9</v>
      </c>
      <c r="G5" s="263" t="s">
        <v>10</v>
      </c>
      <c r="H5" s="263" t="s">
        <v>143</v>
      </c>
      <c r="I5" s="263" t="s">
        <v>9</v>
      </c>
      <c r="J5" s="263" t="s">
        <v>10</v>
      </c>
      <c r="K5" s="263" t="s">
        <v>143</v>
      </c>
      <c r="L5" s="19" t="s">
        <v>140</v>
      </c>
      <c r="M5" s="263" t="s">
        <v>22</v>
      </c>
      <c r="N5" s="380" t="s">
        <v>9</v>
      </c>
      <c r="O5" s="380" t="s">
        <v>10</v>
      </c>
      <c r="P5" s="380" t="s">
        <v>158</v>
      </c>
      <c r="Q5" s="18" t="s">
        <v>11</v>
      </c>
      <c r="R5" s="18" t="s">
        <v>12</v>
      </c>
      <c r="T5" s="18"/>
      <c r="U5" s="35"/>
    </row>
    <row r="6" spans="1:22" s="19" customFormat="1" ht="16.2" thickBot="1" x14ac:dyDescent="0.35">
      <c r="A6" s="419" t="s">
        <v>13</v>
      </c>
      <c r="B6" s="419" t="s">
        <v>14</v>
      </c>
      <c r="C6" s="419" t="s">
        <v>126</v>
      </c>
      <c r="D6" s="420" t="s">
        <v>15</v>
      </c>
      <c r="E6" s="421" t="s">
        <v>15</v>
      </c>
      <c r="F6" s="422" t="s">
        <v>16</v>
      </c>
      <c r="G6" s="422" t="s">
        <v>17</v>
      </c>
      <c r="H6" s="422" t="s">
        <v>18</v>
      </c>
      <c r="I6" s="422" t="s">
        <v>16</v>
      </c>
      <c r="J6" s="422" t="s">
        <v>17</v>
      </c>
      <c r="K6" s="422" t="s">
        <v>18</v>
      </c>
      <c r="L6" s="421" t="s">
        <v>18</v>
      </c>
      <c r="M6" s="422" t="s">
        <v>23</v>
      </c>
      <c r="N6" s="423" t="s">
        <v>16</v>
      </c>
      <c r="O6" s="423" t="s">
        <v>17</v>
      </c>
      <c r="P6" s="423" t="s">
        <v>18</v>
      </c>
      <c r="Q6" s="421" t="s">
        <v>19</v>
      </c>
      <c r="R6" s="421" t="s">
        <v>20</v>
      </c>
      <c r="S6" s="424"/>
      <c r="T6" s="421"/>
      <c r="U6" s="35"/>
    </row>
    <row r="7" spans="1:22" x14ac:dyDescent="0.25">
      <c r="A7" s="426"/>
      <c r="B7" s="21"/>
      <c r="C7" s="21"/>
      <c r="D7" s="98"/>
      <c r="E7" s="21"/>
      <c r="F7" s="264"/>
      <c r="G7" s="264"/>
      <c r="H7" s="264"/>
      <c r="I7" s="264"/>
      <c r="J7" s="264"/>
      <c r="K7" s="264"/>
      <c r="L7" s="21"/>
      <c r="M7" s="264"/>
      <c r="N7" s="381"/>
      <c r="O7" s="381"/>
      <c r="P7" s="381"/>
      <c r="Q7" s="21"/>
      <c r="T7" s="425"/>
    </row>
    <row r="8" spans="1:22" s="24" customFormat="1" ht="15.6" hidden="1" x14ac:dyDescent="0.3">
      <c r="A8" s="187" t="s">
        <v>0</v>
      </c>
      <c r="B8" s="184" t="s">
        <v>77</v>
      </c>
      <c r="C8" s="184" t="s">
        <v>122</v>
      </c>
      <c r="D8" s="185">
        <v>0</v>
      </c>
      <c r="E8" s="185">
        <v>-1329642</v>
      </c>
      <c r="F8" s="438">
        <v>23127420</v>
      </c>
      <c r="G8" s="438">
        <v>-489692</v>
      </c>
      <c r="H8" s="438">
        <f t="shared" ref="H8:H14" si="0">SUM(F8:G8)</f>
        <v>22637728</v>
      </c>
      <c r="I8" s="438">
        <v>13721952</v>
      </c>
      <c r="J8" s="438">
        <v>0</v>
      </c>
      <c r="K8" s="438">
        <f t="shared" ref="K8:K14" si="1">SUM(I8:J8)</f>
        <v>13721952</v>
      </c>
      <c r="L8" s="185">
        <f t="shared" ref="L8:L14" si="2">+K8+H8</f>
        <v>36359680</v>
      </c>
      <c r="M8" s="285">
        <v>70169385</v>
      </c>
      <c r="N8" s="382">
        <v>7520451</v>
      </c>
      <c r="O8" s="382">
        <v>0</v>
      </c>
      <c r="P8" s="382">
        <f t="shared" ref="P8:P14" si="3">SUM(N8:O8)</f>
        <v>7520451</v>
      </c>
      <c r="Q8" s="185">
        <f>+L8+E8</f>
        <v>35030038</v>
      </c>
      <c r="R8" s="186">
        <v>0</v>
      </c>
      <c r="S8" s="186"/>
      <c r="T8" s="189"/>
      <c r="U8" s="23"/>
      <c r="V8" s="23"/>
    </row>
    <row r="9" spans="1:22" s="24" customFormat="1" ht="15.6" hidden="1" x14ac:dyDescent="0.3">
      <c r="A9" s="187" t="s">
        <v>0</v>
      </c>
      <c r="B9" s="157" t="s">
        <v>78</v>
      </c>
      <c r="C9" s="157" t="s">
        <v>122</v>
      </c>
      <c r="D9" s="226">
        <v>63210710</v>
      </c>
      <c r="E9" s="226">
        <v>-56870581</v>
      </c>
      <c r="F9" s="432">
        <v>12727229</v>
      </c>
      <c r="G9" s="432">
        <v>-1916245</v>
      </c>
      <c r="H9" s="265">
        <f t="shared" si="0"/>
        <v>10810984</v>
      </c>
      <c r="I9" s="432">
        <v>0</v>
      </c>
      <c r="J9" s="432">
        <v>0</v>
      </c>
      <c r="K9" s="265">
        <f t="shared" si="1"/>
        <v>0</v>
      </c>
      <c r="L9" s="158">
        <f t="shared" si="2"/>
        <v>10810984</v>
      </c>
      <c r="M9" s="285">
        <v>-21241850</v>
      </c>
      <c r="N9" s="370">
        <v>0</v>
      </c>
      <c r="O9" s="371">
        <v>0</v>
      </c>
      <c r="P9" s="370">
        <f t="shared" si="3"/>
        <v>0</v>
      </c>
      <c r="Q9" s="158">
        <f>+D9</f>
        <v>63210710</v>
      </c>
      <c r="R9" s="161">
        <f>+L9+E9</f>
        <v>-46059597</v>
      </c>
      <c r="S9" s="159"/>
      <c r="T9" s="189"/>
      <c r="U9" s="23"/>
      <c r="V9" s="23"/>
    </row>
    <row r="10" spans="1:22" s="24" customFormat="1" ht="15.6" hidden="1" x14ac:dyDescent="0.3">
      <c r="A10" s="188" t="s">
        <v>0</v>
      </c>
      <c r="B10" s="160" t="s">
        <v>79</v>
      </c>
      <c r="C10" s="157" t="s">
        <v>122</v>
      </c>
      <c r="D10" s="226">
        <v>0</v>
      </c>
      <c r="E10" s="226">
        <v>-143054543</v>
      </c>
      <c r="F10" s="432">
        <v>0</v>
      </c>
      <c r="G10" s="432">
        <v>0</v>
      </c>
      <c r="H10" s="265">
        <f t="shared" si="0"/>
        <v>0</v>
      </c>
      <c r="I10" s="432">
        <f>2623040+2248320</f>
        <v>4871360</v>
      </c>
      <c r="J10" s="432">
        <v>0</v>
      </c>
      <c r="K10" s="265">
        <f t="shared" si="1"/>
        <v>4871360</v>
      </c>
      <c r="L10" s="158">
        <f t="shared" si="2"/>
        <v>4871360</v>
      </c>
      <c r="M10" s="285">
        <v>-102163008</v>
      </c>
      <c r="N10" s="370">
        <v>2342000</v>
      </c>
      <c r="O10" s="371">
        <v>0</v>
      </c>
      <c r="P10" s="370">
        <f t="shared" si="3"/>
        <v>2342000</v>
      </c>
      <c r="Q10" s="226">
        <v>0</v>
      </c>
      <c r="R10" s="161">
        <f>+L10+E10</f>
        <v>-138183183</v>
      </c>
      <c r="S10" s="161"/>
      <c r="T10" s="189"/>
      <c r="U10" s="23"/>
      <c r="V10" s="23"/>
    </row>
    <row r="11" spans="1:22" s="24" customFormat="1" ht="62.4" hidden="1" x14ac:dyDescent="0.3">
      <c r="A11" s="190" t="s">
        <v>0</v>
      </c>
      <c r="B11" s="162" t="s">
        <v>102</v>
      </c>
      <c r="C11" s="162" t="s">
        <v>102</v>
      </c>
      <c r="D11" s="84">
        <v>0</v>
      </c>
      <c r="E11" s="84">
        <v>0</v>
      </c>
      <c r="F11" s="433">
        <f>194535264+31766489.68</f>
        <v>226301753.68000001</v>
      </c>
      <c r="G11" s="433">
        <v>0</v>
      </c>
      <c r="H11" s="434">
        <f t="shared" si="0"/>
        <v>226301753.68000001</v>
      </c>
      <c r="I11" s="433">
        <v>0</v>
      </c>
      <c r="J11" s="433">
        <v>0</v>
      </c>
      <c r="K11" s="434">
        <f t="shared" si="1"/>
        <v>0</v>
      </c>
      <c r="L11" s="204">
        <f t="shared" si="2"/>
        <v>226301753.68000001</v>
      </c>
      <c r="M11" s="199"/>
      <c r="N11" s="371">
        <v>0</v>
      </c>
      <c r="O11" s="371">
        <v>0</v>
      </c>
      <c r="P11" s="370">
        <f t="shared" si="3"/>
        <v>0</v>
      </c>
      <c r="Q11" s="199">
        <f>+L11+E11+D11</f>
        <v>226301753.68000001</v>
      </c>
      <c r="R11" s="84">
        <v>0</v>
      </c>
      <c r="S11" s="271" t="s">
        <v>185</v>
      </c>
      <c r="T11" s="189"/>
      <c r="U11" s="23"/>
      <c r="V11" s="23"/>
    </row>
    <row r="12" spans="1:22" s="24" customFormat="1" ht="62.4" hidden="1" x14ac:dyDescent="0.3">
      <c r="A12" s="190" t="s">
        <v>0</v>
      </c>
      <c r="B12" s="162" t="s">
        <v>26</v>
      </c>
      <c r="C12" s="162" t="s">
        <v>102</v>
      </c>
      <c r="D12" s="84">
        <v>0</v>
      </c>
      <c r="E12" s="84">
        <v>0</v>
      </c>
      <c r="F12" s="435">
        <v>161582433.99000001</v>
      </c>
      <c r="G12" s="435">
        <v>0</v>
      </c>
      <c r="H12" s="434">
        <f t="shared" si="0"/>
        <v>161582433.99000001</v>
      </c>
      <c r="I12" s="433">
        <v>0</v>
      </c>
      <c r="J12" s="433">
        <v>0</v>
      </c>
      <c r="K12" s="434">
        <f t="shared" si="1"/>
        <v>0</v>
      </c>
      <c r="L12" s="204">
        <f t="shared" si="2"/>
        <v>161582433.99000001</v>
      </c>
      <c r="M12" s="84"/>
      <c r="N12" s="371">
        <v>0</v>
      </c>
      <c r="O12" s="371">
        <v>0</v>
      </c>
      <c r="P12" s="370">
        <f t="shared" si="3"/>
        <v>0</v>
      </c>
      <c r="Q12" s="84">
        <f>+L12+E12+D12</f>
        <v>161582433.99000001</v>
      </c>
      <c r="R12" s="84">
        <v>0</v>
      </c>
      <c r="S12" s="271" t="s">
        <v>184</v>
      </c>
      <c r="T12" s="191"/>
    </row>
    <row r="13" spans="1:22" s="24" customFormat="1" ht="15.6" hidden="1" x14ac:dyDescent="0.3">
      <c r="A13" s="192" t="s">
        <v>0</v>
      </c>
      <c r="B13" s="162" t="s">
        <v>102</v>
      </c>
      <c r="C13" s="222" t="s">
        <v>102</v>
      </c>
      <c r="D13" s="84">
        <v>0</v>
      </c>
      <c r="E13" s="84">
        <v>0</v>
      </c>
      <c r="F13" s="435">
        <v>0</v>
      </c>
      <c r="G13" s="435">
        <f>-100000-925908</f>
        <v>-1025908</v>
      </c>
      <c r="H13" s="265">
        <f t="shared" si="0"/>
        <v>-1025908</v>
      </c>
      <c r="I13" s="437">
        <v>0</v>
      </c>
      <c r="J13" s="437">
        <v>0</v>
      </c>
      <c r="K13" s="265">
        <f t="shared" si="1"/>
        <v>0</v>
      </c>
      <c r="L13" s="158">
        <f t="shared" si="2"/>
        <v>-1025908</v>
      </c>
      <c r="M13" s="84"/>
      <c r="N13" s="383">
        <v>0</v>
      </c>
      <c r="O13" s="383">
        <v>0</v>
      </c>
      <c r="P13" s="376">
        <f t="shared" si="3"/>
        <v>0</v>
      </c>
      <c r="Q13" s="84">
        <v>0</v>
      </c>
      <c r="R13" s="161">
        <f>+L13+E13</f>
        <v>-1025908</v>
      </c>
      <c r="S13" s="85"/>
      <c r="T13" s="191"/>
    </row>
    <row r="14" spans="1:22" s="24" customFormat="1" ht="16.2" hidden="1" thickBot="1" x14ac:dyDescent="0.35">
      <c r="A14" s="192" t="s">
        <v>0</v>
      </c>
      <c r="B14" s="163" t="s">
        <v>80</v>
      </c>
      <c r="C14" s="162" t="s">
        <v>127</v>
      </c>
      <c r="D14" s="164">
        <v>0</v>
      </c>
      <c r="E14" s="164">
        <v>0</v>
      </c>
      <c r="F14" s="436">
        <f>172801.92+275000</f>
        <v>447801.92000000004</v>
      </c>
      <c r="G14" s="436">
        <v>0</v>
      </c>
      <c r="H14" s="265">
        <f t="shared" si="0"/>
        <v>447801.92000000004</v>
      </c>
      <c r="I14" s="437">
        <v>0</v>
      </c>
      <c r="J14" s="437">
        <v>0</v>
      </c>
      <c r="K14" s="265">
        <f t="shared" si="1"/>
        <v>0</v>
      </c>
      <c r="L14" s="158">
        <f t="shared" si="2"/>
        <v>447801.92000000004</v>
      </c>
      <c r="M14" s="164"/>
      <c r="N14" s="383">
        <v>0</v>
      </c>
      <c r="O14" s="383">
        <v>0</v>
      </c>
      <c r="P14" s="376">
        <f t="shared" si="3"/>
        <v>0</v>
      </c>
      <c r="Q14" s="25">
        <f>+L14</f>
        <v>447801.92000000004</v>
      </c>
      <c r="R14" s="25">
        <v>0</v>
      </c>
      <c r="S14" s="26"/>
      <c r="T14" s="197"/>
    </row>
    <row r="15" spans="1:22" s="92" customFormat="1" ht="16.8" hidden="1" thickTop="1" thickBot="1" x14ac:dyDescent="0.35">
      <c r="A15" s="258" t="s">
        <v>24</v>
      </c>
      <c r="B15" s="167"/>
      <c r="C15" s="167"/>
      <c r="D15" s="94"/>
      <c r="E15" s="94"/>
      <c r="F15" s="265"/>
      <c r="G15" s="265"/>
      <c r="H15" s="265"/>
      <c r="I15" s="437"/>
      <c r="J15" s="437"/>
      <c r="K15" s="265"/>
      <c r="L15" s="94"/>
      <c r="M15" s="265"/>
      <c r="N15" s="383"/>
      <c r="O15" s="383"/>
      <c r="P15" s="376"/>
      <c r="Q15" s="94">
        <f>SUM(Q8:Q14)</f>
        <v>486572737.59000003</v>
      </c>
      <c r="R15" s="94">
        <f>SUM(R8:R14)</f>
        <v>-185268688</v>
      </c>
      <c r="S15" s="259">
        <f>+Q15+R15</f>
        <v>301304049.59000003</v>
      </c>
      <c r="T15" s="198" t="s">
        <v>110</v>
      </c>
      <c r="U15" s="89"/>
      <c r="V15" s="89"/>
    </row>
    <row r="16" spans="1:22" ht="15.75" hidden="1" customHeight="1" thickTop="1" thickBot="1" x14ac:dyDescent="0.3">
      <c r="A16" s="193"/>
      <c r="B16" s="181"/>
      <c r="C16" s="181"/>
      <c r="D16" s="235"/>
      <c r="E16" s="182"/>
      <c r="F16" s="266"/>
      <c r="G16" s="266"/>
      <c r="H16" s="266"/>
      <c r="I16" s="266"/>
      <c r="J16" s="266"/>
      <c r="K16" s="266"/>
      <c r="L16" s="182"/>
      <c r="M16" s="266"/>
      <c r="N16" s="384"/>
      <c r="O16" s="384"/>
      <c r="P16" s="384"/>
      <c r="Q16" s="182"/>
      <c r="R16" s="183"/>
      <c r="S16" s="183"/>
      <c r="T16" s="194"/>
      <c r="U16" s="27"/>
      <c r="V16" s="27"/>
    </row>
    <row r="17" spans="1:22" s="47" customFormat="1" ht="15.6" hidden="1" x14ac:dyDescent="0.3">
      <c r="A17" s="256" t="s">
        <v>2</v>
      </c>
      <c r="B17" s="257" t="s">
        <v>77</v>
      </c>
      <c r="C17" s="240" t="s">
        <v>122</v>
      </c>
      <c r="D17" s="418">
        <v>0</v>
      </c>
      <c r="E17" s="418">
        <v>0</v>
      </c>
      <c r="F17" s="438">
        <v>0</v>
      </c>
      <c r="G17" s="438">
        <v>0</v>
      </c>
      <c r="H17" s="438">
        <f>SUM(F17:G17)</f>
        <v>0</v>
      </c>
      <c r="I17" s="438">
        <v>0</v>
      </c>
      <c r="J17" s="438">
        <v>0</v>
      </c>
      <c r="K17" s="438">
        <f>SUM(I17:J17)</f>
        <v>0</v>
      </c>
      <c r="L17" s="418">
        <f>+K17+H17</f>
        <v>0</v>
      </c>
      <c r="M17" s="418">
        <v>50460</v>
      </c>
      <c r="N17" s="382">
        <v>0</v>
      </c>
      <c r="O17" s="382">
        <v>0</v>
      </c>
      <c r="P17" s="382">
        <f>SUM(N17:O17)</f>
        <v>0</v>
      </c>
      <c r="Q17" s="418">
        <f>+L17+E17</f>
        <v>0</v>
      </c>
      <c r="R17" s="237">
        <v>0</v>
      </c>
      <c r="S17" s="237"/>
      <c r="T17" s="238"/>
      <c r="U17" s="29"/>
      <c r="V17" s="29"/>
    </row>
    <row r="18" spans="1:22" s="47" customFormat="1" ht="15.6" x14ac:dyDescent="0.3">
      <c r="A18" s="248" t="s">
        <v>2</v>
      </c>
      <c r="B18" s="239" t="str">
        <f>+'PG&amp;E Corp.  '!B24</f>
        <v>Enron MW LLC</v>
      </c>
      <c r="C18" s="240" t="s">
        <v>122</v>
      </c>
      <c r="D18" s="234">
        <f>+'PG&amp;E Corp.  '!D24</f>
        <v>0</v>
      </c>
      <c r="E18" s="234">
        <f>+'PG&amp;E Corp.  '!E24</f>
        <v>-2200031</v>
      </c>
      <c r="F18" s="234">
        <f>+'PG&amp;E Corp.  '!F24</f>
        <v>0</v>
      </c>
      <c r="G18" s="234">
        <f>+'PG&amp;E Corp.  '!G24</f>
        <v>0</v>
      </c>
      <c r="H18" s="234">
        <f>+'PG&amp;E Corp.  '!H24</f>
        <v>0</v>
      </c>
      <c r="I18" s="234">
        <f>+'PG&amp;E Corp.  '!I24</f>
        <v>0</v>
      </c>
      <c r="J18" s="234">
        <f>+'PG&amp;E Corp.  '!J24</f>
        <v>0</v>
      </c>
      <c r="K18" s="234">
        <f>+'PG&amp;E Corp.  '!K24</f>
        <v>0</v>
      </c>
      <c r="L18" s="234">
        <f>+'PG&amp;E Corp.  '!L24</f>
        <v>0</v>
      </c>
      <c r="M18" s="234"/>
      <c r="N18" s="362">
        <v>0</v>
      </c>
      <c r="O18" s="362">
        <v>0</v>
      </c>
      <c r="P18" s="362">
        <f>SUM(N18:O18)</f>
        <v>0</v>
      </c>
      <c r="Q18" s="234">
        <f>+'PG&amp;E Corp.  '!Q24</f>
        <v>0</v>
      </c>
      <c r="R18" s="234">
        <f>+'PG&amp;E Corp.  '!R24</f>
        <v>-2200031</v>
      </c>
      <c r="S18" s="236"/>
      <c r="T18" s="243"/>
      <c r="U18" s="29"/>
      <c r="V18" s="29"/>
    </row>
    <row r="19" spans="1:22" s="47" customFormat="1" ht="16.2" thickBot="1" x14ac:dyDescent="0.35">
      <c r="A19" s="248" t="s">
        <v>2</v>
      </c>
      <c r="B19" s="239" t="s">
        <v>79</v>
      </c>
      <c r="C19" s="240" t="s">
        <v>122</v>
      </c>
      <c r="D19" s="234">
        <f>+'PG&amp;E Corp.  '!D25</f>
        <v>0</v>
      </c>
      <c r="E19" s="234">
        <f>+'PG&amp;E Corp.  '!E25</f>
        <v>0</v>
      </c>
      <c r="F19" s="234">
        <f>+'PG&amp;E Corp.  '!F25</f>
        <v>0</v>
      </c>
      <c r="G19" s="234">
        <f>+'PG&amp;E Corp.  '!G25</f>
        <v>-22223</v>
      </c>
      <c r="H19" s="234">
        <f>+'PG&amp;E Corp.  '!H25</f>
        <v>-22223</v>
      </c>
      <c r="I19" s="234">
        <f>+'PG&amp;E Corp.  '!I25</f>
        <v>0</v>
      </c>
      <c r="J19" s="234">
        <f>+'PG&amp;E Corp.  '!J25</f>
        <v>0</v>
      </c>
      <c r="K19" s="234">
        <f>+'PG&amp;E Corp.  '!K25</f>
        <v>0</v>
      </c>
      <c r="L19" s="234">
        <f>+'PG&amp;E Corp.  '!L25</f>
        <v>-22223</v>
      </c>
      <c r="M19" s="234"/>
      <c r="N19" s="362">
        <v>0</v>
      </c>
      <c r="O19" s="362">
        <v>0</v>
      </c>
      <c r="P19" s="362">
        <f>SUM(N19:O19)</f>
        <v>0</v>
      </c>
      <c r="Q19" s="234">
        <f>+'PG&amp;E Corp.  '!Q25</f>
        <v>0</v>
      </c>
      <c r="R19" s="234">
        <f>+'PG&amp;E Corp.  '!R25</f>
        <v>-22223</v>
      </c>
      <c r="S19" s="529" t="s">
        <v>153</v>
      </c>
      <c r="T19" s="243"/>
      <c r="U19" s="29"/>
      <c r="V19" s="29"/>
    </row>
    <row r="20" spans="1:22" s="366" customFormat="1" ht="16.2" hidden="1" thickBot="1" x14ac:dyDescent="0.35">
      <c r="A20" s="359" t="s">
        <v>2</v>
      </c>
      <c r="B20" s="360" t="s">
        <v>146</v>
      </c>
      <c r="C20" s="361" t="s">
        <v>102</v>
      </c>
      <c r="D20" s="362">
        <v>0</v>
      </c>
      <c r="E20" s="362">
        <v>0</v>
      </c>
      <c r="F20" s="432">
        <v>0</v>
      </c>
      <c r="G20" s="432">
        <v>0</v>
      </c>
      <c r="H20" s="432">
        <f>SUM(F20:G20)</f>
        <v>0</v>
      </c>
      <c r="I20" s="432">
        <v>0</v>
      </c>
      <c r="J20" s="432">
        <v>0</v>
      </c>
      <c r="K20" s="432">
        <f>SUM(I20:J20)</f>
        <v>0</v>
      </c>
      <c r="L20" s="376">
        <f>+K20+H20</f>
        <v>0</v>
      </c>
      <c r="M20" s="362"/>
      <c r="N20" s="362">
        <v>0</v>
      </c>
      <c r="O20" s="362">
        <v>0</v>
      </c>
      <c r="P20" s="362">
        <f>SUM(N20:O20)</f>
        <v>0</v>
      </c>
      <c r="Q20" s="362">
        <f>+L20+E20</f>
        <v>0</v>
      </c>
      <c r="R20" s="363">
        <v>0</v>
      </c>
      <c r="S20" s="377"/>
      <c r="T20" s="364"/>
      <c r="U20" s="365"/>
      <c r="V20" s="365"/>
    </row>
    <row r="21" spans="1:22" ht="16.8" thickTop="1" thickBot="1" x14ac:dyDescent="0.35">
      <c r="A21" s="173" t="s">
        <v>25</v>
      </c>
      <c r="B21" s="169"/>
      <c r="C21" s="169"/>
      <c r="D21" s="94"/>
      <c r="E21" s="155"/>
      <c r="F21" s="265"/>
      <c r="G21" s="265"/>
      <c r="H21" s="265"/>
      <c r="I21" s="265"/>
      <c r="J21" s="265"/>
      <c r="K21" s="265"/>
      <c r="L21" s="155"/>
      <c r="M21" s="265"/>
      <c r="N21" s="376"/>
      <c r="O21" s="376"/>
      <c r="P21" s="376"/>
      <c r="Q21" s="155"/>
      <c r="R21" s="86"/>
      <c r="S21" s="32">
        <f>IF(SUM(Q17:Q20)&gt;-SUM(R17:R20),SUM(Q17:Q20),0)</f>
        <v>0</v>
      </c>
      <c r="T21" s="175"/>
      <c r="U21" s="27" t="s">
        <v>138</v>
      </c>
      <c r="V21" s="27"/>
    </row>
    <row r="22" spans="1:22" ht="15.6" thickTop="1" x14ac:dyDescent="0.25">
      <c r="A22" s="174"/>
      <c r="B22" s="169"/>
      <c r="C22" s="169"/>
      <c r="D22" s="94"/>
      <c r="E22" s="155"/>
      <c r="F22" s="265"/>
      <c r="G22" s="265"/>
      <c r="H22" s="265"/>
      <c r="I22" s="265"/>
      <c r="J22" s="265"/>
      <c r="K22" s="265"/>
      <c r="L22" s="155"/>
      <c r="M22" s="265"/>
      <c r="N22" s="376"/>
      <c r="O22" s="376"/>
      <c r="P22" s="376"/>
      <c r="Q22" s="155"/>
      <c r="R22" s="86"/>
      <c r="S22" s="86"/>
      <c r="T22" s="175"/>
      <c r="U22" s="27"/>
      <c r="V22" s="27"/>
    </row>
    <row r="23" spans="1:22" s="47" customFormat="1" ht="18.75" hidden="1" customHeight="1" x14ac:dyDescent="0.3">
      <c r="A23" s="249" t="s">
        <v>3</v>
      </c>
      <c r="B23" s="250" t="s">
        <v>88</v>
      </c>
      <c r="C23" s="240" t="s">
        <v>122</v>
      </c>
      <c r="D23" s="234">
        <v>0</v>
      </c>
      <c r="E23" s="234">
        <v>0</v>
      </c>
      <c r="F23" s="432"/>
      <c r="G23" s="432"/>
      <c r="H23" s="432">
        <f>SUM(F23:G23)</f>
        <v>0</v>
      </c>
      <c r="I23" s="432"/>
      <c r="J23" s="432"/>
      <c r="K23" s="432">
        <f>SUM(I23:J23)</f>
        <v>0</v>
      </c>
      <c r="L23" s="227">
        <f>+K23+H23</f>
        <v>0</v>
      </c>
      <c r="M23" s="226">
        <v>0</v>
      </c>
      <c r="N23" s="371">
        <v>0</v>
      </c>
      <c r="O23" s="371">
        <v>0</v>
      </c>
      <c r="P23" s="370">
        <f t="shared" ref="P23:P28" si="4">SUM(N23:O23)</f>
        <v>0</v>
      </c>
      <c r="Q23" s="234">
        <f>+L23+E23</f>
        <v>0</v>
      </c>
      <c r="R23" s="236">
        <v>0</v>
      </c>
      <c r="S23" s="236"/>
      <c r="T23" s="243"/>
      <c r="U23" s="29"/>
      <c r="V23" s="29"/>
    </row>
    <row r="24" spans="1:22" s="47" customFormat="1" ht="15.6" x14ac:dyDescent="0.3">
      <c r="A24" s="248" t="s">
        <v>3</v>
      </c>
      <c r="B24" s="250" t="s">
        <v>148</v>
      </c>
      <c r="C24" s="240" t="s">
        <v>123</v>
      </c>
      <c r="D24" s="234">
        <f>+'PG&amp;E Corp.  '!D30</f>
        <v>0</v>
      </c>
      <c r="E24" s="234">
        <f>+'PG&amp;E Corp.  '!E30</f>
        <v>0</v>
      </c>
      <c r="F24" s="234">
        <f>+'PG&amp;E Corp.  '!F30</f>
        <v>0</v>
      </c>
      <c r="G24" s="234">
        <f>+'PG&amp;E Corp.  '!G30</f>
        <v>0</v>
      </c>
      <c r="H24" s="234">
        <f>+'PG&amp;E Corp.  '!H30</f>
        <v>0</v>
      </c>
      <c r="I24" s="234">
        <f>+'PG&amp;E Corp.  '!I30</f>
        <v>0</v>
      </c>
      <c r="J24" s="234">
        <f>+'PG&amp;E Corp.  '!J30</f>
        <v>0</v>
      </c>
      <c r="K24" s="234">
        <f>+'PG&amp;E Corp.  '!K30</f>
        <v>0</v>
      </c>
      <c r="L24" s="234">
        <f>+'PG&amp;E Corp.  '!L30</f>
        <v>0</v>
      </c>
      <c r="M24" s="234"/>
      <c r="N24" s="371">
        <v>0</v>
      </c>
      <c r="O24" s="371">
        <v>0</v>
      </c>
      <c r="P24" s="370">
        <f t="shared" si="4"/>
        <v>0</v>
      </c>
      <c r="Q24" s="234">
        <f>+'PG&amp;E Corp.  '!Q30</f>
        <v>0</v>
      </c>
      <c r="R24" s="234">
        <f>+'PG&amp;E Corp.  '!R30</f>
        <v>0</v>
      </c>
      <c r="S24" s="529" t="s">
        <v>149</v>
      </c>
      <c r="T24" s="243"/>
      <c r="U24" s="29"/>
      <c r="V24" s="29"/>
    </row>
    <row r="25" spans="1:22" s="47" customFormat="1" ht="15.6" x14ac:dyDescent="0.3">
      <c r="A25" s="248" t="s">
        <v>3</v>
      </c>
      <c r="B25" s="250" t="s">
        <v>78</v>
      </c>
      <c r="C25" s="240" t="s">
        <v>122</v>
      </c>
      <c r="D25" s="234">
        <f>+'PG&amp;E Corp.  '!D31</f>
        <v>138342</v>
      </c>
      <c r="E25" s="234">
        <f>+'PG&amp;E Corp.  '!E31</f>
        <v>0</v>
      </c>
      <c r="F25" s="234">
        <f>+'PG&amp;E Corp.  '!F31</f>
        <v>0</v>
      </c>
      <c r="G25" s="234">
        <f>+'PG&amp;E Corp.  '!G31</f>
        <v>0</v>
      </c>
      <c r="H25" s="234">
        <f>+'PG&amp;E Corp.  '!H31</f>
        <v>0</v>
      </c>
      <c r="I25" s="234">
        <f>+'PG&amp;E Corp.  '!I31</f>
        <v>0</v>
      </c>
      <c r="J25" s="234">
        <f>+'PG&amp;E Corp.  '!J31</f>
        <v>0</v>
      </c>
      <c r="K25" s="234">
        <f>+'PG&amp;E Corp.  '!K31</f>
        <v>0</v>
      </c>
      <c r="L25" s="234">
        <f>+'PG&amp;E Corp.  '!L31</f>
        <v>0</v>
      </c>
      <c r="M25" s="234"/>
      <c r="N25" s="371">
        <v>0</v>
      </c>
      <c r="O25" s="371">
        <v>0</v>
      </c>
      <c r="P25" s="370">
        <f t="shared" si="4"/>
        <v>0</v>
      </c>
      <c r="Q25" s="234">
        <f>+'PG&amp;E Corp.  '!Q31</f>
        <v>138342</v>
      </c>
      <c r="R25" s="234">
        <f>+'PG&amp;E Corp.  '!R31</f>
        <v>0</v>
      </c>
      <c r="S25" s="529"/>
      <c r="T25" s="243"/>
      <c r="U25" s="29"/>
      <c r="V25" s="29"/>
    </row>
    <row r="26" spans="1:22" s="47" customFormat="1" ht="15.6" x14ac:dyDescent="0.3">
      <c r="A26" s="248" t="s">
        <v>3</v>
      </c>
      <c r="B26" s="250" t="s">
        <v>78</v>
      </c>
      <c r="C26" s="240" t="s">
        <v>122</v>
      </c>
      <c r="D26" s="234">
        <f>+'PG&amp;E Corp.  '!D32</f>
        <v>0</v>
      </c>
      <c r="E26" s="234">
        <f>+'PG&amp;E Corp.  '!E32</f>
        <v>-436226</v>
      </c>
      <c r="F26" s="234">
        <f>+'PG&amp;E Corp.  '!F32</f>
        <v>4079375</v>
      </c>
      <c r="G26" s="234">
        <f>+'PG&amp;E Corp.  '!G32</f>
        <v>-7311856</v>
      </c>
      <c r="H26" s="234">
        <f>+'PG&amp;E Corp.  '!H32</f>
        <v>-3232481</v>
      </c>
      <c r="I26" s="234">
        <f>+'PG&amp;E Corp.  '!I32</f>
        <v>0</v>
      </c>
      <c r="J26" s="234">
        <f>+'PG&amp;E Corp.  '!J32</f>
        <v>0</v>
      </c>
      <c r="K26" s="234">
        <f>+'PG&amp;E Corp.  '!K32</f>
        <v>0</v>
      </c>
      <c r="L26" s="234">
        <f>+'PG&amp;E Corp.  '!L32</f>
        <v>-3232481</v>
      </c>
      <c r="M26" s="234"/>
      <c r="N26" s="371">
        <v>0</v>
      </c>
      <c r="O26" s="371">
        <v>0</v>
      </c>
      <c r="P26" s="370">
        <f t="shared" si="4"/>
        <v>0</v>
      </c>
      <c r="Q26" s="234">
        <f>+'PG&amp;E Corp.  '!Q32</f>
        <v>0</v>
      </c>
      <c r="R26" s="234">
        <f>+'PG&amp;E Corp.  '!R32</f>
        <v>-3668707</v>
      </c>
      <c r="S26" s="529"/>
      <c r="T26" s="243"/>
      <c r="U26" s="29"/>
      <c r="V26" s="29"/>
    </row>
    <row r="27" spans="1:22" s="366" customFormat="1" ht="15.6" x14ac:dyDescent="0.3">
      <c r="A27" s="359" t="s">
        <v>3</v>
      </c>
      <c r="B27" s="412" t="s">
        <v>26</v>
      </c>
      <c r="C27" s="361" t="s">
        <v>122</v>
      </c>
      <c r="D27" s="383">
        <f>+'PG&amp;E Corp.  '!D33</f>
        <v>0</v>
      </c>
      <c r="E27" s="383">
        <f>+'PG&amp;E Corp.  '!E33</f>
        <v>27768720.881592654</v>
      </c>
      <c r="F27" s="383">
        <f>+'PG&amp;E Corp.  '!F33</f>
        <v>0</v>
      </c>
      <c r="G27" s="383">
        <f>+'PG&amp;E Corp.  '!G33</f>
        <v>0</v>
      </c>
      <c r="H27" s="383">
        <f>+'PG&amp;E Corp.  '!H33</f>
        <v>0</v>
      </c>
      <c r="I27" s="383">
        <f>+'PG&amp;E Corp.  '!I33</f>
        <v>0</v>
      </c>
      <c r="J27" s="383">
        <f>+'PG&amp;E Corp.  '!J33</f>
        <v>0</v>
      </c>
      <c r="K27" s="383">
        <f>+'PG&amp;E Corp.  '!K33</f>
        <v>0</v>
      </c>
      <c r="L27" s="383">
        <f>+'PG&amp;E Corp.  '!L33</f>
        <v>0</v>
      </c>
      <c r="M27" s="383"/>
      <c r="N27" s="383">
        <v>0</v>
      </c>
      <c r="O27" s="383">
        <v>0</v>
      </c>
      <c r="P27" s="383">
        <f t="shared" si="4"/>
        <v>0</v>
      </c>
      <c r="Q27" s="383">
        <f>+'PG&amp;E Corp.  '!Q33</f>
        <v>27768720.881592654</v>
      </c>
      <c r="R27" s="383">
        <f>+'PG&amp;E Corp.  '!R33</f>
        <v>0</v>
      </c>
      <c r="S27" s="530"/>
      <c r="T27" s="364"/>
      <c r="U27" s="365"/>
      <c r="V27" s="365"/>
    </row>
    <row r="28" spans="1:22" s="47" customFormat="1" ht="38.25" customHeight="1" thickBot="1" x14ac:dyDescent="0.3">
      <c r="A28" s="260" t="s">
        <v>3</v>
      </c>
      <c r="B28" s="282" t="s">
        <v>79</v>
      </c>
      <c r="C28" s="253" t="s">
        <v>122</v>
      </c>
      <c r="D28" s="147">
        <f>+'PG&amp;E Corp.  '!D34</f>
        <v>0</v>
      </c>
      <c r="E28" s="147">
        <f>+'PG&amp;E Corp.  '!E34</f>
        <v>-43172764</v>
      </c>
      <c r="F28" s="147">
        <f>+'PG&amp;E Corp.  '!F34</f>
        <v>39298790</v>
      </c>
      <c r="G28" s="147">
        <f>+'PG&amp;E Corp.  '!G34</f>
        <v>-50185956</v>
      </c>
      <c r="H28" s="147">
        <f>+'PG&amp;E Corp.  '!H34</f>
        <v>-10887166</v>
      </c>
      <c r="I28" s="147">
        <f>+'PG&amp;E Corp.  '!I34</f>
        <v>72313111</v>
      </c>
      <c r="J28" s="147">
        <f>+'PG&amp;E Corp.  '!J34</f>
        <v>-61864018</v>
      </c>
      <c r="K28" s="147">
        <f>+'PG&amp;E Corp.  '!K34</f>
        <v>10449093</v>
      </c>
      <c r="L28" s="147">
        <f>+'PG&amp;E Corp.  '!L34</f>
        <v>-438073</v>
      </c>
      <c r="M28" s="147"/>
      <c r="N28" s="371">
        <v>0</v>
      </c>
      <c r="O28" s="371">
        <v>0</v>
      </c>
      <c r="P28" s="370">
        <f t="shared" si="4"/>
        <v>0</v>
      </c>
      <c r="Q28" s="147">
        <f>+'PG&amp;E Corp.  '!Q34</f>
        <v>0</v>
      </c>
      <c r="R28" s="147">
        <f>+'PG&amp;E Corp.  '!R34</f>
        <v>-43610837</v>
      </c>
      <c r="S28" s="531" t="s">
        <v>190</v>
      </c>
      <c r="T28" s="243"/>
      <c r="U28" s="29"/>
      <c r="V28" s="29"/>
    </row>
    <row r="29" spans="1:22" ht="16.8" thickTop="1" thickBot="1" x14ac:dyDescent="0.35">
      <c r="A29" s="173" t="s">
        <v>106</v>
      </c>
      <c r="B29" s="170"/>
      <c r="C29" s="170"/>
      <c r="D29" s="170"/>
      <c r="E29" s="397"/>
      <c r="F29" s="265"/>
      <c r="G29" s="265"/>
      <c r="H29" s="265"/>
      <c r="I29" s="265"/>
      <c r="J29" s="265"/>
      <c r="K29" s="265"/>
      <c r="L29" s="155"/>
      <c r="M29" s="265"/>
      <c r="N29" s="376"/>
      <c r="O29" s="376"/>
      <c r="P29" s="376"/>
      <c r="Q29" s="155"/>
      <c r="R29" s="38"/>
      <c r="S29" s="32">
        <f>IF(SUM(Q24:Q28)&gt;-SUM(R24:R28),SUM(Q24:Q28),0)</f>
        <v>0</v>
      </c>
      <c r="T29" s="175"/>
      <c r="U29" s="27" t="s">
        <v>138</v>
      </c>
      <c r="V29" s="27"/>
    </row>
    <row r="30" spans="1:22" ht="16.2" thickTop="1" x14ac:dyDescent="0.3">
      <c r="A30" s="176"/>
      <c r="B30" s="170"/>
      <c r="C30" s="170"/>
      <c r="D30" s="94"/>
      <c r="E30" s="155"/>
      <c r="F30" s="265"/>
      <c r="G30" s="265"/>
      <c r="H30" s="265"/>
      <c r="I30" s="265"/>
      <c r="J30" s="265"/>
      <c r="K30" s="265"/>
      <c r="L30" s="155"/>
      <c r="M30" s="265"/>
      <c r="N30" s="376"/>
      <c r="O30" s="376"/>
      <c r="P30" s="376"/>
      <c r="Q30" s="155"/>
      <c r="R30" s="38"/>
      <c r="S30" s="38"/>
      <c r="T30" s="175"/>
      <c r="U30" s="27"/>
      <c r="V30" s="27"/>
    </row>
    <row r="31" spans="1:22" s="149" customFormat="1" ht="30" hidden="1" x14ac:dyDescent="0.25">
      <c r="A31" s="292" t="s">
        <v>105</v>
      </c>
      <c r="B31" s="244" t="s">
        <v>26</v>
      </c>
      <c r="C31" s="245" t="s">
        <v>102</v>
      </c>
      <c r="D31" s="246">
        <v>0</v>
      </c>
      <c r="E31" s="246">
        <v>0</v>
      </c>
      <c r="F31" s="434"/>
      <c r="G31" s="434"/>
      <c r="H31" s="439">
        <f>SUM(F31:G31)</f>
        <v>0</v>
      </c>
      <c r="I31" s="434"/>
      <c r="J31" s="434"/>
      <c r="K31" s="439">
        <f>SUM(I31:J31)</f>
        <v>0</v>
      </c>
      <c r="L31" s="246">
        <f>+K31+H31</f>
        <v>0</v>
      </c>
      <c r="M31" s="246"/>
      <c r="N31" s="370">
        <v>0</v>
      </c>
      <c r="O31" s="370">
        <v>0</v>
      </c>
      <c r="P31" s="393">
        <f>SUM(N31:O31)</f>
        <v>0</v>
      </c>
      <c r="Q31" s="147">
        <f>+L31+E31</f>
        <v>0</v>
      </c>
      <c r="R31" s="247">
        <v>0</v>
      </c>
      <c r="S31" s="241" t="s">
        <v>141</v>
      </c>
      <c r="T31" s="242"/>
      <c r="U31" s="150"/>
      <c r="V31" s="150"/>
    </row>
    <row r="32" spans="1:22" s="149" customFormat="1" ht="15.6" hidden="1" x14ac:dyDescent="0.3">
      <c r="A32" s="293" t="s">
        <v>108</v>
      </c>
      <c r="B32" s="239" t="s">
        <v>78</v>
      </c>
      <c r="C32" s="240" t="s">
        <v>122</v>
      </c>
      <c r="D32" s="234">
        <v>0</v>
      </c>
      <c r="E32" s="234">
        <v>0</v>
      </c>
      <c r="F32" s="432"/>
      <c r="G32" s="432"/>
      <c r="H32" s="432">
        <v>0</v>
      </c>
      <c r="I32" s="432"/>
      <c r="J32" s="432"/>
      <c r="K32" s="432">
        <v>0</v>
      </c>
      <c r="L32" s="227">
        <f>+K32+H32</f>
        <v>0</v>
      </c>
      <c r="M32" s="234">
        <v>997337</v>
      </c>
      <c r="N32" s="362">
        <v>0</v>
      </c>
      <c r="O32" s="362">
        <v>0</v>
      </c>
      <c r="P32" s="362">
        <f>SUM(N32:O32)</f>
        <v>0</v>
      </c>
      <c r="Q32" s="234">
        <f>+L32+E32</f>
        <v>0</v>
      </c>
      <c r="R32" s="236">
        <v>0</v>
      </c>
      <c r="S32" s="241"/>
      <c r="T32" s="242"/>
      <c r="U32" s="150"/>
      <c r="V32" s="150"/>
    </row>
    <row r="33" spans="1:23" ht="16.8" hidden="1" thickTop="1" thickBot="1" x14ac:dyDescent="0.35">
      <c r="A33" s="294" t="s">
        <v>109</v>
      </c>
      <c r="B33" s="171"/>
      <c r="C33" s="171"/>
      <c r="D33" s="94"/>
      <c r="E33" s="155"/>
      <c r="F33" s="265">
        <v>0</v>
      </c>
      <c r="G33" s="265">
        <v>0</v>
      </c>
      <c r="H33" s="265"/>
      <c r="I33" s="265"/>
      <c r="J33" s="265"/>
      <c r="K33" s="265"/>
      <c r="L33" s="155"/>
      <c r="M33" s="265"/>
      <c r="N33" s="376"/>
      <c r="O33" s="376"/>
      <c r="P33" s="376"/>
      <c r="Q33" s="155"/>
      <c r="R33" s="155"/>
      <c r="S33" s="32">
        <f>+Q31+Q32</f>
        <v>0</v>
      </c>
      <c r="T33" s="175"/>
      <c r="U33" s="27" t="s">
        <v>138</v>
      </c>
      <c r="V33" s="27"/>
      <c r="W33" s="27">
        <f>+Q35+Q36+Q38</f>
        <v>29557982</v>
      </c>
    </row>
    <row r="34" spans="1:23" hidden="1" x14ac:dyDescent="0.25">
      <c r="A34" s="177"/>
      <c r="B34" s="171"/>
      <c r="C34" s="171"/>
      <c r="D34" s="94"/>
      <c r="E34" s="155"/>
      <c r="F34" s="265">
        <v>0</v>
      </c>
      <c r="G34" s="265">
        <v>0</v>
      </c>
      <c r="H34" s="265"/>
      <c r="I34" s="265"/>
      <c r="J34" s="265"/>
      <c r="K34" s="265"/>
      <c r="L34" s="155"/>
      <c r="M34" s="265"/>
      <c r="N34" s="376"/>
      <c r="O34" s="376"/>
      <c r="P34" s="376"/>
      <c r="Q34" s="155"/>
      <c r="R34" s="86"/>
      <c r="S34" s="86"/>
      <c r="T34" s="175"/>
      <c r="U34" s="27"/>
      <c r="V34" s="27"/>
    </row>
    <row r="35" spans="1:23" s="47" customFormat="1" ht="15.6" x14ac:dyDescent="0.25">
      <c r="A35" s="251" t="s">
        <v>4</v>
      </c>
      <c r="B35" s="284" t="s">
        <v>77</v>
      </c>
      <c r="C35" s="253" t="s">
        <v>122</v>
      </c>
      <c r="D35" s="234">
        <f>+'PG&amp;E Corp.  '!D41</f>
        <v>2090225</v>
      </c>
      <c r="E35" s="234">
        <f>+'PG&amp;E Corp.  '!E41</f>
        <v>0</v>
      </c>
      <c r="F35" s="234">
        <f>+'PG&amp;E Corp.  '!F41</f>
        <v>0</v>
      </c>
      <c r="G35" s="234">
        <f>+'PG&amp;E Corp.  '!G41</f>
        <v>0</v>
      </c>
      <c r="H35" s="234">
        <f>+'PG&amp;E Corp.  '!H41</f>
        <v>0</v>
      </c>
      <c r="I35" s="234">
        <f>+'PG&amp;E Corp.  '!I41</f>
        <v>0</v>
      </c>
      <c r="J35" s="234">
        <f>+'PG&amp;E Corp.  '!J41</f>
        <v>0</v>
      </c>
      <c r="K35" s="234">
        <f>+'PG&amp;E Corp.  '!K41</f>
        <v>0</v>
      </c>
      <c r="L35" s="234">
        <f>+'PG&amp;E Corp.  '!L41</f>
        <v>0</v>
      </c>
      <c r="M35" s="246">
        <v>13062536</v>
      </c>
      <c r="N35" s="371">
        <v>0</v>
      </c>
      <c r="O35" s="371">
        <v>0</v>
      </c>
      <c r="P35" s="370">
        <f>SUM(N35:O35)</f>
        <v>0</v>
      </c>
      <c r="Q35" s="234">
        <f>+'PG&amp;E Corp.  '!Q41</f>
        <v>2090225</v>
      </c>
      <c r="R35" s="234">
        <f>+'PG&amp;E Corp.  '!R41</f>
        <v>0</v>
      </c>
      <c r="S35" s="283"/>
      <c r="T35" s="243"/>
      <c r="U35" s="29" t="s">
        <v>139</v>
      </c>
      <c r="V35" s="29"/>
    </row>
    <row r="36" spans="1:23" s="47" customFormat="1" ht="15.6" x14ac:dyDescent="0.25">
      <c r="A36" s="251" t="s">
        <v>4</v>
      </c>
      <c r="B36" s="284" t="s">
        <v>77</v>
      </c>
      <c r="C36" s="253" t="s">
        <v>122</v>
      </c>
      <c r="D36" s="234">
        <f>+'PG&amp;E Corp.  '!D42</f>
        <v>0</v>
      </c>
      <c r="E36" s="234">
        <f>+'PG&amp;E Corp.  '!E42</f>
        <v>-13670923</v>
      </c>
      <c r="F36" s="234">
        <f>+'PG&amp;E Corp.  '!F42</f>
        <v>2235269</v>
      </c>
      <c r="G36" s="234">
        <f>+'PG&amp;E Corp.  '!G42</f>
        <v>-2551593</v>
      </c>
      <c r="H36" s="234">
        <f>+'PG&amp;E Corp.  '!H42</f>
        <v>-316324</v>
      </c>
      <c r="I36" s="234">
        <f>+'PG&amp;E Corp.  '!I42</f>
        <v>43653747</v>
      </c>
      <c r="J36" s="234">
        <f>+'PG&amp;E Corp.  '!J42</f>
        <v>-20025697</v>
      </c>
      <c r="K36" s="234">
        <f>+'PG&amp;E Corp.  '!K42</f>
        <v>23628050</v>
      </c>
      <c r="L36" s="234">
        <f>+'PG&amp;E Corp.  '!L42</f>
        <v>23311726</v>
      </c>
      <c r="M36" s="147">
        <v>19833122</v>
      </c>
      <c r="N36" s="371">
        <v>23522410</v>
      </c>
      <c r="O36" s="371">
        <v>-14836237</v>
      </c>
      <c r="P36" s="370">
        <f>SUM(N36:O36)</f>
        <v>8686173</v>
      </c>
      <c r="Q36" s="234">
        <f>+'PG&amp;E Corp.  '!Q42</f>
        <v>9640803</v>
      </c>
      <c r="R36" s="234">
        <f>+'PG&amp;E Corp.  '!R42</f>
        <v>0</v>
      </c>
      <c r="S36" s="283"/>
      <c r="T36" s="243"/>
      <c r="U36" s="29" t="s">
        <v>139</v>
      </c>
      <c r="V36" s="29"/>
    </row>
    <row r="37" spans="1:23" s="47" customFormat="1" ht="15.6" hidden="1" x14ac:dyDescent="0.25">
      <c r="A37" s="248" t="s">
        <v>4</v>
      </c>
      <c r="B37" s="250" t="s">
        <v>78</v>
      </c>
      <c r="C37" s="253" t="s">
        <v>122</v>
      </c>
      <c r="D37" s="234">
        <f>+'PG&amp;E Corp.  '!D43</f>
        <v>31900</v>
      </c>
      <c r="E37" s="234">
        <f>+'PG&amp;E Corp.  '!E43</f>
        <v>0</v>
      </c>
      <c r="F37" s="234">
        <f>+'PG&amp;E Corp.  '!F43</f>
        <v>0</v>
      </c>
      <c r="G37" s="234">
        <f>+'PG&amp;E Corp.  '!G43</f>
        <v>0</v>
      </c>
      <c r="H37" s="234">
        <f>+'PG&amp;E Corp.  '!H43</f>
        <v>0</v>
      </c>
      <c r="I37" s="234">
        <f>+'PG&amp;E Corp.  '!I43</f>
        <v>0</v>
      </c>
      <c r="J37" s="234">
        <f>+'PG&amp;E Corp.  '!J43</f>
        <v>0</v>
      </c>
      <c r="K37" s="234">
        <f>+'PG&amp;E Corp.  '!K43</f>
        <v>0</v>
      </c>
      <c r="L37" s="234">
        <f>+'PG&amp;E Corp.  '!L43</f>
        <v>0</v>
      </c>
      <c r="M37" s="147"/>
      <c r="N37" s="371"/>
      <c r="O37" s="371"/>
      <c r="P37" s="370"/>
      <c r="Q37" s="246">
        <f>+L37+D37</f>
        <v>31900</v>
      </c>
      <c r="R37" s="247">
        <v>0</v>
      </c>
      <c r="S37" s="283"/>
      <c r="T37" s="243"/>
      <c r="U37" s="29"/>
      <c r="V37" s="29"/>
    </row>
    <row r="38" spans="1:23" s="47" customFormat="1" ht="16.2" thickBot="1" x14ac:dyDescent="0.35">
      <c r="A38" s="248" t="s">
        <v>4</v>
      </c>
      <c r="B38" s="250" t="s">
        <v>78</v>
      </c>
      <c r="C38" s="240" t="s">
        <v>122</v>
      </c>
      <c r="D38" s="234">
        <f>+'PG&amp;E Corp.  '!D44</f>
        <v>0</v>
      </c>
      <c r="E38" s="234">
        <f>+'PG&amp;E Corp.  '!E44</f>
        <v>587374</v>
      </c>
      <c r="F38" s="234">
        <f>+'PG&amp;E Corp.  '!F44</f>
        <v>7569349</v>
      </c>
      <c r="G38" s="234">
        <f>+'PG&amp;E Corp.  '!G44</f>
        <v>-1131770</v>
      </c>
      <c r="H38" s="234">
        <f>+'PG&amp;E Corp.  '!H44</f>
        <v>6437579</v>
      </c>
      <c r="I38" s="234">
        <f>+'PG&amp;E Corp.  '!I44</f>
        <v>11401997</v>
      </c>
      <c r="J38" s="234">
        <f>+'PG&amp;E Corp.  '!J44</f>
        <v>-599996</v>
      </c>
      <c r="K38" s="234">
        <f>+'PG&amp;E Corp.  '!K44</f>
        <v>10802001</v>
      </c>
      <c r="L38" s="234">
        <f>+'PG&amp;E Corp.  '!L44</f>
        <v>17239580</v>
      </c>
      <c r="M38" s="234">
        <v>-3205556</v>
      </c>
      <c r="N38" s="371">
        <v>0</v>
      </c>
      <c r="O38" s="371">
        <v>0</v>
      </c>
      <c r="P38" s="370">
        <f>SUM(N38:O38)</f>
        <v>0</v>
      </c>
      <c r="Q38" s="234">
        <f>+'PG&amp;E Corp.  '!Q44</f>
        <v>17826954</v>
      </c>
      <c r="R38" s="234">
        <f>+'PG&amp;E Corp.  '!R44</f>
        <v>0</v>
      </c>
      <c r="S38" s="236"/>
      <c r="T38" s="243"/>
      <c r="U38" s="29"/>
      <c r="V38" s="29"/>
    </row>
    <row r="39" spans="1:23" ht="16.8" thickTop="1" thickBot="1" x14ac:dyDescent="0.35">
      <c r="A39" s="174" t="s">
        <v>27</v>
      </c>
      <c r="B39" s="169"/>
      <c r="C39" s="169"/>
      <c r="D39" s="169"/>
      <c r="E39" s="169"/>
      <c r="F39" s="265"/>
      <c r="G39" s="265"/>
      <c r="H39" s="265"/>
      <c r="I39" s="265"/>
      <c r="J39" s="265"/>
      <c r="K39" s="265"/>
      <c r="L39" s="155"/>
      <c r="M39" s="265"/>
      <c r="N39" s="376"/>
      <c r="O39" s="376"/>
      <c r="P39" s="376"/>
      <c r="Q39" s="155"/>
      <c r="R39" s="86"/>
      <c r="S39" s="32">
        <f>IF(SUM(Q35:Q38)&gt;-SUM(R35:R38),SUM(Q35:Q38),0)</f>
        <v>29589882</v>
      </c>
      <c r="T39" s="175"/>
      <c r="U39" s="27"/>
      <c r="V39" s="27"/>
    </row>
    <row r="40" spans="1:23" ht="15.6" thickTop="1" x14ac:dyDescent="0.25">
      <c r="A40" s="174"/>
      <c r="B40" s="169"/>
      <c r="C40" s="169"/>
      <c r="D40" s="94"/>
      <c r="E40" s="155"/>
      <c r="F40" s="265"/>
      <c r="G40" s="265"/>
      <c r="H40" s="265"/>
      <c r="I40" s="265"/>
      <c r="J40" s="265"/>
      <c r="K40" s="265"/>
      <c r="L40" s="155"/>
      <c r="M40" s="265"/>
      <c r="N40" s="376"/>
      <c r="O40" s="376"/>
      <c r="P40" s="376"/>
      <c r="Q40" s="155"/>
      <c r="R40" s="86"/>
      <c r="S40" s="86"/>
      <c r="T40" s="175"/>
      <c r="U40" s="27"/>
      <c r="V40" s="27"/>
    </row>
    <row r="41" spans="1:23" s="47" customFormat="1" ht="15.6" hidden="1" x14ac:dyDescent="0.3">
      <c r="A41" s="248" t="s">
        <v>5</v>
      </c>
      <c r="B41" s="239" t="s">
        <v>77</v>
      </c>
      <c r="C41" s="240" t="s">
        <v>122</v>
      </c>
      <c r="D41" s="234">
        <v>0</v>
      </c>
      <c r="E41" s="234">
        <v>0</v>
      </c>
      <c r="F41" s="432"/>
      <c r="G41" s="432"/>
      <c r="H41" s="432">
        <f>SUM(F41:G41)</f>
        <v>0</v>
      </c>
      <c r="I41" s="432">
        <v>0</v>
      </c>
      <c r="J41" s="432">
        <v>0</v>
      </c>
      <c r="K41" s="432">
        <f>SUM(I41:J41)</f>
        <v>0</v>
      </c>
      <c r="L41" s="227">
        <f>+K41+H41</f>
        <v>0</v>
      </c>
      <c r="M41" s="234">
        <v>-2501719</v>
      </c>
      <c r="N41" s="371">
        <v>0</v>
      </c>
      <c r="O41" s="370">
        <v>0</v>
      </c>
      <c r="P41" s="370">
        <f t="shared" ref="P41:P46" si="5">SUM(N41:O41)</f>
        <v>0</v>
      </c>
      <c r="Q41" s="226">
        <f>+D41</f>
        <v>0</v>
      </c>
      <c r="R41" s="236">
        <f>+L41+E41</f>
        <v>0</v>
      </c>
      <c r="S41" s="236"/>
      <c r="T41" s="243"/>
      <c r="U41" s="29"/>
      <c r="V41" s="29"/>
    </row>
    <row r="42" spans="1:23" s="47" customFormat="1" ht="15.6" x14ac:dyDescent="0.3">
      <c r="A42" s="248" t="s">
        <v>5</v>
      </c>
      <c r="B42" s="239" t="s">
        <v>77</v>
      </c>
      <c r="C42" s="240" t="s">
        <v>122</v>
      </c>
      <c r="D42" s="234">
        <f>+'PG&amp;E Corp.  '!D48</f>
        <v>0</v>
      </c>
      <c r="E42" s="234">
        <f>+'PG&amp;E Corp.  '!E48</f>
        <v>-112764</v>
      </c>
      <c r="F42" s="234">
        <f>+'PG&amp;E Corp.  '!F48</f>
        <v>0</v>
      </c>
      <c r="G42" s="234">
        <f>+'PG&amp;E Corp.  '!G48</f>
        <v>-1390480</v>
      </c>
      <c r="H42" s="234">
        <f>+'PG&amp;E Corp.  '!H48</f>
        <v>-1390480</v>
      </c>
      <c r="I42" s="234">
        <f>+'PG&amp;E Corp.  '!I48</f>
        <v>0</v>
      </c>
      <c r="J42" s="234">
        <f>+'PG&amp;E Corp.  '!J48</f>
        <v>0</v>
      </c>
      <c r="K42" s="234">
        <f>+'PG&amp;E Corp.  '!K48</f>
        <v>0</v>
      </c>
      <c r="L42" s="234">
        <f>+'PG&amp;E Corp.  '!L48</f>
        <v>-1390480</v>
      </c>
      <c r="M42" s="234">
        <v>-2501719</v>
      </c>
      <c r="N42" s="371">
        <v>0</v>
      </c>
      <c r="O42" s="370">
        <v>0</v>
      </c>
      <c r="P42" s="370">
        <f t="shared" si="5"/>
        <v>0</v>
      </c>
      <c r="Q42" s="234">
        <f>+'PG&amp;E Corp.  '!Q48</f>
        <v>0</v>
      </c>
      <c r="R42" s="234">
        <f>+'PG&amp;E Corp.  '!R48</f>
        <v>-1503244</v>
      </c>
      <c r="S42" s="236"/>
      <c r="T42" s="243"/>
      <c r="U42" s="29"/>
      <c r="V42" s="29"/>
    </row>
    <row r="43" spans="1:23" s="47" customFormat="1" ht="15.6" x14ac:dyDescent="0.3">
      <c r="A43" s="248" t="s">
        <v>5</v>
      </c>
      <c r="B43" s="239" t="s">
        <v>78</v>
      </c>
      <c r="C43" s="240" t="s">
        <v>122</v>
      </c>
      <c r="D43" s="234">
        <f>+'PG&amp;E Corp.  '!D49</f>
        <v>-3947833</v>
      </c>
      <c r="E43" s="234">
        <f>+'PG&amp;E Corp.  '!E49</f>
        <v>0</v>
      </c>
      <c r="F43" s="234">
        <f>+'PG&amp;E Corp.  '!F49</f>
        <v>0</v>
      </c>
      <c r="G43" s="234">
        <f>+'PG&amp;E Corp.  '!G49</f>
        <v>0</v>
      </c>
      <c r="H43" s="234">
        <f>+'PG&amp;E Corp.  '!H49</f>
        <v>0</v>
      </c>
      <c r="I43" s="234">
        <f>+'PG&amp;E Corp.  '!I49</f>
        <v>0</v>
      </c>
      <c r="J43" s="234">
        <f>+'PG&amp;E Corp.  '!J49</f>
        <v>0</v>
      </c>
      <c r="K43" s="234">
        <f>+'PG&amp;E Corp.  '!K49</f>
        <v>0</v>
      </c>
      <c r="L43" s="234">
        <f>+'PG&amp;E Corp.  '!L49</f>
        <v>0</v>
      </c>
      <c r="M43" s="227">
        <v>-22486468</v>
      </c>
      <c r="N43" s="371">
        <v>0</v>
      </c>
      <c r="O43" s="371">
        <v>0</v>
      </c>
      <c r="P43" s="370">
        <f t="shared" si="5"/>
        <v>0</v>
      </c>
      <c r="Q43" s="234">
        <f>+'PG&amp;E Corp.  '!Q49</f>
        <v>0</v>
      </c>
      <c r="R43" s="234">
        <f>+'PG&amp;E Corp.  '!R49</f>
        <v>-3947833</v>
      </c>
      <c r="S43" s="236"/>
      <c r="T43" s="243"/>
      <c r="U43" s="29"/>
      <c r="V43" s="29"/>
    </row>
    <row r="44" spans="1:23" s="47" customFormat="1" ht="15.6" x14ac:dyDescent="0.25">
      <c r="A44" s="251" t="s">
        <v>5</v>
      </c>
      <c r="B44" s="252" t="s">
        <v>78</v>
      </c>
      <c r="C44" s="253" t="s">
        <v>122</v>
      </c>
      <c r="D44" s="234">
        <f>+'PG&amp;E Corp.  '!D50</f>
        <v>0</v>
      </c>
      <c r="E44" s="234">
        <f>+'PG&amp;E Corp.  '!E50</f>
        <v>-6946316</v>
      </c>
      <c r="F44" s="234">
        <f>+'PG&amp;E Corp.  '!F50</f>
        <v>13378285</v>
      </c>
      <c r="G44" s="234">
        <f>+'PG&amp;E Corp.  '!G50</f>
        <v>-19067460</v>
      </c>
      <c r="H44" s="234">
        <f>+'PG&amp;E Corp.  '!H50</f>
        <v>-5689175</v>
      </c>
      <c r="I44" s="234">
        <f>+'PG&amp;E Corp.  '!I50</f>
        <v>26531472</v>
      </c>
      <c r="J44" s="234">
        <f>+'PG&amp;E Corp.  '!J50</f>
        <v>-35240446</v>
      </c>
      <c r="K44" s="234">
        <f>+'PG&amp;E Corp.  '!K50</f>
        <v>-8708974</v>
      </c>
      <c r="L44" s="234">
        <f>+'PG&amp;E Corp.  '!L50</f>
        <v>-14398149</v>
      </c>
      <c r="M44" s="147">
        <v>-14187360</v>
      </c>
      <c r="N44" s="371">
        <v>0</v>
      </c>
      <c r="O44" s="371">
        <v>0</v>
      </c>
      <c r="P44" s="370">
        <f t="shared" si="5"/>
        <v>0</v>
      </c>
      <c r="Q44" s="234">
        <f>+'PG&amp;E Corp.  '!Q50</f>
        <v>0</v>
      </c>
      <c r="R44" s="234">
        <f>+'PG&amp;E Corp.  '!R50</f>
        <v>-21344465</v>
      </c>
      <c r="S44" s="283"/>
      <c r="T44" s="243"/>
      <c r="U44" s="29"/>
      <c r="V44" s="29"/>
    </row>
    <row r="45" spans="1:23" s="47" customFormat="1" ht="15.6" x14ac:dyDescent="0.3">
      <c r="A45" s="248" t="s">
        <v>5</v>
      </c>
      <c r="B45" s="239" t="s">
        <v>81</v>
      </c>
      <c r="C45" s="240" t="s">
        <v>122</v>
      </c>
      <c r="D45" s="234">
        <f>+'PG&amp;E Corp.  '!D51</f>
        <v>0</v>
      </c>
      <c r="E45" s="234">
        <f>+'PG&amp;E Corp.  '!E51</f>
        <v>0</v>
      </c>
      <c r="F45" s="234">
        <f>+'PG&amp;E Corp.  '!F51</f>
        <v>1749125</v>
      </c>
      <c r="G45" s="234">
        <f>+'PG&amp;E Corp.  '!G51</f>
        <v>-2246725</v>
      </c>
      <c r="H45" s="234">
        <f>+'PG&amp;E Corp.  '!H51</f>
        <v>-497600</v>
      </c>
      <c r="I45" s="234">
        <f>+'PG&amp;E Corp.  '!I51</f>
        <v>0</v>
      </c>
      <c r="J45" s="234">
        <f>+'PG&amp;E Corp.  '!J51</f>
        <v>0</v>
      </c>
      <c r="K45" s="234">
        <f>+'PG&amp;E Corp.  '!K51</f>
        <v>0</v>
      </c>
      <c r="L45" s="234">
        <f>+'PG&amp;E Corp.  '!L51</f>
        <v>-497600</v>
      </c>
      <c r="M45" s="234">
        <v>1507632</v>
      </c>
      <c r="N45" s="371">
        <v>0</v>
      </c>
      <c r="O45" s="371">
        <v>0</v>
      </c>
      <c r="P45" s="370">
        <f t="shared" si="5"/>
        <v>0</v>
      </c>
      <c r="Q45" s="234">
        <f>+'PG&amp;E Corp.  '!Q51</f>
        <v>0</v>
      </c>
      <c r="R45" s="234">
        <f>+'PG&amp;E Corp.  '!R51</f>
        <v>-497600</v>
      </c>
      <c r="S45" s="236"/>
      <c r="T45" s="243"/>
      <c r="U45" s="29"/>
      <c r="V45" s="29"/>
    </row>
    <row r="46" spans="1:23" s="366" customFormat="1" ht="16.2" thickBot="1" x14ac:dyDescent="0.3">
      <c r="A46" s="413" t="s">
        <v>28</v>
      </c>
      <c r="B46" s="414" t="s">
        <v>21</v>
      </c>
      <c r="C46" s="368" t="s">
        <v>102</v>
      </c>
      <c r="D46" s="466">
        <f>+'PG&amp;E Corp.  '!D52</f>
        <v>1218424</v>
      </c>
      <c r="E46" s="466">
        <f>+'PG&amp;E Corp.  '!E52</f>
        <v>-3314621</v>
      </c>
      <c r="F46" s="466">
        <f>+'PG&amp;E Corp.  '!F52</f>
        <v>681762</v>
      </c>
      <c r="G46" s="466">
        <f>+'PG&amp;E Corp.  '!G52</f>
        <v>0</v>
      </c>
      <c r="H46" s="466">
        <f>+'PG&amp;E Corp.  '!H52</f>
        <v>681762</v>
      </c>
      <c r="I46" s="466">
        <f>+'PG&amp;E Corp.  '!I52</f>
        <v>0</v>
      </c>
      <c r="J46" s="466">
        <f>+'PG&amp;E Corp.  '!J52</f>
        <v>0</v>
      </c>
      <c r="K46" s="466">
        <f>+'PG&amp;E Corp.  '!K52</f>
        <v>0</v>
      </c>
      <c r="L46" s="466">
        <f>+'PG&amp;E Corp.  '!L52</f>
        <v>681762</v>
      </c>
      <c r="M46" s="467"/>
      <c r="N46" s="468">
        <v>0</v>
      </c>
      <c r="O46" s="468">
        <v>0</v>
      </c>
      <c r="P46" s="467">
        <f t="shared" si="5"/>
        <v>0</v>
      </c>
      <c r="Q46" s="466">
        <f>+'PG&amp;E Corp.  '!Q52</f>
        <v>1218424</v>
      </c>
      <c r="R46" s="466">
        <f>+'PG&amp;E Corp.  '!R52</f>
        <v>-2632859</v>
      </c>
      <c r="S46" s="416"/>
      <c r="T46" s="364"/>
      <c r="U46" s="365"/>
      <c r="V46" s="365"/>
    </row>
    <row r="47" spans="1:23" ht="16.8" thickTop="1" thickBot="1" x14ac:dyDescent="0.35">
      <c r="A47" s="179" t="s">
        <v>29</v>
      </c>
      <c r="B47" s="169"/>
      <c r="C47" s="169"/>
      <c r="D47" s="155"/>
      <c r="E47" s="155"/>
      <c r="F47" s="265"/>
      <c r="G47" s="265"/>
      <c r="H47" s="265"/>
      <c r="I47" s="265"/>
      <c r="J47" s="265"/>
      <c r="K47" s="265"/>
      <c r="L47" s="155"/>
      <c r="M47" s="265"/>
      <c r="N47" s="376"/>
      <c r="O47" s="376"/>
      <c r="P47" s="376"/>
      <c r="Q47" s="165"/>
      <c r="R47" s="166"/>
      <c r="S47" s="32">
        <f>IF(SUM(Q41:Q46)&gt;-SUM(R41:R46),SUM(Q41:Q46),0)</f>
        <v>0</v>
      </c>
      <c r="T47" s="175"/>
      <c r="U47" s="27" t="s">
        <v>138</v>
      </c>
      <c r="V47" s="27"/>
    </row>
    <row r="48" spans="1:23" ht="16.2" thickTop="1" x14ac:dyDescent="0.3">
      <c r="A48" s="173" t="s">
        <v>112</v>
      </c>
      <c r="B48" s="169"/>
      <c r="C48" s="169"/>
      <c r="D48" s="155"/>
      <c r="E48" s="155"/>
      <c r="F48" s="265"/>
      <c r="G48" s="265"/>
      <c r="H48" s="265"/>
      <c r="I48" s="265"/>
      <c r="J48" s="265"/>
      <c r="K48" s="265"/>
      <c r="L48" s="155"/>
      <c r="M48" s="265"/>
      <c r="N48" s="376"/>
      <c r="O48" s="376"/>
      <c r="P48" s="376"/>
      <c r="Q48" s="155">
        <f>SUM(Q17:Q46)</f>
        <v>58715368.881592654</v>
      </c>
      <c r="R48" s="155">
        <f>SUM(R17:R46)</f>
        <v>-79427799</v>
      </c>
      <c r="S48" s="86"/>
      <c r="T48" s="175"/>
      <c r="U48" s="27"/>
      <c r="V48" s="27"/>
    </row>
    <row r="49" spans="1:27" ht="15.6" x14ac:dyDescent="0.3">
      <c r="A49" s="173"/>
      <c r="B49" s="169"/>
      <c r="C49" s="169"/>
      <c r="D49" s="94"/>
      <c r="E49" s="155"/>
      <c r="F49" s="265"/>
      <c r="G49" s="265"/>
      <c r="H49" s="265"/>
      <c r="I49" s="265"/>
      <c r="J49" s="265"/>
      <c r="K49" s="265"/>
      <c r="L49" s="94"/>
      <c r="M49" s="265"/>
      <c r="N49" s="376"/>
      <c r="O49" s="376"/>
      <c r="P49" s="376"/>
      <c r="Q49" s="155"/>
      <c r="R49" s="155"/>
      <c r="S49" s="86"/>
      <c r="T49" s="175"/>
      <c r="U49" s="27"/>
      <c r="V49" s="27"/>
    </row>
    <row r="50" spans="1:27" s="318" customFormat="1" ht="15.6" x14ac:dyDescent="0.3">
      <c r="A50" s="312" t="s">
        <v>113</v>
      </c>
      <c r="B50" s="313"/>
      <c r="C50" s="313"/>
      <c r="D50" s="314"/>
      <c r="E50" s="314"/>
      <c r="F50" s="265"/>
      <c r="G50" s="265"/>
      <c r="H50" s="265"/>
      <c r="I50" s="265"/>
      <c r="J50" s="265"/>
      <c r="K50" s="265"/>
      <c r="L50" s="314"/>
      <c r="M50" s="314"/>
      <c r="N50" s="376"/>
      <c r="O50" s="376"/>
      <c r="P50" s="376"/>
      <c r="Q50" s="314"/>
      <c r="R50" s="315"/>
      <c r="S50" s="316">
        <f>+Q48</f>
        <v>58715368.881592654</v>
      </c>
      <c r="T50" s="317"/>
      <c r="U50" s="356" t="s">
        <v>159</v>
      </c>
      <c r="V50" s="356"/>
      <c r="W50" s="319"/>
    </row>
    <row r="51" spans="1:27" s="318" customFormat="1" ht="15.6" x14ac:dyDescent="0.3">
      <c r="A51" s="312" t="s">
        <v>152</v>
      </c>
      <c r="B51" s="313"/>
      <c r="C51" s="313"/>
      <c r="D51" s="314"/>
      <c r="E51" s="314"/>
      <c r="F51" s="265"/>
      <c r="G51" s="265"/>
      <c r="H51" s="265"/>
      <c r="I51" s="265"/>
      <c r="J51" s="265"/>
      <c r="K51" s="265"/>
      <c r="L51" s="314"/>
      <c r="M51" s="314"/>
      <c r="N51" s="376"/>
      <c r="O51" s="376"/>
      <c r="P51" s="376"/>
      <c r="Q51" s="314"/>
      <c r="R51" s="315"/>
      <c r="S51" s="320">
        <f>+R48</f>
        <v>-79427799</v>
      </c>
      <c r="T51" s="317"/>
      <c r="U51" s="356" t="s">
        <v>160</v>
      </c>
      <c r="V51" s="358" t="s">
        <v>155</v>
      </c>
      <c r="W51" s="354"/>
      <c r="X51" s="355"/>
      <c r="Y51" s="355"/>
      <c r="Z51" s="355"/>
      <c r="AA51" s="355"/>
    </row>
    <row r="52" spans="1:27" s="318" customFormat="1" ht="15.6" x14ac:dyDescent="0.3">
      <c r="A52" s="312" t="s">
        <v>169</v>
      </c>
      <c r="B52" s="313"/>
      <c r="C52" s="313"/>
      <c r="D52" s="314"/>
      <c r="E52" s="314"/>
      <c r="F52" s="265"/>
      <c r="G52" s="265"/>
      <c r="H52" s="265"/>
      <c r="I52" s="265"/>
      <c r="J52" s="265"/>
      <c r="K52" s="265"/>
      <c r="L52" s="314"/>
      <c r="M52" s="314"/>
      <c r="N52" s="376"/>
      <c r="O52" s="376"/>
      <c r="P52" s="376"/>
      <c r="Q52" s="314"/>
      <c r="R52" s="315"/>
      <c r="S52" s="316">
        <f>+S50+S51</f>
        <v>-20712430.118407346</v>
      </c>
      <c r="T52" s="317"/>
      <c r="U52" s="357"/>
      <c r="V52" s="357"/>
      <c r="W52" s="319"/>
    </row>
    <row r="53" spans="1:27" s="318" customFormat="1" ht="15.6" x14ac:dyDescent="0.3">
      <c r="A53" s="312" t="s">
        <v>192</v>
      </c>
      <c r="B53" s="313"/>
      <c r="C53" s="313"/>
      <c r="D53" s="314"/>
      <c r="E53" s="314"/>
      <c r="F53" s="265"/>
      <c r="G53" s="265"/>
      <c r="H53" s="265"/>
      <c r="I53" s="265"/>
      <c r="J53" s="265"/>
      <c r="K53" s="265"/>
      <c r="L53" s="314"/>
      <c r="M53" s="314"/>
      <c r="N53" s="376"/>
      <c r="O53" s="376"/>
      <c r="P53" s="376"/>
      <c r="Q53" s="314"/>
      <c r="R53" s="315"/>
      <c r="S53" s="411">
        <f>+'PG&amp;E Corp.  '!S59</f>
        <v>-100000000</v>
      </c>
      <c r="T53" s="317"/>
      <c r="U53" s="357"/>
      <c r="V53" s="357"/>
      <c r="W53" s="319"/>
    </row>
    <row r="54" spans="1:27" s="318" customFormat="1" ht="15.6" x14ac:dyDescent="0.3">
      <c r="A54" s="312" t="s">
        <v>193</v>
      </c>
      <c r="B54" s="313"/>
      <c r="C54" s="313"/>
      <c r="D54" s="314"/>
      <c r="E54" s="314"/>
      <c r="F54" s="265"/>
      <c r="G54" s="265"/>
      <c r="H54" s="265"/>
      <c r="I54" s="265"/>
      <c r="J54" s="265"/>
      <c r="K54" s="265"/>
      <c r="L54" s="314"/>
      <c r="M54" s="314"/>
      <c r="N54" s="376"/>
      <c r="O54" s="376"/>
      <c r="P54" s="376"/>
      <c r="Q54" s="314"/>
      <c r="R54" s="315"/>
      <c r="S54" s="411">
        <f>+'PG&amp;E Corp.  '!S60</f>
        <v>-28148539.500651401</v>
      </c>
      <c r="T54" s="317"/>
      <c r="U54" s="357"/>
      <c r="V54" s="357"/>
      <c r="W54" s="319"/>
    </row>
    <row r="55" spans="1:27" s="318" customFormat="1" ht="16.2" thickBot="1" x14ac:dyDescent="0.35">
      <c r="A55" s="312" t="s">
        <v>170</v>
      </c>
      <c r="B55" s="313"/>
      <c r="C55" s="313"/>
      <c r="D55" s="314"/>
      <c r="E55" s="314"/>
      <c r="F55" s="265"/>
      <c r="G55" s="265"/>
      <c r="H55" s="265"/>
      <c r="I55" s="265"/>
      <c r="J55" s="265"/>
      <c r="K55" s="265"/>
      <c r="L55" s="314"/>
      <c r="M55" s="314"/>
      <c r="N55" s="376"/>
      <c r="O55" s="376"/>
      <c r="P55" s="376"/>
      <c r="Q55" s="314"/>
      <c r="R55" s="315"/>
      <c r="S55" s="465">
        <f>+S52+S53+S54</f>
        <v>-148860969.61905873</v>
      </c>
      <c r="T55" s="317"/>
      <c r="U55" s="357"/>
      <c r="V55" s="357"/>
      <c r="W55" s="319"/>
    </row>
    <row r="56" spans="1:27" ht="16.8" thickTop="1" thickBot="1" x14ac:dyDescent="0.35">
      <c r="A56" s="180"/>
      <c r="B56" s="181"/>
      <c r="C56" s="181"/>
      <c r="D56" s="235"/>
      <c r="E56" s="182"/>
      <c r="F56" s="266"/>
      <c r="G56" s="266"/>
      <c r="H56" s="266"/>
      <c r="I56" s="266"/>
      <c r="J56" s="266"/>
      <c r="K56" s="266"/>
      <c r="L56" s="235"/>
      <c r="M56" s="266"/>
      <c r="N56" s="384"/>
      <c r="O56" s="384"/>
      <c r="P56" s="384"/>
      <c r="Q56" s="182"/>
      <c r="R56" s="183"/>
      <c r="S56" s="195"/>
      <c r="T56" s="194"/>
      <c r="U56" s="27"/>
      <c r="V56" s="27">
        <f>2761920-975600+1691082.7-441575</f>
        <v>3035827.7</v>
      </c>
      <c r="W56" s="22" t="s">
        <v>161</v>
      </c>
    </row>
    <row r="57" spans="1:27" s="47" customFormat="1" ht="16.2" thickBot="1" x14ac:dyDescent="0.35">
      <c r="A57" s="293" t="s">
        <v>6</v>
      </c>
      <c r="B57" s="239" t="s">
        <v>78</v>
      </c>
      <c r="C57" s="240" t="s">
        <v>122</v>
      </c>
      <c r="D57" s="234">
        <f>+'PG&amp;E Corp.  '!D63</f>
        <v>0</v>
      </c>
      <c r="E57" s="234">
        <f>+'PG&amp;E Corp.  '!E63</f>
        <v>6357698</v>
      </c>
      <c r="F57" s="234">
        <f>+'PG&amp;E Corp.  '!F63</f>
        <v>0</v>
      </c>
      <c r="G57" s="234">
        <f>+'PG&amp;E Corp.  '!G63</f>
        <v>0</v>
      </c>
      <c r="H57" s="234">
        <f>+'PG&amp;E Corp.  '!H63</f>
        <v>0</v>
      </c>
      <c r="I57" s="234">
        <f>+'PG&amp;E Corp.  '!I63</f>
        <v>0</v>
      </c>
      <c r="J57" s="234">
        <f>+'PG&amp;E Corp.  '!J63</f>
        <v>0</v>
      </c>
      <c r="K57" s="234">
        <f>+'PG&amp;E Corp.  '!K63</f>
        <v>0</v>
      </c>
      <c r="L57" s="234">
        <f>+'PG&amp;E Corp.  '!L63</f>
        <v>0</v>
      </c>
      <c r="M57" s="234">
        <v>-18574001</v>
      </c>
      <c r="N57" s="362">
        <v>0</v>
      </c>
      <c r="O57" s="362">
        <v>0</v>
      </c>
      <c r="P57" s="362">
        <f>SUM(N57:O57)</f>
        <v>0</v>
      </c>
      <c r="Q57" s="226">
        <f>+'PG&amp;E Corp.  '!Q63</f>
        <v>6357698</v>
      </c>
      <c r="R57" s="234">
        <f>+'PG&amp;E Corp.  '!R63</f>
        <v>0</v>
      </c>
      <c r="S57" s="254">
        <f>+Q57</f>
        <v>6357698</v>
      </c>
      <c r="T57" s="243"/>
      <c r="U57" s="29"/>
      <c r="V57" s="29">
        <f>+V52-V56</f>
        <v>-3035827.7</v>
      </c>
    </row>
    <row r="58" spans="1:27" ht="16.2" hidden="1" thickBot="1" x14ac:dyDescent="0.35">
      <c r="A58" s="173"/>
      <c r="B58" s="169"/>
      <c r="C58" s="169"/>
      <c r="D58" s="94"/>
      <c r="E58" s="155"/>
      <c r="F58" s="265"/>
      <c r="G58" s="265"/>
      <c r="H58" s="265"/>
      <c r="I58" s="265"/>
      <c r="J58" s="265"/>
      <c r="K58" s="265"/>
      <c r="L58" s="94"/>
      <c r="M58" s="265"/>
      <c r="N58" s="376"/>
      <c r="O58" s="376"/>
      <c r="P58" s="376"/>
      <c r="Q58" s="155">
        <f>SUM(Q57:Q57)</f>
        <v>6357698</v>
      </c>
      <c r="R58" s="86">
        <f>SUM(R57:R57)</f>
        <v>0</v>
      </c>
      <c r="S58" s="172"/>
      <c r="T58" s="175"/>
      <c r="U58" s="27"/>
      <c r="V58" s="27"/>
    </row>
    <row r="59" spans="1:27" ht="16.8" hidden="1" thickTop="1" thickBot="1" x14ac:dyDescent="0.35">
      <c r="A59" s="178"/>
      <c r="B59" s="172"/>
      <c r="C59" s="172"/>
      <c r="D59" s="168"/>
      <c r="E59" s="86"/>
      <c r="F59" s="267">
        <v>0</v>
      </c>
      <c r="G59" s="267">
        <v>0</v>
      </c>
      <c r="H59" s="267">
        <v>0</v>
      </c>
      <c r="I59" s="267"/>
      <c r="J59" s="267"/>
      <c r="K59" s="267"/>
      <c r="L59" s="168"/>
      <c r="M59" s="267"/>
      <c r="N59" s="363"/>
      <c r="O59" s="363"/>
      <c r="P59" s="363"/>
      <c r="Q59" s="172"/>
      <c r="R59" s="172"/>
      <c r="S59" s="156">
        <f>+Q58</f>
        <v>6357698</v>
      </c>
      <c r="T59" s="175"/>
      <c r="U59" s="27" t="s">
        <v>138</v>
      </c>
      <c r="V59" s="27"/>
    </row>
    <row r="60" spans="1:27" ht="16.8" hidden="1" thickTop="1" thickBot="1" x14ac:dyDescent="0.35">
      <c r="A60" s="178"/>
      <c r="B60" s="172"/>
      <c r="C60" s="172"/>
      <c r="D60" s="168"/>
      <c r="E60" s="86"/>
      <c r="F60" s="267"/>
      <c r="G60" s="267"/>
      <c r="H60" s="267"/>
      <c r="I60" s="267"/>
      <c r="J60" s="267"/>
      <c r="K60" s="267"/>
      <c r="L60" s="168"/>
      <c r="M60" s="267"/>
      <c r="N60" s="363"/>
      <c r="O60" s="363"/>
      <c r="P60" s="363"/>
      <c r="Q60" s="172"/>
      <c r="R60" s="172"/>
      <c r="S60" s="67"/>
      <c r="T60" s="175"/>
      <c r="U60" s="27"/>
      <c r="V60" s="27"/>
    </row>
    <row r="61" spans="1:27" s="24" customFormat="1" ht="18.75" hidden="1" customHeight="1" x14ac:dyDescent="0.3">
      <c r="A61" s="297" t="s">
        <v>142</v>
      </c>
      <c r="B61" s="298" t="s">
        <v>78</v>
      </c>
      <c r="C61" s="184" t="s">
        <v>122</v>
      </c>
      <c r="D61" s="288">
        <v>0</v>
      </c>
      <c r="E61" s="288">
        <v>0</v>
      </c>
      <c r="F61" s="440">
        <v>0</v>
      </c>
      <c r="G61" s="440">
        <v>0</v>
      </c>
      <c r="H61" s="438">
        <f>SUM(F61:G61)</f>
        <v>0</v>
      </c>
      <c r="I61" s="440">
        <v>0</v>
      </c>
      <c r="J61" s="440">
        <v>0</v>
      </c>
      <c r="K61" s="438">
        <f>SUM(I61:J61)</f>
        <v>0</v>
      </c>
      <c r="L61" s="185">
        <f>+K61+H61</f>
        <v>0</v>
      </c>
      <c r="M61" s="288"/>
      <c r="N61" s="385">
        <v>0</v>
      </c>
      <c r="O61" s="385">
        <v>0</v>
      </c>
      <c r="P61" s="382">
        <f>SUM(N61:O61)</f>
        <v>0</v>
      </c>
      <c r="Q61" s="288">
        <f>+L61</f>
        <v>0</v>
      </c>
      <c r="R61" s="299">
        <v>0</v>
      </c>
      <c r="S61" s="300"/>
      <c r="T61" s="196" t="s">
        <v>110</v>
      </c>
      <c r="U61" s="23"/>
      <c r="V61" s="23"/>
    </row>
    <row r="62" spans="1:27" s="24" customFormat="1" ht="16.2" hidden="1" thickBot="1" x14ac:dyDescent="0.35">
      <c r="A62" s="301"/>
      <c r="B62" s="302"/>
      <c r="C62" s="303" t="s">
        <v>122</v>
      </c>
      <c r="D62" s="304"/>
      <c r="E62" s="304"/>
      <c r="F62" s="353"/>
      <c r="G62" s="353"/>
      <c r="H62" s="353"/>
      <c r="I62" s="353"/>
      <c r="J62" s="353"/>
      <c r="K62" s="353"/>
      <c r="L62" s="158"/>
      <c r="M62" s="161"/>
      <c r="N62" s="363"/>
      <c r="O62" s="363"/>
      <c r="P62" s="363"/>
      <c r="Q62" s="161"/>
      <c r="R62" s="304"/>
      <c r="S62" s="302"/>
      <c r="T62" s="305"/>
      <c r="U62" s="23"/>
      <c r="V62" s="23"/>
    </row>
    <row r="63" spans="1:27" ht="16.2" thickBot="1" x14ac:dyDescent="0.35">
      <c r="A63" s="174"/>
      <c r="B63" s="172"/>
      <c r="C63" s="172"/>
      <c r="D63" s="168"/>
      <c r="E63" s="86"/>
      <c r="F63" s="267"/>
      <c r="G63" s="267"/>
      <c r="H63" s="267"/>
      <c r="I63" s="267"/>
      <c r="J63" s="267"/>
      <c r="K63" s="267"/>
      <c r="L63" s="235"/>
      <c r="M63" s="353"/>
      <c r="N63" s="386"/>
      <c r="O63" s="386"/>
      <c r="P63" s="386"/>
      <c r="Q63" s="183"/>
      <c r="R63" s="86"/>
      <c r="S63" s="272"/>
      <c r="T63" s="175"/>
      <c r="U63" s="27"/>
      <c r="V63" s="27"/>
    </row>
    <row r="64" spans="1:27" s="318" customFormat="1" x14ac:dyDescent="0.25">
      <c r="A64" s="321"/>
      <c r="B64" s="322"/>
      <c r="C64" s="322"/>
      <c r="D64" s="323"/>
      <c r="E64" s="323"/>
      <c r="F64" s="440"/>
      <c r="G64" s="440"/>
      <c r="H64" s="440"/>
      <c r="I64" s="440"/>
      <c r="J64" s="440"/>
      <c r="K64" s="440"/>
      <c r="L64" s="315"/>
      <c r="M64" s="315"/>
      <c r="N64" s="363"/>
      <c r="O64" s="363"/>
      <c r="P64" s="363"/>
      <c r="Q64" s="315"/>
      <c r="R64" s="323"/>
      <c r="S64" s="315"/>
      <c r="T64" s="324"/>
      <c r="U64" s="319"/>
      <c r="V64" s="319"/>
    </row>
    <row r="65" spans="1:22" s="318" customFormat="1" ht="15.6" hidden="1" x14ac:dyDescent="0.3">
      <c r="A65" s="325"/>
      <c r="B65" s="326"/>
      <c r="C65" s="326"/>
      <c r="D65" s="315"/>
      <c r="E65" s="315"/>
      <c r="F65" s="267"/>
      <c r="G65" s="267"/>
      <c r="H65" s="267"/>
      <c r="I65" s="267"/>
      <c r="J65" s="267"/>
      <c r="K65" s="267"/>
      <c r="L65" s="315"/>
      <c r="M65" s="315"/>
      <c r="N65" s="363"/>
      <c r="O65" s="363"/>
      <c r="P65" s="363"/>
      <c r="Q65" s="327">
        <f>+Q15+Q48+Q58</f>
        <v>551645804.47159266</v>
      </c>
      <c r="R65" s="327">
        <f>+R15+R48+R58</f>
        <v>-264696487</v>
      </c>
      <c r="S65" s="315"/>
      <c r="T65" s="317"/>
      <c r="V65" s="319"/>
    </row>
    <row r="66" spans="1:22" s="318" customFormat="1" ht="15.6" x14ac:dyDescent="0.3">
      <c r="A66" s="312" t="s">
        <v>220</v>
      </c>
      <c r="B66" s="326"/>
      <c r="C66" s="326"/>
      <c r="D66" s="315"/>
      <c r="E66" s="315"/>
      <c r="F66" s="267"/>
      <c r="G66" s="267"/>
      <c r="H66" s="267"/>
      <c r="I66" s="267"/>
      <c r="J66" s="267"/>
      <c r="K66" s="267"/>
      <c r="L66" s="315"/>
      <c r="M66" s="315"/>
      <c r="N66" s="363"/>
      <c r="O66" s="363"/>
      <c r="P66" s="363"/>
      <c r="Q66" s="326"/>
      <c r="R66" s="326"/>
      <c r="S66" s="316">
        <f>IF(S55&lt;0, 0,S55)</f>
        <v>0</v>
      </c>
      <c r="T66" s="317"/>
      <c r="U66" s="319"/>
      <c r="V66" s="319"/>
    </row>
    <row r="67" spans="1:22" s="318" customFormat="1" ht="16.2" thickBot="1" x14ac:dyDescent="0.35">
      <c r="A67" s="312" t="s">
        <v>219</v>
      </c>
      <c r="B67" s="326"/>
      <c r="C67" s="326"/>
      <c r="D67" s="315"/>
      <c r="E67" s="315"/>
      <c r="F67" s="267"/>
      <c r="G67" s="267"/>
      <c r="H67" s="267"/>
      <c r="I67" s="267"/>
      <c r="J67" s="267"/>
      <c r="K67" s="267"/>
      <c r="L67" s="315"/>
      <c r="M67" s="315"/>
      <c r="N67" s="363"/>
      <c r="O67" s="363"/>
      <c r="P67" s="363"/>
      <c r="Q67" s="326"/>
      <c r="R67" s="326"/>
      <c r="S67" s="429">
        <f>+S57</f>
        <v>6357698</v>
      </c>
      <c r="T67" s="317"/>
      <c r="U67" s="319"/>
      <c r="V67" s="319"/>
    </row>
    <row r="68" spans="1:22" s="318" customFormat="1" ht="16.2" thickTop="1" thickBot="1" x14ac:dyDescent="0.3">
      <c r="A68" s="328"/>
      <c r="B68" s="329"/>
      <c r="C68" s="329"/>
      <c r="D68" s="330"/>
      <c r="E68" s="330"/>
      <c r="F68" s="353"/>
      <c r="G68" s="353"/>
      <c r="H68" s="353"/>
      <c r="I68" s="353"/>
      <c r="J68" s="353"/>
      <c r="K68" s="353"/>
      <c r="L68" s="330"/>
      <c r="M68" s="330"/>
      <c r="N68" s="386"/>
      <c r="O68" s="386"/>
      <c r="P68" s="386"/>
      <c r="Q68" s="330"/>
      <c r="R68" s="330"/>
      <c r="S68" s="330"/>
      <c r="T68" s="331"/>
      <c r="U68" s="319"/>
      <c r="V68" s="319"/>
    </row>
    <row r="69" spans="1:22" ht="15.6" x14ac:dyDescent="0.3">
      <c r="D69" s="89"/>
      <c r="E69" s="27"/>
      <c r="F69" s="268"/>
      <c r="G69" s="268"/>
      <c r="H69" s="268"/>
      <c r="I69" s="268"/>
      <c r="J69" s="268"/>
      <c r="K69" s="268"/>
      <c r="L69" s="38"/>
      <c r="M69" s="268"/>
      <c r="N69" s="365"/>
      <c r="O69" s="365"/>
      <c r="P69" s="365"/>
      <c r="Q69" s="27"/>
      <c r="R69" s="27"/>
      <c r="S69" s="27"/>
      <c r="T69" s="27"/>
      <c r="U69" s="27"/>
      <c r="V69" s="27"/>
    </row>
    <row r="70" spans="1:22" x14ac:dyDescent="0.25">
      <c r="A70" s="92"/>
      <c r="B70" s="92"/>
      <c r="C70" s="92"/>
      <c r="D70" s="89"/>
      <c r="E70" s="27"/>
      <c r="F70" s="268"/>
      <c r="G70" s="268"/>
      <c r="H70" s="268"/>
      <c r="I70" s="268"/>
      <c r="J70" s="268"/>
      <c r="K70" s="268"/>
      <c r="L70" s="27"/>
      <c r="M70" s="268"/>
      <c r="N70" s="365"/>
      <c r="O70" s="365"/>
      <c r="P70" s="365"/>
      <c r="Q70" s="27"/>
      <c r="R70" s="27"/>
      <c r="S70" s="27"/>
      <c r="T70" s="27"/>
      <c r="U70" s="27"/>
      <c r="V70" s="27"/>
    </row>
    <row r="71" spans="1:22" x14ac:dyDescent="0.25">
      <c r="A71" s="92"/>
      <c r="B71" s="92"/>
      <c r="C71" s="92"/>
      <c r="D71" s="89"/>
      <c r="E71" s="27"/>
      <c r="F71" s="268"/>
      <c r="G71" s="268"/>
      <c r="H71" s="268"/>
      <c r="I71" s="268"/>
      <c r="J71" s="268"/>
      <c r="K71" s="268"/>
      <c r="L71" s="27"/>
      <c r="M71" s="268"/>
      <c r="N71" s="365"/>
      <c r="O71" s="365"/>
      <c r="P71" s="365"/>
      <c r="Q71" s="27"/>
      <c r="R71" s="27"/>
      <c r="S71" s="27"/>
      <c r="T71" s="27"/>
      <c r="U71" s="27"/>
      <c r="V71" s="27"/>
    </row>
    <row r="72" spans="1:22" x14ac:dyDescent="0.25">
      <c r="A72" s="92"/>
      <c r="B72" s="92"/>
      <c r="C72" s="92"/>
      <c r="D72" s="89"/>
      <c r="E72" s="27"/>
      <c r="F72" s="268"/>
      <c r="G72" s="268"/>
      <c r="H72" s="268"/>
      <c r="I72" s="268"/>
      <c r="J72" s="268"/>
      <c r="K72" s="268"/>
      <c r="L72" s="27"/>
      <c r="M72" s="268"/>
      <c r="N72" s="365"/>
      <c r="O72" s="365"/>
      <c r="P72" s="365"/>
      <c r="Q72" s="27"/>
      <c r="R72" s="27"/>
      <c r="S72" s="27"/>
      <c r="T72" s="27"/>
      <c r="U72" s="27"/>
      <c r="V72" s="27"/>
    </row>
    <row r="73" spans="1:22" x14ac:dyDescent="0.25">
      <c r="A73" s="92"/>
      <c r="B73" s="92"/>
      <c r="C73" s="92"/>
      <c r="F73" s="268"/>
      <c r="G73" s="268"/>
      <c r="H73" s="268"/>
      <c r="I73" s="268"/>
      <c r="J73" s="268"/>
      <c r="K73" s="268"/>
      <c r="L73" s="27"/>
      <c r="M73" s="268"/>
      <c r="N73" s="365"/>
      <c r="O73" s="365"/>
      <c r="P73" s="365"/>
      <c r="Q73" s="27"/>
      <c r="R73" s="27"/>
      <c r="S73" s="27"/>
      <c r="T73" s="27"/>
      <c r="U73" s="27"/>
      <c r="V73" s="27"/>
    </row>
    <row r="74" spans="1:22" s="92" customFormat="1" ht="18" thickBot="1" x14ac:dyDescent="0.35">
      <c r="A74" s="225"/>
      <c r="D74" s="89"/>
      <c r="E74" s="89"/>
      <c r="F74" s="268"/>
      <c r="G74" s="268"/>
      <c r="H74" s="268"/>
      <c r="I74" s="268"/>
      <c r="J74" s="268"/>
      <c r="K74" s="268"/>
      <c r="L74" s="89"/>
      <c r="M74" s="268"/>
      <c r="N74" s="365"/>
      <c r="O74" s="365"/>
      <c r="P74" s="365"/>
      <c r="Q74" s="89"/>
      <c r="R74" s="89"/>
      <c r="S74" s="89"/>
      <c r="T74" s="89"/>
      <c r="U74" s="89"/>
      <c r="V74" s="89"/>
    </row>
    <row r="75" spans="1:22" ht="15.6" x14ac:dyDescent="0.3">
      <c r="D75" s="396">
        <f>+D57+SUM(D28:D45)+D26+D25+SUM(D8:D14)</f>
        <v>61523344</v>
      </c>
      <c r="E75" s="396">
        <f>+E57+SUM(E28:E45)+E26+E25+SUM(E8:E14)+E24</f>
        <v>-258648687</v>
      </c>
      <c r="F75" s="268"/>
      <c r="G75" s="268"/>
      <c r="H75" s="268"/>
      <c r="I75" s="268"/>
      <c r="J75" s="268"/>
      <c r="K75" s="268"/>
      <c r="L75" s="10" t="s">
        <v>103</v>
      </c>
      <c r="M75" s="268"/>
      <c r="N75" s="365"/>
      <c r="O75" s="365"/>
      <c r="P75" s="365"/>
      <c r="Q75" s="130">
        <f>+Q65-Q31-Q12-Q11-Q46-Q14</f>
        <v>162095390.88159266</v>
      </c>
      <c r="R75" s="130">
        <f>+R65-R31-R12-R11-R46-R14</f>
        <v>-262063628</v>
      </c>
      <c r="S75" s="27"/>
      <c r="T75" s="27"/>
      <c r="U75" s="27"/>
      <c r="V75" s="27"/>
    </row>
    <row r="76" spans="1:22" x14ac:dyDescent="0.25">
      <c r="D76" s="89"/>
      <c r="E76" s="27"/>
      <c r="F76" s="268"/>
      <c r="G76" s="268"/>
      <c r="H76" s="268"/>
      <c r="I76" s="268"/>
      <c r="J76" s="268"/>
      <c r="K76" s="268"/>
      <c r="L76" s="27"/>
      <c r="M76" s="268"/>
      <c r="N76" s="365"/>
      <c r="O76" s="365"/>
      <c r="P76" s="365"/>
      <c r="Q76" s="130"/>
      <c r="R76" s="130"/>
      <c r="S76" s="27"/>
      <c r="T76" s="27"/>
      <c r="U76" s="27"/>
      <c r="V76" s="27"/>
    </row>
    <row r="77" spans="1:22" x14ac:dyDescent="0.25">
      <c r="D77" s="89"/>
      <c r="E77" s="27"/>
      <c r="F77" s="268"/>
      <c r="G77" s="268"/>
      <c r="H77" s="268"/>
      <c r="I77" s="268"/>
      <c r="J77" s="268"/>
      <c r="K77" s="268"/>
      <c r="L77" s="27"/>
      <c r="M77" s="268"/>
      <c r="N77" s="365"/>
      <c r="O77" s="365"/>
      <c r="P77" s="365"/>
      <c r="Q77" s="27"/>
      <c r="R77" s="27"/>
      <c r="S77" s="27"/>
      <c r="T77" s="27"/>
      <c r="U77" s="27"/>
      <c r="V77" s="27"/>
    </row>
    <row r="78" spans="1:22" x14ac:dyDescent="0.25">
      <c r="D78" s="89"/>
      <c r="E78" s="27"/>
      <c r="F78" s="268"/>
      <c r="G78" s="268"/>
      <c r="H78" s="268"/>
      <c r="I78" s="268"/>
      <c r="J78" s="268"/>
      <c r="K78" s="268"/>
      <c r="L78" s="27"/>
      <c r="M78" s="268"/>
      <c r="N78" s="365"/>
      <c r="O78" s="365"/>
      <c r="P78" s="365"/>
      <c r="Q78" s="27"/>
      <c r="R78" s="27"/>
      <c r="S78" s="27"/>
      <c r="T78" s="27"/>
      <c r="U78" s="27"/>
      <c r="V78" s="27"/>
    </row>
    <row r="79" spans="1:22" x14ac:dyDescent="0.25">
      <c r="D79" s="89"/>
      <c r="E79" s="27"/>
      <c r="F79" s="268"/>
      <c r="G79" s="268"/>
      <c r="H79" s="268"/>
      <c r="I79" s="268"/>
      <c r="J79" s="268"/>
      <c r="K79" s="268"/>
      <c r="L79" s="27"/>
      <c r="M79" s="268"/>
      <c r="N79" s="365"/>
      <c r="O79" s="365"/>
      <c r="P79" s="365"/>
      <c r="Q79" s="27"/>
      <c r="R79" s="27"/>
      <c r="S79" s="27"/>
      <c r="T79" s="27"/>
      <c r="U79" s="27"/>
      <c r="V79" s="27"/>
    </row>
    <row r="80" spans="1:22" x14ac:dyDescent="0.25">
      <c r="D80" s="89"/>
      <c r="E80" s="27"/>
      <c r="F80" s="268"/>
      <c r="G80" s="268"/>
      <c r="H80" s="268"/>
      <c r="I80" s="268"/>
      <c r="J80" s="268"/>
      <c r="K80" s="268"/>
      <c r="L80" s="27"/>
      <c r="M80" s="268"/>
      <c r="N80" s="365"/>
      <c r="O80" s="365"/>
      <c r="P80" s="365"/>
      <c r="Q80" s="27"/>
      <c r="R80" s="27"/>
      <c r="S80" s="27"/>
      <c r="T80" s="27"/>
      <c r="U80" s="27"/>
      <c r="V80" s="27"/>
    </row>
    <row r="81" spans="2:22" ht="15.6" x14ac:dyDescent="0.3">
      <c r="B81" s="10" t="s">
        <v>187</v>
      </c>
      <c r="D81" s="130"/>
      <c r="E81" s="130"/>
      <c r="F81" s="267"/>
      <c r="G81" s="268"/>
      <c r="H81" s="268"/>
      <c r="I81" s="268"/>
      <c r="J81" s="268"/>
      <c r="K81" s="268"/>
      <c r="L81" s="27"/>
      <c r="M81" s="268"/>
      <c r="N81" s="365"/>
      <c r="O81" s="365"/>
      <c r="P81" s="365"/>
      <c r="Q81" s="27"/>
      <c r="R81" s="27"/>
      <c r="S81" s="27"/>
      <c r="T81" s="27"/>
      <c r="U81" s="27"/>
      <c r="V81" s="27"/>
    </row>
    <row r="82" spans="2:22" ht="15.6" x14ac:dyDescent="0.3">
      <c r="B82" s="97" t="s">
        <v>154</v>
      </c>
      <c r="D82" s="130">
        <f>SUM(D17:D47)-D31-D27</f>
        <v>-468942</v>
      </c>
      <c r="E82" s="130">
        <f>SUM(E17:E47)-E31-E27</f>
        <v>-69266271</v>
      </c>
      <c r="F82" s="268"/>
      <c r="G82" s="268"/>
      <c r="H82" s="268"/>
      <c r="I82" s="268"/>
      <c r="J82" s="268"/>
      <c r="K82" s="268"/>
      <c r="L82" s="27"/>
      <c r="M82" s="268"/>
      <c r="N82" s="365"/>
      <c r="O82" s="365"/>
      <c r="P82" s="365"/>
      <c r="Q82" s="27"/>
      <c r="R82" s="27"/>
      <c r="S82" s="27"/>
      <c r="T82" s="27"/>
      <c r="U82" s="27"/>
      <c r="V82" s="27"/>
    </row>
    <row r="83" spans="2:22" x14ac:dyDescent="0.25">
      <c r="D83" s="89"/>
      <c r="E83" s="27"/>
      <c r="F83" s="268"/>
      <c r="G83" s="268"/>
      <c r="H83" s="268"/>
      <c r="I83" s="268"/>
      <c r="J83" s="268"/>
      <c r="K83" s="268"/>
      <c r="L83" s="27"/>
      <c r="M83" s="268"/>
      <c r="N83" s="365"/>
      <c r="O83" s="365"/>
      <c r="P83" s="365"/>
      <c r="Q83" s="27"/>
      <c r="R83" s="27"/>
      <c r="S83" s="27"/>
      <c r="T83" s="27"/>
      <c r="U83" s="27"/>
      <c r="V83" s="27"/>
    </row>
    <row r="84" spans="2:22" x14ac:dyDescent="0.25">
      <c r="D84" s="89"/>
      <c r="E84" s="27"/>
      <c r="F84" s="268"/>
      <c r="G84" s="268"/>
      <c r="H84" s="268"/>
      <c r="I84" s="268"/>
      <c r="J84" s="268"/>
      <c r="K84" s="268"/>
      <c r="L84" s="27"/>
      <c r="M84" s="268"/>
      <c r="N84" s="365"/>
      <c r="O84" s="365"/>
      <c r="P84" s="365"/>
      <c r="Q84" s="27"/>
      <c r="R84" s="27"/>
      <c r="S84" s="27"/>
      <c r="T84" s="27"/>
      <c r="U84" s="27"/>
      <c r="V84" s="27"/>
    </row>
    <row r="85" spans="2:22" x14ac:dyDescent="0.25">
      <c r="D85" s="89"/>
      <c r="E85" s="27"/>
      <c r="F85" s="268"/>
      <c r="G85" s="268"/>
      <c r="H85" s="268"/>
      <c r="I85" s="268"/>
      <c r="J85" s="268"/>
      <c r="K85" s="268"/>
      <c r="L85" s="27"/>
      <c r="M85" s="268"/>
      <c r="N85" s="365"/>
      <c r="O85" s="365"/>
      <c r="P85" s="365"/>
      <c r="Q85" s="27"/>
      <c r="R85" s="27"/>
      <c r="S85" s="27"/>
      <c r="T85" s="27"/>
      <c r="U85" s="27"/>
      <c r="V85" s="27"/>
    </row>
    <row r="86" spans="2:22" x14ac:dyDescent="0.25">
      <c r="D86" s="89"/>
      <c r="E86" s="27"/>
      <c r="F86" s="268"/>
      <c r="G86" s="268"/>
      <c r="H86" s="268"/>
      <c r="I86" s="268"/>
      <c r="J86" s="268"/>
      <c r="K86" s="268"/>
      <c r="L86" s="27"/>
      <c r="M86" s="268"/>
      <c r="N86" s="365"/>
      <c r="O86" s="365"/>
      <c r="P86" s="365"/>
      <c r="Q86" s="27"/>
      <c r="R86" s="27"/>
      <c r="S86" s="27"/>
      <c r="T86" s="27"/>
      <c r="U86" s="27"/>
      <c r="V86" s="27"/>
    </row>
    <row r="87" spans="2:22" x14ac:dyDescent="0.25">
      <c r="D87" s="89"/>
      <c r="E87" s="27"/>
      <c r="F87" s="268"/>
      <c r="G87" s="268"/>
      <c r="H87" s="268"/>
      <c r="I87" s="268"/>
      <c r="J87" s="268"/>
      <c r="K87" s="268"/>
      <c r="L87" s="27"/>
      <c r="M87" s="268"/>
      <c r="N87" s="365"/>
      <c r="O87" s="365"/>
      <c r="P87" s="365"/>
      <c r="Q87" s="27"/>
      <c r="R87" s="27"/>
      <c r="S87" s="27"/>
      <c r="T87" s="27"/>
      <c r="U87" s="27"/>
      <c r="V87" s="27"/>
    </row>
    <row r="88" spans="2:22" x14ac:dyDescent="0.25">
      <c r="D88" s="89"/>
      <c r="E88" s="27"/>
      <c r="F88" s="268"/>
      <c r="G88" s="268"/>
      <c r="H88" s="268"/>
      <c r="I88" s="268"/>
      <c r="J88" s="268"/>
      <c r="K88" s="268"/>
      <c r="L88" s="27"/>
      <c r="M88" s="268"/>
      <c r="N88" s="365"/>
      <c r="O88" s="365"/>
      <c r="P88" s="365"/>
      <c r="Q88" s="27"/>
      <c r="R88" s="27"/>
      <c r="S88" s="27"/>
      <c r="T88" s="27"/>
      <c r="U88" s="27"/>
      <c r="V88" s="27"/>
    </row>
    <row r="89" spans="2:22" x14ac:dyDescent="0.25">
      <c r="D89" s="89"/>
      <c r="E89" s="27"/>
      <c r="F89" s="268"/>
      <c r="G89" s="268"/>
      <c r="H89" s="268"/>
      <c r="I89" s="268"/>
      <c r="J89" s="268"/>
      <c r="K89" s="268"/>
      <c r="L89" s="27"/>
      <c r="M89" s="268"/>
      <c r="N89" s="365"/>
      <c r="O89" s="365"/>
      <c r="P89" s="365"/>
      <c r="Q89" s="27"/>
      <c r="R89" s="27"/>
      <c r="S89" s="27"/>
      <c r="T89" s="27"/>
      <c r="U89" s="27"/>
      <c r="V89" s="27"/>
    </row>
    <row r="90" spans="2:22" x14ac:dyDescent="0.25">
      <c r="D90" s="89"/>
      <c r="E90" s="27"/>
      <c r="F90" s="268"/>
      <c r="G90" s="268"/>
      <c r="H90" s="268"/>
      <c r="I90" s="268"/>
      <c r="J90" s="268"/>
      <c r="K90" s="268"/>
      <c r="L90" s="27"/>
      <c r="M90" s="268"/>
      <c r="N90" s="365"/>
      <c r="O90" s="365"/>
      <c r="P90" s="365"/>
      <c r="Q90" s="27"/>
      <c r="R90" s="27"/>
      <c r="S90" s="27"/>
      <c r="T90" s="27"/>
      <c r="U90" s="27"/>
      <c r="V90" s="27"/>
    </row>
    <row r="91" spans="2:22" ht="15.6" x14ac:dyDescent="0.3">
      <c r="D91" s="398" t="s">
        <v>164</v>
      </c>
      <c r="E91" s="52" t="s">
        <v>165</v>
      </c>
      <c r="F91" s="399"/>
      <c r="G91" s="399"/>
      <c r="H91" s="399"/>
      <c r="I91" s="399"/>
      <c r="J91" s="399"/>
      <c r="K91" s="399"/>
      <c r="L91" s="52" t="s">
        <v>166</v>
      </c>
      <c r="M91" s="399"/>
      <c r="N91" s="400"/>
      <c r="O91" s="400"/>
      <c r="P91" s="400"/>
      <c r="Q91" s="52" t="s">
        <v>167</v>
      </c>
      <c r="R91" s="27"/>
      <c r="S91" s="27"/>
      <c r="T91" s="27"/>
      <c r="U91" s="27"/>
      <c r="V91" s="27"/>
    </row>
    <row r="92" spans="2:22" x14ac:dyDescent="0.25">
      <c r="D92" s="89"/>
      <c r="E92" s="27"/>
      <c r="F92" s="268"/>
      <c r="G92" s="268"/>
      <c r="H92" s="268"/>
      <c r="I92" s="268"/>
      <c r="J92" s="268"/>
      <c r="K92" s="268"/>
      <c r="L92" s="27"/>
      <c r="M92" s="268"/>
      <c r="N92" s="365"/>
      <c r="O92" s="365"/>
      <c r="P92" s="365"/>
      <c r="Q92" s="27"/>
      <c r="R92" s="27"/>
      <c r="S92" s="27"/>
      <c r="T92" s="27"/>
      <c r="U92" s="27"/>
      <c r="V92" s="27"/>
    </row>
    <row r="93" spans="2:22" ht="15.6" x14ac:dyDescent="0.3">
      <c r="B93" s="34" t="s">
        <v>122</v>
      </c>
      <c r="D93" s="130">
        <f>+D44+D43+D38+D37+D26+D25+D18</f>
        <v>-3777591</v>
      </c>
      <c r="E93" s="130">
        <f>+E44+E43+E38+E37+E26+E25+E18</f>
        <v>-8995199</v>
      </c>
      <c r="F93" s="268"/>
      <c r="G93" s="268"/>
      <c r="H93" s="268"/>
      <c r="I93" s="268"/>
      <c r="J93" s="268"/>
      <c r="K93" s="268"/>
      <c r="L93" s="130">
        <f>+L44+L43+L38+L37+L26+L25+L18</f>
        <v>-391050</v>
      </c>
      <c r="M93" s="130"/>
      <c r="N93" s="130"/>
      <c r="O93" s="130"/>
      <c r="P93" s="130"/>
      <c r="Q93" s="130"/>
      <c r="R93" s="27"/>
      <c r="S93" s="27"/>
      <c r="T93" s="27"/>
      <c r="U93" s="27"/>
      <c r="V93" s="27"/>
    </row>
    <row r="94" spans="2:22" ht="15.6" x14ac:dyDescent="0.3">
      <c r="B94" s="34" t="s">
        <v>163</v>
      </c>
      <c r="D94" s="130">
        <f>+D46+D28+D27+D20+D19</f>
        <v>1218424</v>
      </c>
      <c r="E94" s="130">
        <f>+E46+E28+E27+E20+E19</f>
        <v>-18718664.118407346</v>
      </c>
      <c r="I94" s="268"/>
      <c r="J94" s="268"/>
      <c r="L94" s="130">
        <f>+L46+L28+L27+L20+L19</f>
        <v>221466</v>
      </c>
      <c r="M94" s="131"/>
      <c r="N94" s="131"/>
      <c r="O94" s="131"/>
      <c r="P94" s="131"/>
      <c r="Q94" s="131"/>
      <c r="R94" s="22">
        <v>66000000</v>
      </c>
    </row>
    <row r="95" spans="2:22" ht="15.6" x14ac:dyDescent="0.3">
      <c r="B95" s="34" t="s">
        <v>162</v>
      </c>
      <c r="D95" s="130">
        <f>+D41+D36+D35+D17</f>
        <v>2090225</v>
      </c>
      <c r="E95" s="130">
        <f>+E41+E42+E36+E35+E17</f>
        <v>-13783687</v>
      </c>
      <c r="I95" s="268"/>
      <c r="J95" s="268"/>
      <c r="L95" s="130">
        <f>+L41+L36+L35+L17</f>
        <v>23311726</v>
      </c>
      <c r="M95" s="131"/>
      <c r="N95" s="131"/>
      <c r="O95" s="131"/>
      <c r="P95" s="131"/>
      <c r="Q95" s="131"/>
    </row>
    <row r="96" spans="2:22" ht="15.6" x14ac:dyDescent="0.3">
      <c r="B96" s="34" t="s">
        <v>168</v>
      </c>
      <c r="D96" s="130">
        <f>+D45</f>
        <v>0</v>
      </c>
      <c r="E96" s="130">
        <f>+E45</f>
        <v>0</v>
      </c>
      <c r="I96" s="268"/>
      <c r="J96" s="268"/>
      <c r="L96" s="130">
        <f>+L45</f>
        <v>-497600</v>
      </c>
      <c r="M96" s="131"/>
      <c r="N96" s="131"/>
      <c r="O96" s="131"/>
      <c r="P96" s="131"/>
      <c r="Q96" s="131"/>
    </row>
    <row r="97" spans="2:256" ht="15.6" x14ac:dyDescent="0.3">
      <c r="B97" s="34" t="s">
        <v>123</v>
      </c>
      <c r="D97" s="401">
        <f>+D24</f>
        <v>0</v>
      </c>
      <c r="E97" s="401">
        <f>+E24</f>
        <v>0</v>
      </c>
      <c r="F97" s="441"/>
      <c r="G97" s="441"/>
      <c r="H97" s="441"/>
      <c r="I97" s="442"/>
      <c r="J97" s="442"/>
      <c r="K97" s="441"/>
      <c r="L97" s="401">
        <f>+L24</f>
        <v>0</v>
      </c>
      <c r="M97" s="131"/>
      <c r="N97" s="131"/>
      <c r="O97" s="131"/>
      <c r="P97" s="131"/>
      <c r="Q97" s="131"/>
    </row>
    <row r="98" spans="2:256" x14ac:dyDescent="0.25">
      <c r="I98" s="268"/>
      <c r="J98" s="268"/>
    </row>
    <row r="99" spans="2:256" ht="16.2" thickBot="1" x14ac:dyDescent="0.35">
      <c r="D99" s="126">
        <f>SUM(D93:D98)</f>
        <v>-468942</v>
      </c>
      <c r="E99" s="126">
        <f>SUM(E93:E98)</f>
        <v>-41497550.118407346</v>
      </c>
      <c r="F99" s="443"/>
      <c r="G99" s="443"/>
      <c r="H99" s="443"/>
      <c r="I99" s="444"/>
      <c r="J99" s="444"/>
      <c r="K99" s="443"/>
      <c r="L99" s="126">
        <f>SUM(L93:L98)</f>
        <v>22644542</v>
      </c>
      <c r="Q99" s="10">
        <f>SUM(D99:L99)</f>
        <v>-19321950.118407346</v>
      </c>
      <c r="IV99" s="89"/>
    </row>
    <row r="100" spans="2:256" ht="15.6" thickTop="1" x14ac:dyDescent="0.25">
      <c r="I100" s="268"/>
      <c r="J100" s="268"/>
    </row>
    <row r="101" spans="2:256" x14ac:dyDescent="0.25">
      <c r="E101" s="130">
        <f>+E99-E27</f>
        <v>-69266271</v>
      </c>
      <c r="I101" s="268"/>
      <c r="J101" s="268"/>
    </row>
    <row r="102" spans="2:256" x14ac:dyDescent="0.25">
      <c r="E102" s="27"/>
      <c r="I102" s="268"/>
      <c r="J102" s="268"/>
    </row>
    <row r="103" spans="2:256" x14ac:dyDescent="0.25">
      <c r="I103" s="268"/>
      <c r="J103" s="268"/>
    </row>
    <row r="104" spans="2:256" x14ac:dyDescent="0.25">
      <c r="I104" s="268"/>
      <c r="J104" s="268"/>
    </row>
    <row r="105" spans="2:256" x14ac:dyDescent="0.25">
      <c r="I105" s="268"/>
      <c r="J105" s="268"/>
    </row>
    <row r="106" spans="2:256" x14ac:dyDescent="0.25">
      <c r="I106" s="268"/>
      <c r="J106" s="268"/>
    </row>
    <row r="107" spans="2:256" x14ac:dyDescent="0.25">
      <c r="I107" s="268"/>
      <c r="J107" s="268"/>
    </row>
    <row r="108" spans="2:256" x14ac:dyDescent="0.25">
      <c r="I108" s="268"/>
      <c r="J108" s="268"/>
    </row>
    <row r="109" spans="2:256" x14ac:dyDescent="0.25">
      <c r="I109" s="268"/>
      <c r="J109" s="268"/>
    </row>
    <row r="110" spans="2:256" x14ac:dyDescent="0.25">
      <c r="I110" s="268"/>
      <c r="J110" s="268"/>
    </row>
    <row r="111" spans="2:256" x14ac:dyDescent="0.25">
      <c r="I111" s="268"/>
      <c r="J111" s="268"/>
    </row>
    <row r="112" spans="2:256" x14ac:dyDescent="0.25">
      <c r="I112" s="268"/>
      <c r="J112" s="268"/>
    </row>
    <row r="113" spans="9:10" x14ac:dyDescent="0.25">
      <c r="I113" s="268"/>
      <c r="J113" s="268"/>
    </row>
    <row r="114" spans="9:10" x14ac:dyDescent="0.25">
      <c r="I114" s="268"/>
      <c r="J114" s="268"/>
    </row>
    <row r="115" spans="9:10" x14ac:dyDescent="0.25">
      <c r="I115" s="268"/>
      <c r="J115" s="268"/>
    </row>
    <row r="116" spans="9:10" x14ac:dyDescent="0.25">
      <c r="I116" s="268"/>
      <c r="J116" s="268"/>
    </row>
    <row r="117" spans="9:10" x14ac:dyDescent="0.25">
      <c r="I117" s="268"/>
      <c r="J117" s="268"/>
    </row>
    <row r="118" spans="9:10" x14ac:dyDescent="0.25">
      <c r="I118" s="268"/>
      <c r="J118" s="268"/>
    </row>
    <row r="119" spans="9:10" x14ac:dyDescent="0.25">
      <c r="I119" s="268"/>
      <c r="J119" s="268"/>
    </row>
    <row r="120" spans="9:10" x14ac:dyDescent="0.25">
      <c r="I120" s="268"/>
      <c r="J120" s="268"/>
    </row>
    <row r="121" spans="9:10" x14ac:dyDescent="0.25">
      <c r="I121" s="268"/>
      <c r="J121" s="268"/>
    </row>
    <row r="122" spans="9:10" x14ac:dyDescent="0.25">
      <c r="I122" s="268"/>
      <c r="J122" s="268"/>
    </row>
    <row r="123" spans="9:10" x14ac:dyDescent="0.25">
      <c r="I123" s="268"/>
      <c r="J123" s="268"/>
    </row>
    <row r="124" spans="9:10" x14ac:dyDescent="0.25">
      <c r="I124" s="268"/>
      <c r="J124" s="268"/>
    </row>
    <row r="125" spans="9:10" x14ac:dyDescent="0.25">
      <c r="I125" s="268"/>
      <c r="J125" s="268"/>
    </row>
    <row r="126" spans="9:10" x14ac:dyDescent="0.25">
      <c r="I126" s="268"/>
      <c r="J126" s="268"/>
    </row>
    <row r="127" spans="9:10" x14ac:dyDescent="0.25">
      <c r="I127" s="268"/>
      <c r="J127" s="268"/>
    </row>
    <row r="128" spans="9:10" x14ac:dyDescent="0.25">
      <c r="I128" s="268"/>
      <c r="J128" s="268"/>
    </row>
    <row r="129" spans="9:10" x14ac:dyDescent="0.25">
      <c r="I129" s="268"/>
      <c r="J129" s="268"/>
    </row>
    <row r="130" spans="9:10" x14ac:dyDescent="0.25">
      <c r="I130" s="268"/>
      <c r="J130" s="268"/>
    </row>
    <row r="131" spans="9:10" x14ac:dyDescent="0.25">
      <c r="I131" s="268"/>
      <c r="J131" s="268"/>
    </row>
    <row r="132" spans="9:10" x14ac:dyDescent="0.25">
      <c r="I132" s="268"/>
      <c r="J132" s="268"/>
    </row>
    <row r="134" spans="9:10" x14ac:dyDescent="0.25">
      <c r="I134" s="268"/>
      <c r="J134" s="268"/>
    </row>
  </sheetData>
  <mergeCells count="3">
    <mergeCell ref="F4:H4"/>
    <mergeCell ref="I4:K4"/>
    <mergeCell ref="N4:P4"/>
  </mergeCells>
  <phoneticPr fontId="0" type="noConversion"/>
  <pageMargins left="0.27" right="0.25" top="0.62" bottom="0.53" header="0.27" footer="0.5"/>
  <pageSetup scale="56" orientation="landscape" r:id="rId1"/>
  <headerFooter alignWithMargins="0">
    <oddHeader>&amp;C&amp;"Arial,Bold"&amp;16HIGHLY CONFIDENTIAL</oddHeader>
    <oddFooter>&amp;L&amp;D&amp;T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95"/>
  <sheetViews>
    <sheetView tabSelected="1" zoomScale="75" workbookViewId="0">
      <pane ySplit="6" topLeftCell="A7" activePane="bottomLeft" state="frozen"/>
      <selection activeCell="E1" sqref="E1:E65536"/>
      <selection pane="bottomLeft" activeCell="D3" sqref="D3"/>
    </sheetView>
  </sheetViews>
  <sheetFormatPr defaultRowHeight="13.2" x14ac:dyDescent="0.25"/>
  <cols>
    <col min="1" max="1" width="42.109375" customWidth="1"/>
    <col min="2" max="2" width="23" bestFit="1" customWidth="1"/>
    <col min="3" max="3" width="14.109375" hidden="1" customWidth="1"/>
    <col min="4" max="4" width="19" bestFit="1" customWidth="1"/>
    <col min="5" max="5" width="19.33203125" customWidth="1"/>
    <col min="6" max="6" width="19.88671875" style="387" hidden="1" customWidth="1"/>
    <col min="7" max="7" width="19.33203125" style="387" hidden="1" customWidth="1"/>
    <col min="8" max="8" width="15.44140625" style="387" hidden="1" customWidth="1"/>
    <col min="9" max="9" width="16.33203125" style="387" hidden="1" customWidth="1"/>
    <col min="10" max="10" width="19" style="387" hidden="1" customWidth="1"/>
    <col min="11" max="11" width="16.33203125" style="387" hidden="1" customWidth="1"/>
    <col min="12" max="12" width="23.5546875" customWidth="1"/>
    <col min="13" max="13" width="16.33203125" style="269" hidden="1" customWidth="1"/>
    <col min="14" max="14" width="17.33203125" style="387" hidden="1" customWidth="1"/>
    <col min="15" max="16" width="16.33203125" style="387" hidden="1" customWidth="1"/>
    <col min="17" max="17" width="16.33203125" customWidth="1"/>
    <col min="18" max="18" width="20.109375" bestFit="1" customWidth="1"/>
    <col min="19" max="19" width="50.109375" customWidth="1"/>
    <col min="20" max="20" width="6" customWidth="1"/>
    <col min="21" max="21" width="22.109375" customWidth="1"/>
    <col min="22" max="22" width="25.5546875" customWidth="1"/>
    <col min="23" max="23" width="15.109375" bestFit="1" customWidth="1"/>
  </cols>
  <sheetData>
    <row r="1" spans="1:22" ht="21" x14ac:dyDescent="0.4">
      <c r="A1" s="17" t="s">
        <v>63</v>
      </c>
    </row>
    <row r="2" spans="1:22" ht="17.399999999999999" x14ac:dyDescent="0.3">
      <c r="A2" s="16" t="s">
        <v>147</v>
      </c>
      <c r="B2" s="15">
        <f>+'PG&amp;E Corp.  '!B2</f>
        <v>37049</v>
      </c>
      <c r="C2" s="15"/>
      <c r="L2" s="52"/>
      <c r="V2" s="223">
        <f>+Q9+Q10</f>
        <v>0</v>
      </c>
    </row>
    <row r="3" spans="1:22" s="1" customFormat="1" ht="15.6" x14ac:dyDescent="0.3">
      <c r="F3" s="534" t="s">
        <v>194</v>
      </c>
      <c r="G3" s="534"/>
      <c r="H3" s="534"/>
      <c r="I3" s="534" t="s">
        <v>235</v>
      </c>
      <c r="J3" s="534"/>
      <c r="K3" s="534"/>
      <c r="L3" s="19" t="s">
        <v>228</v>
      </c>
      <c r="M3" s="270"/>
      <c r="N3" s="533" t="s">
        <v>157</v>
      </c>
      <c r="O3" s="533"/>
      <c r="P3" s="533"/>
      <c r="T3" s="2"/>
      <c r="U3" s="3"/>
    </row>
    <row r="4" spans="1:22" s="19" customFormat="1" ht="15.6" x14ac:dyDescent="0.3">
      <c r="A4" s="18"/>
      <c r="B4" s="18"/>
      <c r="C4" s="18"/>
      <c r="D4" s="18" t="s">
        <v>7</v>
      </c>
      <c r="E4" s="18" t="s">
        <v>8</v>
      </c>
      <c r="F4" s="380" t="s">
        <v>9</v>
      </c>
      <c r="G4" s="380" t="s">
        <v>10</v>
      </c>
      <c r="H4" s="380" t="s">
        <v>143</v>
      </c>
      <c r="I4" s="380" t="s">
        <v>9</v>
      </c>
      <c r="J4" s="380" t="s">
        <v>10</v>
      </c>
      <c r="K4" s="380"/>
      <c r="L4" s="19" t="s">
        <v>140</v>
      </c>
      <c r="M4" s="263" t="s">
        <v>22</v>
      </c>
      <c r="N4" s="380" t="s">
        <v>9</v>
      </c>
      <c r="O4" s="380" t="s">
        <v>10</v>
      </c>
      <c r="P4" s="380" t="s">
        <v>143</v>
      </c>
      <c r="Q4" s="18" t="s">
        <v>11</v>
      </c>
      <c r="R4" s="18" t="s">
        <v>12</v>
      </c>
      <c r="S4" s="52"/>
      <c r="T4" s="18"/>
      <c r="U4" s="35"/>
    </row>
    <row r="5" spans="1:22" s="19" customFormat="1" ht="15.6" x14ac:dyDescent="0.3">
      <c r="A5" s="20" t="s">
        <v>13</v>
      </c>
      <c r="B5" s="20" t="s">
        <v>14</v>
      </c>
      <c r="C5" s="20" t="s">
        <v>126</v>
      </c>
      <c r="D5" s="18" t="s">
        <v>15</v>
      </c>
      <c r="E5" s="18" t="s">
        <v>15</v>
      </c>
      <c r="F5" s="380" t="s">
        <v>16</v>
      </c>
      <c r="G5" s="380" t="s">
        <v>17</v>
      </c>
      <c r="H5" s="380" t="s">
        <v>18</v>
      </c>
      <c r="I5" s="380" t="s">
        <v>16</v>
      </c>
      <c r="J5" s="380" t="s">
        <v>17</v>
      </c>
      <c r="K5" s="380" t="s">
        <v>18</v>
      </c>
      <c r="L5" s="18" t="s">
        <v>18</v>
      </c>
      <c r="M5" s="263" t="s">
        <v>23</v>
      </c>
      <c r="N5" s="380" t="s">
        <v>16</v>
      </c>
      <c r="O5" s="380" t="s">
        <v>17</v>
      </c>
      <c r="P5" s="380" t="s">
        <v>18</v>
      </c>
      <c r="Q5" s="18" t="s">
        <v>19</v>
      </c>
      <c r="R5" s="18" t="s">
        <v>20</v>
      </c>
      <c r="T5" s="18"/>
      <c r="U5" s="35"/>
    </row>
    <row r="6" spans="1:22" s="22" customFormat="1" ht="15.6" thickBot="1" x14ac:dyDescent="0.3">
      <c r="A6" s="21"/>
      <c r="B6" s="21"/>
      <c r="C6" s="21"/>
      <c r="D6" s="21"/>
      <c r="E6" s="21"/>
      <c r="F6" s="381"/>
      <c r="G6" s="381"/>
      <c r="H6" s="381"/>
      <c r="I6" s="381"/>
      <c r="J6" s="381"/>
      <c r="K6" s="381"/>
      <c r="L6" s="21"/>
      <c r="M6" s="264"/>
      <c r="N6" s="381"/>
      <c r="O6" s="381"/>
      <c r="P6" s="381"/>
      <c r="Q6" s="21"/>
    </row>
    <row r="7" spans="1:22" s="40" customFormat="1" ht="51.75" customHeight="1" x14ac:dyDescent="0.25">
      <c r="A7" s="306" t="s">
        <v>33</v>
      </c>
      <c r="B7" s="307" t="s">
        <v>79</v>
      </c>
      <c r="C7" s="308" t="s">
        <v>122</v>
      </c>
      <c r="D7" s="309">
        <v>0</v>
      </c>
      <c r="E7" s="309">
        <v>3512011</v>
      </c>
      <c r="F7" s="388">
        <f>88582492+36152301</f>
        <v>124734793</v>
      </c>
      <c r="G7" s="388">
        <v>0</v>
      </c>
      <c r="H7" s="388">
        <f>SUM(F7:G7)</f>
        <v>124734793</v>
      </c>
      <c r="I7" s="388">
        <v>0</v>
      </c>
      <c r="J7" s="388">
        <v>0</v>
      </c>
      <c r="K7" s="388">
        <f>+SUM(I7:J7)</f>
        <v>0</v>
      </c>
      <c r="L7" s="309">
        <f>+K7+H7</f>
        <v>124734793</v>
      </c>
      <c r="M7" s="309">
        <v>-43530494</v>
      </c>
      <c r="N7" s="388">
        <v>1200000</v>
      </c>
      <c r="O7" s="388">
        <v>0</v>
      </c>
      <c r="P7" s="388">
        <f>+SUM(N7:O7)</f>
        <v>1200000</v>
      </c>
      <c r="Q7" s="309">
        <f>+E7+L7</f>
        <v>128246804</v>
      </c>
      <c r="R7" s="310">
        <v>0</v>
      </c>
      <c r="S7" s="522" t="s">
        <v>238</v>
      </c>
      <c r="T7" s="311"/>
      <c r="U7" s="39"/>
    </row>
    <row r="8" spans="1:22" s="374" customFormat="1" ht="39.6" x14ac:dyDescent="0.25">
      <c r="A8" s="367" t="s">
        <v>33</v>
      </c>
      <c r="B8" s="368" t="s">
        <v>65</v>
      </c>
      <c r="C8" s="368" t="s">
        <v>125</v>
      </c>
      <c r="D8" s="369">
        <v>0</v>
      </c>
      <c r="E8" s="369">
        <v>0</v>
      </c>
      <c r="F8" s="369">
        <v>53333333</v>
      </c>
      <c r="G8" s="369">
        <v>0</v>
      </c>
      <c r="H8" s="370">
        <f>+SUM(F8:G8)</f>
        <v>53333333</v>
      </c>
      <c r="I8" s="371">
        <v>0</v>
      </c>
      <c r="J8" s="371">
        <v>0</v>
      </c>
      <c r="K8" s="370">
        <f>+SUM(I8:J8)</f>
        <v>0</v>
      </c>
      <c r="L8" s="369">
        <f>+K8+H8</f>
        <v>53333333</v>
      </c>
      <c r="M8" s="371"/>
      <c r="N8" s="371">
        <v>0</v>
      </c>
      <c r="O8" s="371">
        <v>0</v>
      </c>
      <c r="P8" s="370">
        <f>+SUM(N8:O8)</f>
        <v>0</v>
      </c>
      <c r="Q8" s="369">
        <f>+L8+E8</f>
        <v>53333333</v>
      </c>
      <c r="R8" s="372">
        <v>0</v>
      </c>
      <c r="S8" s="523" t="s">
        <v>156</v>
      </c>
      <c r="T8" s="373"/>
      <c r="U8" s="375"/>
    </row>
    <row r="9" spans="1:22" s="40" customFormat="1" ht="66" hidden="1" x14ac:dyDescent="0.25">
      <c r="A9" s="190" t="s">
        <v>33</v>
      </c>
      <c r="B9" s="162" t="s">
        <v>102</v>
      </c>
      <c r="C9" s="162" t="s">
        <v>102</v>
      </c>
      <c r="D9" s="84">
        <v>0</v>
      </c>
      <c r="E9" s="378">
        <v>0</v>
      </c>
      <c r="F9" s="369">
        <v>0</v>
      </c>
      <c r="G9" s="369">
        <v>0</v>
      </c>
      <c r="H9" s="370">
        <f>+SUM(F9:G9)</f>
        <v>0</v>
      </c>
      <c r="I9" s="371">
        <v>0</v>
      </c>
      <c r="J9" s="371">
        <v>0</v>
      </c>
      <c r="K9" s="370">
        <f>+SUM(I9:J9)</f>
        <v>0</v>
      </c>
      <c r="L9" s="84">
        <v>0</v>
      </c>
      <c r="M9" s="199"/>
      <c r="N9" s="371">
        <v>0</v>
      </c>
      <c r="O9" s="371">
        <v>0</v>
      </c>
      <c r="P9" s="370">
        <f>+SUM(N9:O9)</f>
        <v>0</v>
      </c>
      <c r="Q9" s="84">
        <f>+L9+E9+D9</f>
        <v>0</v>
      </c>
      <c r="R9" s="379">
        <v>0</v>
      </c>
      <c r="S9" s="524" t="s">
        <v>239</v>
      </c>
      <c r="T9" s="200"/>
      <c r="U9" s="39"/>
    </row>
    <row r="10" spans="1:22" s="40" customFormat="1" ht="66" hidden="1" x14ac:dyDescent="0.25">
      <c r="A10" s="190" t="s">
        <v>33</v>
      </c>
      <c r="B10" s="162" t="s">
        <v>26</v>
      </c>
      <c r="C10" s="162" t="s">
        <v>102</v>
      </c>
      <c r="D10" s="84">
        <v>0</v>
      </c>
      <c r="E10" s="84">
        <v>0</v>
      </c>
      <c r="F10" s="369">
        <v>0</v>
      </c>
      <c r="G10" s="369">
        <v>0</v>
      </c>
      <c r="H10" s="370">
        <f>+SUM(F10:G10)</f>
        <v>0</v>
      </c>
      <c r="I10" s="371">
        <v>0</v>
      </c>
      <c r="J10" s="371">
        <v>0</v>
      </c>
      <c r="K10" s="370">
        <f>+SUM(I10:J10)</f>
        <v>0</v>
      </c>
      <c r="L10" s="84">
        <v>0</v>
      </c>
      <c r="M10" s="199"/>
      <c r="N10" s="371">
        <v>0</v>
      </c>
      <c r="O10" s="371">
        <v>0</v>
      </c>
      <c r="P10" s="370">
        <f>+SUM(N10:O10)</f>
        <v>0</v>
      </c>
      <c r="Q10" s="84">
        <f>+L10+E10+D10</f>
        <v>0</v>
      </c>
      <c r="R10" s="379">
        <v>0</v>
      </c>
      <c r="S10" s="524" t="s">
        <v>240</v>
      </c>
      <c r="T10" s="200"/>
      <c r="U10" s="39"/>
    </row>
    <row r="11" spans="1:22" s="40" customFormat="1" ht="27" thickBot="1" x14ac:dyDescent="0.3">
      <c r="A11" s="192" t="s">
        <v>33</v>
      </c>
      <c r="B11" s="163" t="s">
        <v>82</v>
      </c>
      <c r="C11" s="162" t="s">
        <v>127</v>
      </c>
      <c r="D11" s="164">
        <v>0</v>
      </c>
      <c r="E11" s="164">
        <v>27853251.40102803</v>
      </c>
      <c r="F11" s="415">
        <v>8652379.3399999999</v>
      </c>
      <c r="G11" s="369">
        <v>0</v>
      </c>
      <c r="H11" s="370">
        <f>+SUM(F11:G11)</f>
        <v>8652379.3399999999</v>
      </c>
      <c r="I11" s="371">
        <v>0</v>
      </c>
      <c r="J11" s="371">
        <v>0</v>
      </c>
      <c r="K11" s="370">
        <f>+SUM(I11:J11)</f>
        <v>0</v>
      </c>
      <c r="L11" s="164">
        <f>+K11+H11</f>
        <v>8652379.3399999999</v>
      </c>
      <c r="M11" s="204"/>
      <c r="N11" s="371">
        <v>0</v>
      </c>
      <c r="O11" s="371">
        <v>0</v>
      </c>
      <c r="P11" s="370">
        <f>+SUM(N11:O11)</f>
        <v>0</v>
      </c>
      <c r="Q11" s="25">
        <f>+L11+E11</f>
        <v>36505630.741028026</v>
      </c>
      <c r="R11" s="25">
        <v>0</v>
      </c>
      <c r="S11" s="525" t="s">
        <v>188</v>
      </c>
      <c r="T11" s="200"/>
      <c r="U11" s="39"/>
    </row>
    <row r="12" spans="1:22" s="40" customFormat="1" ht="18.75" customHeight="1" thickTop="1" thickBot="1" x14ac:dyDescent="0.35">
      <c r="A12" s="201" t="s">
        <v>34</v>
      </c>
      <c r="B12" s="202"/>
      <c r="C12" s="202"/>
      <c r="D12" s="203"/>
      <c r="E12" s="203"/>
      <c r="F12" s="389"/>
      <c r="G12" s="389"/>
      <c r="H12" s="389"/>
      <c r="I12" s="370"/>
      <c r="J12" s="370"/>
      <c r="K12" s="389"/>
      <c r="L12" s="203"/>
      <c r="M12" s="204"/>
      <c r="N12" s="370"/>
      <c r="O12" s="370"/>
      <c r="P12" s="389"/>
      <c r="Q12" s="205">
        <f>SUM(Q7:Q11)</f>
        <v>218085767.74102801</v>
      </c>
      <c r="R12" s="205">
        <f>SUM(R7:R11)</f>
        <v>0</v>
      </c>
      <c r="S12" s="41">
        <f>+R12+Q12</f>
        <v>218085767.74102801</v>
      </c>
      <c r="T12" s="200"/>
      <c r="U12" s="39"/>
    </row>
    <row r="13" spans="1:22" s="45" customFormat="1" ht="13.5" customHeight="1" thickTop="1" thickBot="1" x14ac:dyDescent="0.35">
      <c r="A13" s="180"/>
      <c r="B13" s="206"/>
      <c r="C13" s="206"/>
      <c r="D13" s="207"/>
      <c r="E13" s="207"/>
      <c r="F13" s="469"/>
      <c r="G13" s="391"/>
      <c r="H13" s="391"/>
      <c r="I13" s="390"/>
      <c r="J13" s="390"/>
      <c r="K13" s="391"/>
      <c r="L13" s="273"/>
      <c r="M13" s="274"/>
      <c r="N13" s="390"/>
      <c r="O13" s="390"/>
      <c r="P13" s="391"/>
      <c r="Q13" s="275"/>
      <c r="R13" s="208"/>
      <c r="S13" s="209"/>
      <c r="T13" s="210"/>
      <c r="U13" s="44"/>
    </row>
    <row r="14" spans="1:22" s="45" customFormat="1" ht="13.5" customHeight="1" x14ac:dyDescent="0.3">
      <c r="A14" s="211"/>
      <c r="B14" s="212"/>
      <c r="C14" s="212"/>
      <c r="D14" s="213"/>
      <c r="E14" s="213"/>
      <c r="F14" s="392"/>
      <c r="G14" s="392"/>
      <c r="H14" s="392"/>
      <c r="I14" s="388"/>
      <c r="J14" s="388"/>
      <c r="K14" s="392"/>
      <c r="L14" s="276"/>
      <c r="M14" s="277"/>
      <c r="N14" s="388"/>
      <c r="O14" s="388"/>
      <c r="P14" s="392"/>
      <c r="Q14" s="278"/>
      <c r="R14" s="214"/>
      <c r="S14" s="215"/>
      <c r="T14" s="216"/>
      <c r="U14" s="44"/>
    </row>
    <row r="15" spans="1:22" s="45" customFormat="1" ht="13.5" customHeight="1" x14ac:dyDescent="0.3">
      <c r="A15" s="179"/>
      <c r="B15" s="172"/>
      <c r="C15" s="172"/>
      <c r="D15" s="217"/>
      <c r="E15" s="217"/>
      <c r="F15" s="389"/>
      <c r="G15" s="389"/>
      <c r="H15" s="389"/>
      <c r="I15" s="370"/>
      <c r="J15" s="370"/>
      <c r="K15" s="389"/>
      <c r="L15" s="279"/>
      <c r="M15" s="280"/>
      <c r="N15" s="370"/>
      <c r="O15" s="370"/>
      <c r="P15" s="389"/>
      <c r="Q15" s="281"/>
      <c r="R15" s="218"/>
      <c r="S15" s="43"/>
      <c r="T15" s="219"/>
      <c r="U15" s="44"/>
    </row>
    <row r="16" spans="1:22" s="24" customFormat="1" ht="16.5" hidden="1" customHeight="1" x14ac:dyDescent="0.3">
      <c r="A16" s="188" t="s">
        <v>30</v>
      </c>
      <c r="B16" s="160" t="s">
        <v>83</v>
      </c>
      <c r="C16" s="157" t="s">
        <v>128</v>
      </c>
      <c r="D16" s="226">
        <v>0</v>
      </c>
      <c r="E16" s="226">
        <v>0</v>
      </c>
      <c r="F16" s="362">
        <v>0</v>
      </c>
      <c r="G16" s="362">
        <v>0</v>
      </c>
      <c r="H16" s="362">
        <f>+SUM(F16:G16)</f>
        <v>0</v>
      </c>
      <c r="I16" s="362">
        <v>0</v>
      </c>
      <c r="J16" s="362">
        <v>0</v>
      </c>
      <c r="K16" s="362">
        <f>+SUM(I16:J16)</f>
        <v>0</v>
      </c>
      <c r="L16" s="290">
        <f>+K16+H16</f>
        <v>0</v>
      </c>
      <c r="M16" s="226">
        <v>0</v>
      </c>
      <c r="N16" s="362">
        <v>0</v>
      </c>
      <c r="O16" s="362">
        <v>0</v>
      </c>
      <c r="P16" s="362">
        <f>+SUM(N16:O16)</f>
        <v>0</v>
      </c>
      <c r="Q16" s="226">
        <f>+L16+D16</f>
        <v>0</v>
      </c>
      <c r="R16" s="164">
        <f>+L16+E16</f>
        <v>0</v>
      </c>
      <c r="S16" s="161" t="s">
        <v>135</v>
      </c>
      <c r="T16" s="189"/>
      <c r="U16" s="23"/>
      <c r="V16" s="23"/>
    </row>
    <row r="17" spans="1:23" s="24" customFormat="1" ht="48" customHeight="1" x14ac:dyDescent="0.25">
      <c r="A17" s="295" t="s">
        <v>30</v>
      </c>
      <c r="B17" s="296" t="s">
        <v>84</v>
      </c>
      <c r="C17" s="289" t="s">
        <v>128</v>
      </c>
      <c r="D17" s="290">
        <v>0</v>
      </c>
      <c r="E17" s="290">
        <v>-5416049</v>
      </c>
      <c r="F17" s="393">
        <v>0</v>
      </c>
      <c r="G17" s="393">
        <v>0</v>
      </c>
      <c r="H17" s="393">
        <f>+SUM(F17:G17)</f>
        <v>0</v>
      </c>
      <c r="I17" s="393">
        <v>7614809</v>
      </c>
      <c r="J17" s="393">
        <v>0</v>
      </c>
      <c r="K17" s="393">
        <f>+SUM(I17:J17)</f>
        <v>7614809</v>
      </c>
      <c r="L17" s="290">
        <f>+K17+H17</f>
        <v>7614809</v>
      </c>
      <c r="M17" s="290">
        <v>-4444817</v>
      </c>
      <c r="N17" s="393">
        <v>0</v>
      </c>
      <c r="O17" s="393">
        <v>0</v>
      </c>
      <c r="P17" s="393">
        <f>+SUM(N17:O17)</f>
        <v>0</v>
      </c>
      <c r="Q17" s="290">
        <f>+L17+E17</f>
        <v>2198760</v>
      </c>
      <c r="R17" s="164">
        <v>0</v>
      </c>
      <c r="S17" s="526" t="s">
        <v>171</v>
      </c>
      <c r="T17" s="417" t="s">
        <v>110</v>
      </c>
      <c r="U17" s="23"/>
      <c r="V17" s="23"/>
    </row>
    <row r="18" spans="1:23" s="24" customFormat="1" ht="15.6" hidden="1" x14ac:dyDescent="0.3">
      <c r="A18" s="188" t="s">
        <v>31</v>
      </c>
      <c r="B18" s="160" t="s">
        <v>78</v>
      </c>
      <c r="C18" s="157" t="s">
        <v>122</v>
      </c>
      <c r="D18" s="226">
        <v>0</v>
      </c>
      <c r="E18" s="226">
        <v>0</v>
      </c>
      <c r="F18" s="362">
        <v>0</v>
      </c>
      <c r="G18" s="362">
        <v>0</v>
      </c>
      <c r="H18" s="362">
        <f>+SUM(F18:G18)</f>
        <v>0</v>
      </c>
      <c r="I18" s="362">
        <v>0</v>
      </c>
      <c r="J18" s="362">
        <v>0</v>
      </c>
      <c r="K18" s="362">
        <f>+SUM(I18:J18)</f>
        <v>0</v>
      </c>
      <c r="L18" s="226">
        <f>+K18+H18</f>
        <v>0</v>
      </c>
      <c r="M18" s="226">
        <v>11891006</v>
      </c>
      <c r="N18" s="362">
        <v>0</v>
      </c>
      <c r="O18" s="362">
        <v>0</v>
      </c>
      <c r="P18" s="362">
        <f>+SUM(N18:O18)</f>
        <v>0</v>
      </c>
      <c r="Q18" s="226">
        <v>0</v>
      </c>
      <c r="R18" s="161">
        <f>+L18</f>
        <v>0</v>
      </c>
      <c r="S18" s="161"/>
      <c r="T18" s="189"/>
      <c r="U18" s="23"/>
      <c r="V18" s="23"/>
    </row>
    <row r="19" spans="1:23" s="366" customFormat="1" ht="15.6" hidden="1" x14ac:dyDescent="0.3">
      <c r="A19" s="359" t="s">
        <v>136</v>
      </c>
      <c r="B19" s="360" t="s">
        <v>83</v>
      </c>
      <c r="C19" s="361" t="s">
        <v>128</v>
      </c>
      <c r="D19" s="362">
        <v>0</v>
      </c>
      <c r="E19" s="362">
        <v>0</v>
      </c>
      <c r="F19" s="362">
        <v>0</v>
      </c>
      <c r="G19" s="362">
        <v>0</v>
      </c>
      <c r="H19" s="362">
        <f>+SUM(F19:G19)</f>
        <v>0</v>
      </c>
      <c r="I19" s="362">
        <v>0</v>
      </c>
      <c r="J19" s="362">
        <v>0</v>
      </c>
      <c r="K19" s="362">
        <f>+SUM(I19:J19)</f>
        <v>0</v>
      </c>
      <c r="L19" s="362">
        <f>+K19+H19</f>
        <v>0</v>
      </c>
      <c r="M19" s="362">
        <f>+L19+E19</f>
        <v>0</v>
      </c>
      <c r="N19" s="362">
        <v>0</v>
      </c>
      <c r="O19" s="362">
        <v>0</v>
      </c>
      <c r="P19" s="362">
        <f>+SUM(N19:O19)</f>
        <v>0</v>
      </c>
      <c r="Q19" s="362">
        <v>0</v>
      </c>
      <c r="R19" s="363">
        <f>+D19+L19</f>
        <v>0</v>
      </c>
      <c r="S19" s="363" t="s">
        <v>189</v>
      </c>
      <c r="T19" s="364"/>
      <c r="U19" s="365"/>
      <c r="V19" s="365"/>
    </row>
    <row r="20" spans="1:23" s="22" customFormat="1" ht="15" x14ac:dyDescent="0.25">
      <c r="A20" s="174"/>
      <c r="B20" s="169"/>
      <c r="C20" s="169"/>
      <c r="D20" s="155"/>
      <c r="E20" s="155"/>
      <c r="F20" s="376"/>
      <c r="G20" s="376"/>
      <c r="H20" s="376"/>
      <c r="I20" s="376"/>
      <c r="J20" s="376"/>
      <c r="K20" s="376"/>
      <c r="L20" s="155"/>
      <c r="M20" s="265"/>
      <c r="N20" s="376"/>
      <c r="O20" s="376"/>
      <c r="P20" s="376"/>
      <c r="Q20" s="155"/>
      <c r="R20" s="86"/>
      <c r="S20" s="86"/>
      <c r="T20" s="175"/>
      <c r="U20" s="27"/>
      <c r="V20" s="27"/>
    </row>
    <row r="21" spans="1:23" s="22" customFormat="1" ht="15" x14ac:dyDescent="0.25">
      <c r="A21" s="174"/>
      <c r="B21" s="169"/>
      <c r="C21" s="169"/>
      <c r="D21" s="155"/>
      <c r="E21" s="155"/>
      <c r="F21" s="376"/>
      <c r="G21" s="376"/>
      <c r="H21" s="376"/>
      <c r="I21" s="376"/>
      <c r="J21" s="376"/>
      <c r="K21" s="376"/>
      <c r="L21" s="155"/>
      <c r="M21" s="265"/>
      <c r="N21" s="376"/>
      <c r="O21" s="376"/>
      <c r="P21" s="376"/>
      <c r="Q21" s="155"/>
      <c r="R21" s="86"/>
      <c r="S21" s="86"/>
      <c r="T21" s="175"/>
      <c r="U21" s="27"/>
      <c r="V21" s="27"/>
    </row>
    <row r="22" spans="1:23" s="24" customFormat="1" ht="52.8" x14ac:dyDescent="0.25">
      <c r="A22" s="291" t="s">
        <v>85</v>
      </c>
      <c r="B22" s="289" t="s">
        <v>78</v>
      </c>
      <c r="C22" s="289" t="s">
        <v>122</v>
      </c>
      <c r="D22" s="290">
        <v>9317615</v>
      </c>
      <c r="E22" s="290">
        <v>-28907</v>
      </c>
      <c r="F22" s="393">
        <v>0</v>
      </c>
      <c r="G22" s="393">
        <v>0</v>
      </c>
      <c r="H22" s="393">
        <f>+SUM(F22:G22)</f>
        <v>0</v>
      </c>
      <c r="I22" s="393">
        <v>0</v>
      </c>
      <c r="J22" s="393">
        <v>0</v>
      </c>
      <c r="K22" s="393">
        <f>+SUM(I22:J22)</f>
        <v>0</v>
      </c>
      <c r="L22" s="290">
        <f>+K22+H22</f>
        <v>0</v>
      </c>
      <c r="M22" s="290">
        <v>0</v>
      </c>
      <c r="N22" s="393">
        <v>0</v>
      </c>
      <c r="O22" s="393">
        <v>0</v>
      </c>
      <c r="P22" s="393">
        <f>+SUM(N22:O22)</f>
        <v>0</v>
      </c>
      <c r="Q22" s="290">
        <f>+D22</f>
        <v>9317615</v>
      </c>
      <c r="R22" s="84">
        <f>+L22+E22</f>
        <v>-28907</v>
      </c>
      <c r="S22" s="527" t="s">
        <v>35</v>
      </c>
      <c r="T22" s="197"/>
    </row>
    <row r="23" spans="1:23" s="24" customFormat="1" ht="26.4" x14ac:dyDescent="0.25">
      <c r="A23" s="295" t="s">
        <v>86</v>
      </c>
      <c r="B23" s="296" t="s">
        <v>79</v>
      </c>
      <c r="C23" s="289" t="s">
        <v>122</v>
      </c>
      <c r="D23" s="290">
        <v>0</v>
      </c>
      <c r="E23" s="290">
        <v>-726350</v>
      </c>
      <c r="F23" s="393">
        <v>15617440</v>
      </c>
      <c r="G23" s="393">
        <v>-16896840</v>
      </c>
      <c r="H23" s="393">
        <f>+SUM(F23:G23)</f>
        <v>-1279400</v>
      </c>
      <c r="I23" s="393">
        <f>5850980+16628460</f>
        <v>22479440</v>
      </c>
      <c r="J23" s="393">
        <f>-5206680-17456920</f>
        <v>-22663600</v>
      </c>
      <c r="K23" s="393">
        <f>+SUM(I23:J23)</f>
        <v>-184160</v>
      </c>
      <c r="L23" s="290">
        <f>+K23+H23</f>
        <v>-1463560</v>
      </c>
      <c r="M23" s="290">
        <v>-11111175</v>
      </c>
      <c r="N23" s="393">
        <v>14468775</v>
      </c>
      <c r="O23" s="393">
        <v>-16120230</v>
      </c>
      <c r="P23" s="393">
        <f>+SUM(N23:O23)</f>
        <v>-1651455</v>
      </c>
      <c r="Q23" s="290">
        <v>0</v>
      </c>
      <c r="R23" s="164">
        <f>+L23+E23</f>
        <v>-2189910</v>
      </c>
      <c r="S23" s="528" t="s">
        <v>36</v>
      </c>
      <c r="T23" s="197"/>
    </row>
    <row r="24" spans="1:23" s="22" customFormat="1" ht="15.6" x14ac:dyDescent="0.3">
      <c r="A24" s="221"/>
      <c r="B24" s="169"/>
      <c r="C24" s="169"/>
      <c r="D24" s="155"/>
      <c r="E24" s="155"/>
      <c r="F24" s="376"/>
      <c r="G24" s="376"/>
      <c r="H24" s="376"/>
      <c r="I24" s="376"/>
      <c r="J24" s="376"/>
      <c r="K24" s="376"/>
      <c r="L24" s="155"/>
      <c r="M24" s="265"/>
      <c r="N24" s="376"/>
      <c r="O24" s="376"/>
      <c r="P24" s="376"/>
      <c r="S24" s="344"/>
      <c r="T24" s="220"/>
    </row>
    <row r="25" spans="1:23" s="22" customFormat="1" ht="16.2" thickBot="1" x14ac:dyDescent="0.35">
      <c r="A25" s="173" t="s">
        <v>114</v>
      </c>
      <c r="B25" s="169"/>
      <c r="C25" s="169"/>
      <c r="D25" s="155"/>
      <c r="E25" s="155"/>
      <c r="F25" s="376"/>
      <c r="G25" s="376"/>
      <c r="H25" s="376"/>
      <c r="I25" s="376"/>
      <c r="J25" s="376"/>
      <c r="K25" s="376"/>
      <c r="L25" s="155"/>
      <c r="M25" s="265"/>
      <c r="N25" s="376"/>
      <c r="O25" s="376"/>
      <c r="P25" s="376"/>
      <c r="Q25" s="49">
        <f>SUM(Q16:Q23)</f>
        <v>11516375</v>
      </c>
      <c r="R25" s="49">
        <f>SUM(R16:R23)</f>
        <v>-2218817</v>
      </c>
      <c r="S25" s="51"/>
      <c r="T25" s="220"/>
    </row>
    <row r="26" spans="1:23" s="22" customFormat="1" ht="16.2" thickTop="1" x14ac:dyDescent="0.3">
      <c r="A26" s="221" t="s">
        <v>115</v>
      </c>
      <c r="B26" s="169"/>
      <c r="C26" s="169"/>
      <c r="D26" s="155"/>
      <c r="E26" s="155"/>
      <c r="F26" s="376"/>
      <c r="G26" s="376"/>
      <c r="H26" s="376"/>
      <c r="I26" s="376"/>
      <c r="J26" s="376"/>
      <c r="K26" s="376"/>
      <c r="L26" s="155"/>
      <c r="M26" s="265"/>
      <c r="N26" s="376"/>
      <c r="O26" s="376"/>
      <c r="P26" s="376"/>
      <c r="Q26" s="50"/>
      <c r="R26" s="50"/>
      <c r="S26" s="67">
        <f>+Q25</f>
        <v>11516375</v>
      </c>
      <c r="T26" s="220"/>
      <c r="U26" s="27">
        <f>+SUM(R16:R23)</f>
        <v>-2218817</v>
      </c>
      <c r="V26" s="22" t="s">
        <v>116</v>
      </c>
      <c r="W26" s="27">
        <f>+S26+U26</f>
        <v>9297558</v>
      </c>
    </row>
    <row r="27" spans="1:23" s="22" customFormat="1" ht="15.6" x14ac:dyDescent="0.3">
      <c r="A27" s="345" t="s">
        <v>152</v>
      </c>
      <c r="B27" s="169"/>
      <c r="C27" s="169"/>
      <c r="D27" s="155"/>
      <c r="E27" s="155"/>
      <c r="F27" s="376"/>
      <c r="G27" s="376"/>
      <c r="H27" s="376"/>
      <c r="I27" s="376"/>
      <c r="J27" s="376"/>
      <c r="K27" s="376"/>
      <c r="L27" s="155"/>
      <c r="M27" s="265"/>
      <c r="N27" s="376"/>
      <c r="O27" s="376"/>
      <c r="P27" s="376"/>
      <c r="Q27" s="50"/>
      <c r="R27" s="50"/>
      <c r="S27" s="346">
        <f>+R25</f>
        <v>-2218817</v>
      </c>
      <c r="T27" s="220"/>
    </row>
    <row r="28" spans="1:23" s="22" customFormat="1" ht="16.2" thickBot="1" x14ac:dyDescent="0.35">
      <c r="A28" s="345" t="s">
        <v>151</v>
      </c>
      <c r="B28" s="169"/>
      <c r="C28" s="169"/>
      <c r="D28" s="155"/>
      <c r="E28" s="155"/>
      <c r="F28" s="376"/>
      <c r="G28" s="376"/>
      <c r="H28" s="376"/>
      <c r="I28" s="376"/>
      <c r="J28" s="376"/>
      <c r="K28" s="376"/>
      <c r="L28" s="155"/>
      <c r="M28" s="265"/>
      <c r="N28" s="376"/>
      <c r="O28" s="376"/>
      <c r="P28" s="376"/>
      <c r="Q28" s="50"/>
      <c r="R28" s="50"/>
      <c r="S28" s="67">
        <f>SUM(S26:S27)</f>
        <v>9297558</v>
      </c>
      <c r="T28" s="220"/>
    </row>
    <row r="29" spans="1:23" s="337" customFormat="1" ht="15.6" x14ac:dyDescent="0.3">
      <c r="A29" s="332"/>
      <c r="B29" s="333"/>
      <c r="C29" s="333"/>
      <c r="D29" s="334"/>
      <c r="E29" s="334"/>
      <c r="F29" s="382"/>
      <c r="G29" s="382"/>
      <c r="H29" s="382"/>
      <c r="I29" s="382"/>
      <c r="J29" s="382"/>
      <c r="K29" s="382"/>
      <c r="L29" s="334"/>
      <c r="M29" s="334"/>
      <c r="N29" s="382"/>
      <c r="O29" s="382"/>
      <c r="P29" s="382"/>
      <c r="Q29" s="334"/>
      <c r="R29" s="334"/>
      <c r="S29" s="335"/>
      <c r="T29" s="336"/>
    </row>
    <row r="30" spans="1:23" s="337" customFormat="1" ht="15.6" x14ac:dyDescent="0.3">
      <c r="A30" s="312" t="s">
        <v>220</v>
      </c>
      <c r="B30" s="338"/>
      <c r="C30" s="338"/>
      <c r="D30" s="339"/>
      <c r="E30" s="339"/>
      <c r="F30" s="376"/>
      <c r="G30" s="376"/>
      <c r="H30" s="376"/>
      <c r="I30" s="376"/>
      <c r="J30" s="376"/>
      <c r="K30" s="376"/>
      <c r="L30" s="339"/>
      <c r="M30" s="339"/>
      <c r="N30" s="376"/>
      <c r="O30" s="376"/>
      <c r="P30" s="376"/>
      <c r="Q30" s="349"/>
      <c r="R30" s="349"/>
      <c r="S30" s="348">
        <f>IF(S28&lt;0,0,S28)</f>
        <v>9297558</v>
      </c>
      <c r="T30" s="340"/>
    </row>
    <row r="31" spans="1:23" s="347" customFormat="1" ht="15.6" x14ac:dyDescent="0.3">
      <c r="A31" s="312" t="s">
        <v>221</v>
      </c>
      <c r="F31" s="394"/>
      <c r="G31" s="394"/>
      <c r="H31" s="394"/>
      <c r="I31" s="394"/>
      <c r="J31" s="394"/>
      <c r="K31" s="394"/>
      <c r="N31" s="394"/>
      <c r="O31" s="394"/>
      <c r="P31" s="394"/>
      <c r="S31" s="351">
        <f>+S12</f>
        <v>218085767.74102801</v>
      </c>
      <c r="T31" s="340"/>
      <c r="U31" s="350">
        <f>+Q30+R30</f>
        <v>0</v>
      </c>
      <c r="V31" s="347" t="s">
        <v>116</v>
      </c>
    </row>
    <row r="32" spans="1:23" s="337" customFormat="1" ht="16.2" thickBot="1" x14ac:dyDescent="0.35">
      <c r="A32" s="312" t="s">
        <v>222</v>
      </c>
      <c r="B32" s="347"/>
      <c r="C32" s="347"/>
      <c r="D32" s="347"/>
      <c r="E32" s="347"/>
      <c r="F32" s="394"/>
      <c r="G32" s="394"/>
      <c r="H32" s="394"/>
      <c r="I32" s="394"/>
      <c r="J32" s="394"/>
      <c r="K32" s="394"/>
      <c r="L32" s="347"/>
      <c r="M32" s="347"/>
      <c r="N32" s="394"/>
      <c r="O32" s="394"/>
      <c r="P32" s="394"/>
      <c r="Q32" s="347"/>
      <c r="R32" s="347"/>
      <c r="S32" s="431">
        <f>SUM(S30:S31)</f>
        <v>227383325.74102801</v>
      </c>
      <c r="T32" s="340"/>
      <c r="U32" s="343"/>
    </row>
    <row r="33" spans="1:21" s="337" customFormat="1" ht="16.8" thickTop="1" thickBot="1" x14ac:dyDescent="0.35">
      <c r="A33" s="352"/>
      <c r="B33" s="341"/>
      <c r="C33" s="341"/>
      <c r="D33" s="341"/>
      <c r="E33" s="341"/>
      <c r="F33" s="395"/>
      <c r="G33" s="395"/>
      <c r="H33" s="395"/>
      <c r="I33" s="395"/>
      <c r="J33" s="395"/>
      <c r="K33" s="395"/>
      <c r="L33" s="341"/>
      <c r="M33" s="341"/>
      <c r="N33" s="395"/>
      <c r="O33" s="395"/>
      <c r="P33" s="395"/>
      <c r="Q33" s="341"/>
      <c r="R33" s="341"/>
      <c r="S33" s="430"/>
      <c r="T33" s="342"/>
      <c r="U33" s="343"/>
    </row>
    <row r="34" spans="1:21" s="22" customFormat="1" ht="15" x14ac:dyDescent="0.25">
      <c r="A34" s="22" t="s">
        <v>111</v>
      </c>
      <c r="F34" s="366"/>
      <c r="G34" s="366"/>
      <c r="H34" s="366"/>
      <c r="I34" s="366"/>
      <c r="J34" s="366"/>
      <c r="K34" s="366"/>
      <c r="M34" s="261"/>
      <c r="N34" s="366"/>
      <c r="O34" s="366"/>
      <c r="P34" s="366"/>
    </row>
    <row r="35" spans="1:21" s="22" customFormat="1" ht="15" x14ac:dyDescent="0.25">
      <c r="A35" s="22" t="s">
        <v>150</v>
      </c>
      <c r="F35" s="366"/>
      <c r="G35" s="366"/>
      <c r="H35" s="366"/>
      <c r="I35" s="366"/>
      <c r="J35" s="366"/>
      <c r="K35" s="366"/>
      <c r="M35" s="261"/>
      <c r="N35" s="366"/>
      <c r="O35" s="366"/>
      <c r="P35" s="366"/>
    </row>
    <row r="36" spans="1:21" s="22" customFormat="1" ht="15" x14ac:dyDescent="0.25">
      <c r="F36" s="366"/>
      <c r="G36" s="366"/>
      <c r="H36" s="366"/>
      <c r="I36" s="366"/>
      <c r="J36" s="366"/>
      <c r="K36" s="366"/>
      <c r="M36" s="261"/>
      <c r="N36" s="366"/>
      <c r="O36" s="366"/>
      <c r="P36" s="366"/>
    </row>
    <row r="37" spans="1:21" s="22" customFormat="1" ht="15" x14ac:dyDescent="0.25">
      <c r="F37" s="366"/>
      <c r="G37" s="366"/>
      <c r="H37" s="366"/>
      <c r="I37" s="366"/>
      <c r="J37" s="366"/>
      <c r="K37" s="366"/>
      <c r="M37" s="261"/>
      <c r="N37" s="366"/>
      <c r="O37" s="366"/>
      <c r="P37" s="366"/>
    </row>
    <row r="38" spans="1:21" s="22" customFormat="1" ht="15" x14ac:dyDescent="0.25">
      <c r="F38" s="366"/>
      <c r="G38" s="366"/>
      <c r="H38" s="366"/>
      <c r="I38" s="366"/>
      <c r="J38" s="366"/>
      <c r="K38" s="366"/>
      <c r="M38" s="261"/>
      <c r="N38" s="366"/>
      <c r="O38" s="366"/>
      <c r="P38" s="366"/>
    </row>
    <row r="39" spans="1:21" s="22" customFormat="1" ht="15" x14ac:dyDescent="0.25">
      <c r="F39" s="366"/>
      <c r="G39" s="366"/>
      <c r="H39" s="366"/>
      <c r="I39" s="366"/>
      <c r="J39" s="366"/>
      <c r="K39" s="366"/>
      <c r="M39" s="261"/>
      <c r="N39" s="366"/>
      <c r="O39" s="366"/>
      <c r="P39" s="366"/>
      <c r="Q39" s="131"/>
      <c r="R39" s="131"/>
    </row>
    <row r="40" spans="1:21" s="22" customFormat="1" ht="15.6" x14ac:dyDescent="0.3">
      <c r="D40" s="27"/>
      <c r="E40" s="27"/>
      <c r="F40" s="366"/>
      <c r="G40" s="366"/>
      <c r="H40" s="366"/>
      <c r="I40" s="366"/>
      <c r="J40" s="366"/>
      <c r="K40" s="366"/>
      <c r="L40" s="34" t="s">
        <v>104</v>
      </c>
      <c r="M40" s="261"/>
      <c r="N40" s="366"/>
      <c r="O40" s="366"/>
      <c r="P40" s="366"/>
      <c r="Q40" s="130">
        <f>+Q25+Q12-Q11-Q10-Q9-Q8</f>
        <v>139763179</v>
      </c>
      <c r="R40" s="130">
        <f>+R25+R12-R11-R10-R9-R8</f>
        <v>-2218817</v>
      </c>
    </row>
    <row r="41" spans="1:21" s="22" customFormat="1" ht="15" x14ac:dyDescent="0.25">
      <c r="F41" s="366"/>
      <c r="G41" s="366"/>
      <c r="H41" s="366"/>
      <c r="I41" s="366"/>
      <c r="J41" s="366"/>
      <c r="K41" s="366"/>
      <c r="M41" s="261"/>
      <c r="N41" s="366"/>
      <c r="O41" s="366"/>
      <c r="P41" s="366"/>
      <c r="Q41" s="131"/>
      <c r="R41" s="131"/>
    </row>
    <row r="42" spans="1:21" s="22" customFormat="1" ht="15" x14ac:dyDescent="0.25">
      <c r="F42" s="366"/>
      <c r="G42" s="366"/>
      <c r="H42" s="366"/>
      <c r="I42" s="366"/>
      <c r="J42" s="366"/>
      <c r="K42" s="366"/>
      <c r="M42" s="261"/>
      <c r="N42" s="366"/>
      <c r="O42" s="366"/>
      <c r="P42" s="366"/>
    </row>
    <row r="43" spans="1:21" s="22" customFormat="1" ht="15" x14ac:dyDescent="0.25">
      <c r="F43" s="366"/>
      <c r="G43" s="366"/>
      <c r="H43" s="366"/>
      <c r="I43" s="366"/>
      <c r="J43" s="366"/>
      <c r="K43" s="366"/>
      <c r="M43" s="261"/>
      <c r="N43" s="366"/>
      <c r="O43" s="366"/>
      <c r="P43" s="366"/>
    </row>
    <row r="44" spans="1:21" s="22" customFormat="1" ht="15" x14ac:dyDescent="0.25">
      <c r="F44" s="366"/>
      <c r="G44" s="366"/>
      <c r="H44" s="366"/>
      <c r="I44" s="366"/>
      <c r="J44" s="366"/>
      <c r="K44" s="366"/>
      <c r="M44" s="261"/>
      <c r="N44" s="366"/>
      <c r="O44" s="366"/>
      <c r="P44" s="366"/>
    </row>
    <row r="45" spans="1:21" s="22" customFormat="1" ht="15" x14ac:dyDescent="0.25">
      <c r="F45" s="366"/>
      <c r="G45" s="366"/>
      <c r="H45" s="366"/>
      <c r="I45" s="366"/>
      <c r="J45" s="366"/>
      <c r="K45" s="366"/>
      <c r="M45" s="261"/>
      <c r="N45" s="366"/>
      <c r="O45" s="366"/>
      <c r="P45" s="366"/>
    </row>
    <row r="46" spans="1:21" s="22" customFormat="1" ht="15" x14ac:dyDescent="0.25">
      <c r="F46" s="366"/>
      <c r="G46" s="366"/>
      <c r="H46" s="366"/>
      <c r="I46" s="366"/>
      <c r="J46" s="366"/>
      <c r="K46" s="366"/>
      <c r="M46" s="261"/>
      <c r="N46" s="366"/>
      <c r="O46" s="366"/>
      <c r="P46" s="366"/>
    </row>
    <row r="47" spans="1:21" s="22" customFormat="1" ht="15" x14ac:dyDescent="0.25">
      <c r="F47" s="366"/>
      <c r="G47" s="366"/>
      <c r="H47" s="366"/>
      <c r="I47" s="366"/>
      <c r="J47" s="366"/>
      <c r="K47" s="366"/>
      <c r="M47" s="261"/>
      <c r="N47" s="366"/>
      <c r="O47" s="366"/>
      <c r="P47" s="366"/>
    </row>
    <row r="48" spans="1:21" s="22" customFormat="1" ht="15" x14ac:dyDescent="0.25">
      <c r="F48" s="366"/>
      <c r="G48" s="366"/>
      <c r="H48" s="366"/>
      <c r="I48" s="366"/>
      <c r="J48" s="366"/>
      <c r="K48" s="366"/>
      <c r="M48" s="261"/>
      <c r="N48" s="366"/>
      <c r="O48" s="366"/>
      <c r="P48" s="366"/>
    </row>
    <row r="49" spans="6:16" s="22" customFormat="1" ht="15" x14ac:dyDescent="0.25">
      <c r="F49" s="366"/>
      <c r="G49" s="366"/>
      <c r="H49" s="366"/>
      <c r="I49" s="366"/>
      <c r="J49" s="366"/>
      <c r="K49" s="366"/>
      <c r="M49" s="261"/>
      <c r="N49" s="366"/>
      <c r="O49" s="366"/>
      <c r="P49" s="366"/>
    </row>
    <row r="50" spans="6:16" s="22" customFormat="1" ht="15" x14ac:dyDescent="0.25">
      <c r="F50" s="366"/>
      <c r="G50" s="366"/>
      <c r="H50" s="366"/>
      <c r="I50" s="366"/>
      <c r="J50" s="366"/>
      <c r="K50" s="366"/>
      <c r="M50" s="261"/>
      <c r="N50" s="366"/>
      <c r="O50" s="366"/>
      <c r="P50" s="366"/>
    </row>
    <row r="51" spans="6:16" s="22" customFormat="1" ht="15" x14ac:dyDescent="0.25">
      <c r="F51" s="366"/>
      <c r="G51" s="366"/>
      <c r="H51" s="366"/>
      <c r="I51" s="366"/>
      <c r="J51" s="366"/>
      <c r="K51" s="366"/>
      <c r="M51" s="261"/>
      <c r="N51" s="366"/>
      <c r="O51" s="366"/>
      <c r="P51" s="366"/>
    </row>
    <row r="52" spans="6:16" s="22" customFormat="1" ht="15" x14ac:dyDescent="0.25">
      <c r="F52" s="366"/>
      <c r="G52" s="366"/>
      <c r="H52" s="366"/>
      <c r="I52" s="366"/>
      <c r="J52" s="366"/>
      <c r="K52" s="366"/>
      <c r="M52" s="261"/>
      <c r="N52" s="366"/>
      <c r="O52" s="366"/>
      <c r="P52" s="366"/>
    </row>
    <row r="53" spans="6:16" s="22" customFormat="1" ht="15" x14ac:dyDescent="0.25">
      <c r="F53" s="366"/>
      <c r="G53" s="366"/>
      <c r="H53" s="366"/>
      <c r="I53" s="366"/>
      <c r="J53" s="366"/>
      <c r="K53" s="366"/>
      <c r="M53" s="261"/>
      <c r="N53" s="366"/>
      <c r="O53" s="366"/>
      <c r="P53" s="366"/>
    </row>
    <row r="54" spans="6:16" s="22" customFormat="1" ht="15" x14ac:dyDescent="0.25">
      <c r="F54" s="366"/>
      <c r="G54" s="366"/>
      <c r="H54" s="366"/>
      <c r="I54" s="366"/>
      <c r="J54" s="366"/>
      <c r="K54" s="366"/>
      <c r="M54" s="261"/>
      <c r="N54" s="366"/>
      <c r="O54" s="366"/>
      <c r="P54" s="366"/>
    </row>
    <row r="55" spans="6:16" s="22" customFormat="1" ht="15" x14ac:dyDescent="0.25">
      <c r="F55" s="366"/>
      <c r="G55" s="366"/>
      <c r="H55" s="366"/>
      <c r="I55" s="366"/>
      <c r="J55" s="366"/>
      <c r="K55" s="366"/>
      <c r="M55" s="261"/>
      <c r="N55" s="366"/>
      <c r="O55" s="366"/>
      <c r="P55" s="366"/>
    </row>
    <row r="56" spans="6:16" s="22" customFormat="1" ht="15" x14ac:dyDescent="0.25">
      <c r="F56" s="366"/>
      <c r="G56" s="366"/>
      <c r="H56" s="366"/>
      <c r="I56" s="366"/>
      <c r="J56" s="366"/>
      <c r="K56" s="366"/>
      <c r="M56" s="261"/>
      <c r="N56" s="366"/>
      <c r="O56" s="366"/>
      <c r="P56" s="366"/>
    </row>
    <row r="57" spans="6:16" s="22" customFormat="1" ht="15" x14ac:dyDescent="0.25">
      <c r="F57" s="366"/>
      <c r="G57" s="366"/>
      <c r="H57" s="366"/>
      <c r="I57" s="366"/>
      <c r="J57" s="366"/>
      <c r="K57" s="366"/>
      <c r="M57" s="261"/>
      <c r="N57" s="366"/>
      <c r="O57" s="366"/>
      <c r="P57" s="366"/>
    </row>
    <row r="58" spans="6:16" s="22" customFormat="1" ht="15" x14ac:dyDescent="0.25">
      <c r="F58" s="366"/>
      <c r="G58" s="366"/>
      <c r="H58" s="366"/>
      <c r="I58" s="366"/>
      <c r="J58" s="366"/>
      <c r="K58" s="366"/>
      <c r="M58" s="261"/>
      <c r="N58" s="366"/>
      <c r="O58" s="366"/>
      <c r="P58" s="366"/>
    </row>
    <row r="59" spans="6:16" s="22" customFormat="1" ht="15" x14ac:dyDescent="0.25">
      <c r="F59" s="366"/>
      <c r="G59" s="366"/>
      <c r="H59" s="366"/>
      <c r="I59" s="366"/>
      <c r="J59" s="366"/>
      <c r="K59" s="366"/>
      <c r="M59" s="261"/>
      <c r="N59" s="366"/>
      <c r="O59" s="366"/>
      <c r="P59" s="366"/>
    </row>
    <row r="60" spans="6:16" s="22" customFormat="1" ht="15" x14ac:dyDescent="0.25">
      <c r="F60" s="366"/>
      <c r="G60" s="366"/>
      <c r="H60" s="366"/>
      <c r="I60" s="366"/>
      <c r="J60" s="366"/>
      <c r="K60" s="366"/>
      <c r="M60" s="261"/>
      <c r="N60" s="366"/>
      <c r="O60" s="366"/>
      <c r="P60" s="366"/>
    </row>
    <row r="61" spans="6:16" s="22" customFormat="1" ht="15" x14ac:dyDescent="0.25">
      <c r="F61" s="366"/>
      <c r="G61" s="366"/>
      <c r="H61" s="366"/>
      <c r="I61" s="366"/>
      <c r="J61" s="366"/>
      <c r="K61" s="366"/>
      <c r="M61" s="261"/>
      <c r="N61" s="366"/>
      <c r="O61" s="366"/>
      <c r="P61" s="366"/>
    </row>
    <row r="62" spans="6:16" s="22" customFormat="1" ht="15" x14ac:dyDescent="0.25">
      <c r="F62" s="366"/>
      <c r="G62" s="366"/>
      <c r="H62" s="366"/>
      <c r="I62" s="366"/>
      <c r="J62" s="366"/>
      <c r="K62" s="366"/>
      <c r="M62" s="261"/>
      <c r="N62" s="366"/>
      <c r="O62" s="366"/>
      <c r="P62" s="366"/>
    </row>
    <row r="63" spans="6:16" s="22" customFormat="1" ht="15" x14ac:dyDescent="0.25">
      <c r="F63" s="366"/>
      <c r="G63" s="366"/>
      <c r="H63" s="366"/>
      <c r="I63" s="366"/>
      <c r="J63" s="366"/>
      <c r="K63" s="366"/>
      <c r="M63" s="261"/>
      <c r="N63" s="366"/>
      <c r="O63" s="366"/>
      <c r="P63" s="366"/>
    </row>
    <row r="64" spans="6:16" s="22" customFormat="1" ht="15" x14ac:dyDescent="0.25">
      <c r="F64" s="366"/>
      <c r="G64" s="366"/>
      <c r="H64" s="366"/>
      <c r="I64" s="366"/>
      <c r="J64" s="366"/>
      <c r="K64" s="366"/>
      <c r="M64" s="261"/>
      <c r="N64" s="366"/>
      <c r="O64" s="366"/>
      <c r="P64" s="366"/>
    </row>
    <row r="65" spans="6:16" s="22" customFormat="1" ht="15" x14ac:dyDescent="0.25">
      <c r="F65" s="366"/>
      <c r="G65" s="366"/>
      <c r="H65" s="366"/>
      <c r="I65" s="366"/>
      <c r="J65" s="366"/>
      <c r="K65" s="366"/>
      <c r="M65" s="261"/>
      <c r="N65" s="366"/>
      <c r="O65" s="366"/>
      <c r="P65" s="366"/>
    </row>
    <row r="66" spans="6:16" s="22" customFormat="1" ht="15" x14ac:dyDescent="0.25">
      <c r="F66" s="366"/>
      <c r="G66" s="366"/>
      <c r="H66" s="366"/>
      <c r="I66" s="366"/>
      <c r="J66" s="366"/>
      <c r="K66" s="366"/>
      <c r="M66" s="261"/>
      <c r="N66" s="366"/>
      <c r="O66" s="366"/>
      <c r="P66" s="366"/>
    </row>
    <row r="67" spans="6:16" s="22" customFormat="1" ht="15" x14ac:dyDescent="0.25">
      <c r="F67" s="366"/>
      <c r="G67" s="366"/>
      <c r="H67" s="366"/>
      <c r="I67" s="366"/>
      <c r="J67" s="366"/>
      <c r="K67" s="366"/>
      <c r="M67" s="261"/>
      <c r="N67" s="366"/>
      <c r="O67" s="366"/>
      <c r="P67" s="366"/>
    </row>
    <row r="68" spans="6:16" s="22" customFormat="1" ht="15" x14ac:dyDescent="0.25">
      <c r="F68" s="366"/>
      <c r="G68" s="366"/>
      <c r="H68" s="366"/>
      <c r="I68" s="366"/>
      <c r="J68" s="366"/>
      <c r="K68" s="366"/>
      <c r="M68" s="261"/>
      <c r="N68" s="366"/>
      <c r="O68" s="366"/>
      <c r="P68" s="366"/>
    </row>
    <row r="69" spans="6:16" s="22" customFormat="1" ht="15" x14ac:dyDescent="0.25">
      <c r="F69" s="366"/>
      <c r="G69" s="366"/>
      <c r="H69" s="366"/>
      <c r="I69" s="366"/>
      <c r="J69" s="366"/>
      <c r="K69" s="366"/>
      <c r="M69" s="261"/>
      <c r="N69" s="366"/>
      <c r="O69" s="366"/>
      <c r="P69" s="366"/>
    </row>
    <row r="70" spans="6:16" s="22" customFormat="1" ht="15" x14ac:dyDescent="0.25">
      <c r="F70" s="366"/>
      <c r="G70" s="366"/>
      <c r="H70" s="366"/>
      <c r="I70" s="366"/>
      <c r="J70" s="366"/>
      <c r="K70" s="366"/>
      <c r="M70" s="261"/>
      <c r="N70" s="366"/>
      <c r="O70" s="366"/>
      <c r="P70" s="366"/>
    </row>
    <row r="71" spans="6:16" s="22" customFormat="1" ht="15" x14ac:dyDescent="0.25">
      <c r="F71" s="366"/>
      <c r="G71" s="366"/>
      <c r="H71" s="366"/>
      <c r="I71" s="366"/>
      <c r="J71" s="366"/>
      <c r="K71" s="366"/>
      <c r="M71" s="261"/>
      <c r="N71" s="366"/>
      <c r="O71" s="366"/>
      <c r="P71" s="366"/>
    </row>
    <row r="72" spans="6:16" s="22" customFormat="1" ht="15" x14ac:dyDescent="0.25">
      <c r="F72" s="366"/>
      <c r="G72" s="366"/>
      <c r="H72" s="366"/>
      <c r="I72" s="366"/>
      <c r="J72" s="366"/>
      <c r="K72" s="366"/>
      <c r="M72" s="261"/>
      <c r="N72" s="366"/>
      <c r="O72" s="366"/>
      <c r="P72" s="366"/>
    </row>
    <row r="73" spans="6:16" s="22" customFormat="1" ht="15" x14ac:dyDescent="0.25">
      <c r="F73" s="366"/>
      <c r="G73" s="366"/>
      <c r="H73" s="366"/>
      <c r="I73" s="366"/>
      <c r="J73" s="366"/>
      <c r="K73" s="366"/>
      <c r="M73" s="261"/>
      <c r="N73" s="366"/>
      <c r="O73" s="366"/>
      <c r="P73" s="366"/>
    </row>
    <row r="74" spans="6:16" s="22" customFormat="1" ht="15" x14ac:dyDescent="0.25">
      <c r="F74" s="366"/>
      <c r="G74" s="366"/>
      <c r="H74" s="366"/>
      <c r="I74" s="366"/>
      <c r="J74" s="366"/>
      <c r="K74" s="366"/>
      <c r="M74" s="261"/>
      <c r="N74" s="366"/>
      <c r="O74" s="366"/>
      <c r="P74" s="366"/>
    </row>
    <row r="75" spans="6:16" s="22" customFormat="1" ht="15" x14ac:dyDescent="0.25">
      <c r="F75" s="366"/>
      <c r="G75" s="366"/>
      <c r="H75" s="366"/>
      <c r="I75" s="366"/>
      <c r="J75" s="366"/>
      <c r="K75" s="366"/>
      <c r="M75" s="261"/>
      <c r="N75" s="366"/>
      <c r="O75" s="366"/>
      <c r="P75" s="366"/>
    </row>
    <row r="76" spans="6:16" s="22" customFormat="1" ht="15" x14ac:dyDescent="0.25">
      <c r="F76" s="366"/>
      <c r="G76" s="366"/>
      <c r="H76" s="366"/>
      <c r="I76" s="366"/>
      <c r="J76" s="366"/>
      <c r="K76" s="366"/>
      <c r="M76" s="261"/>
      <c r="N76" s="366"/>
      <c r="O76" s="366"/>
      <c r="P76" s="366"/>
    </row>
    <row r="77" spans="6:16" s="22" customFormat="1" ht="15" x14ac:dyDescent="0.25">
      <c r="F77" s="366"/>
      <c r="G77" s="366"/>
      <c r="H77" s="366"/>
      <c r="I77" s="366"/>
      <c r="J77" s="366"/>
      <c r="K77" s="366"/>
      <c r="M77" s="261"/>
      <c r="N77" s="366"/>
      <c r="O77" s="366"/>
      <c r="P77" s="366"/>
    </row>
    <row r="78" spans="6:16" s="22" customFormat="1" ht="15" x14ac:dyDescent="0.25">
      <c r="F78" s="366"/>
      <c r="G78" s="366"/>
      <c r="H78" s="366"/>
      <c r="I78" s="366"/>
      <c r="J78" s="366"/>
      <c r="K78" s="366"/>
      <c r="M78" s="261"/>
      <c r="N78" s="366"/>
      <c r="O78" s="366"/>
      <c r="P78" s="366"/>
    </row>
    <row r="79" spans="6:16" s="22" customFormat="1" ht="15" x14ac:dyDescent="0.25">
      <c r="F79" s="366"/>
      <c r="G79" s="366"/>
      <c r="H79" s="366"/>
      <c r="I79" s="366"/>
      <c r="J79" s="366"/>
      <c r="K79" s="366"/>
      <c r="M79" s="261"/>
      <c r="N79" s="366"/>
      <c r="O79" s="366"/>
      <c r="P79" s="366"/>
    </row>
    <row r="80" spans="6:16" s="22" customFormat="1" ht="15" x14ac:dyDescent="0.25">
      <c r="F80" s="366"/>
      <c r="G80" s="366"/>
      <c r="H80" s="366"/>
      <c r="I80" s="366"/>
      <c r="J80" s="366"/>
      <c r="K80" s="366"/>
      <c r="M80" s="261"/>
      <c r="N80" s="366"/>
      <c r="O80" s="366"/>
      <c r="P80" s="366"/>
    </row>
    <row r="81" spans="6:16" s="22" customFormat="1" ht="15" x14ac:dyDescent="0.25">
      <c r="F81" s="366"/>
      <c r="G81" s="366"/>
      <c r="H81" s="366"/>
      <c r="I81" s="366"/>
      <c r="J81" s="366"/>
      <c r="K81" s="366"/>
      <c r="M81" s="261"/>
      <c r="N81" s="366"/>
      <c r="O81" s="366"/>
      <c r="P81" s="366"/>
    </row>
    <row r="82" spans="6:16" s="22" customFormat="1" ht="15" x14ac:dyDescent="0.25">
      <c r="F82" s="366"/>
      <c r="G82" s="366"/>
      <c r="H82" s="366"/>
      <c r="I82" s="366"/>
      <c r="J82" s="366"/>
      <c r="K82" s="366"/>
      <c r="M82" s="261"/>
      <c r="N82" s="366"/>
      <c r="O82" s="366"/>
      <c r="P82" s="366"/>
    </row>
    <row r="83" spans="6:16" s="22" customFormat="1" ht="15" x14ac:dyDescent="0.25">
      <c r="F83" s="366"/>
      <c r="G83" s="366"/>
      <c r="H83" s="366"/>
      <c r="I83" s="366"/>
      <c r="J83" s="366"/>
      <c r="K83" s="366"/>
      <c r="M83" s="261"/>
      <c r="N83" s="366"/>
      <c r="O83" s="366"/>
      <c r="P83" s="366"/>
    </row>
    <row r="84" spans="6:16" s="22" customFormat="1" ht="15" x14ac:dyDescent="0.25">
      <c r="F84" s="366"/>
      <c r="G84" s="366"/>
      <c r="H84" s="366"/>
      <c r="I84" s="366"/>
      <c r="J84" s="366"/>
      <c r="K84" s="366"/>
      <c r="M84" s="261"/>
      <c r="N84" s="366"/>
      <c r="O84" s="366"/>
      <c r="P84" s="366"/>
    </row>
    <row r="85" spans="6:16" s="22" customFormat="1" ht="15" x14ac:dyDescent="0.25">
      <c r="F85" s="366"/>
      <c r="G85" s="366"/>
      <c r="H85" s="366"/>
      <c r="I85" s="366"/>
      <c r="J85" s="366"/>
      <c r="K85" s="366"/>
      <c r="M85" s="261"/>
      <c r="N85" s="366"/>
      <c r="O85" s="366"/>
      <c r="P85" s="366"/>
    </row>
    <row r="86" spans="6:16" s="22" customFormat="1" ht="15" x14ac:dyDescent="0.25">
      <c r="F86" s="366"/>
      <c r="G86" s="366"/>
      <c r="H86" s="366"/>
      <c r="I86" s="366"/>
      <c r="J86" s="366"/>
      <c r="K86" s="366"/>
      <c r="M86" s="261"/>
      <c r="N86" s="366"/>
      <c r="O86" s="366"/>
      <c r="P86" s="366"/>
    </row>
    <row r="87" spans="6:16" s="22" customFormat="1" ht="15" x14ac:dyDescent="0.25">
      <c r="F87" s="366"/>
      <c r="G87" s="366"/>
      <c r="H87" s="366"/>
      <c r="I87" s="366"/>
      <c r="J87" s="366"/>
      <c r="K87" s="366"/>
      <c r="M87" s="261"/>
      <c r="N87" s="366"/>
      <c r="O87" s="366"/>
      <c r="P87" s="366"/>
    </row>
    <row r="88" spans="6:16" s="22" customFormat="1" ht="15" x14ac:dyDescent="0.25">
      <c r="F88" s="366"/>
      <c r="G88" s="366"/>
      <c r="H88" s="366"/>
      <c r="I88" s="366"/>
      <c r="J88" s="366"/>
      <c r="K88" s="366"/>
      <c r="M88" s="261"/>
      <c r="N88" s="366"/>
      <c r="O88" s="366"/>
      <c r="P88" s="366"/>
    </row>
    <row r="89" spans="6:16" s="22" customFormat="1" ht="15" x14ac:dyDescent="0.25">
      <c r="F89" s="366"/>
      <c r="G89" s="366"/>
      <c r="H89" s="366"/>
      <c r="I89" s="366"/>
      <c r="J89" s="366"/>
      <c r="K89" s="366"/>
      <c r="M89" s="261"/>
      <c r="N89" s="366"/>
      <c r="O89" s="366"/>
      <c r="P89" s="366"/>
    </row>
    <row r="90" spans="6:16" s="22" customFormat="1" ht="15" x14ac:dyDescent="0.25">
      <c r="F90" s="366"/>
      <c r="G90" s="366"/>
      <c r="H90" s="366"/>
      <c r="I90" s="366"/>
      <c r="J90" s="366"/>
      <c r="K90" s="366"/>
      <c r="M90" s="261"/>
      <c r="N90" s="366"/>
      <c r="O90" s="366"/>
      <c r="P90" s="366"/>
    </row>
    <row r="91" spans="6:16" s="22" customFormat="1" ht="15" x14ac:dyDescent="0.25">
      <c r="F91" s="366"/>
      <c r="G91" s="366"/>
      <c r="H91" s="366"/>
      <c r="I91" s="366"/>
      <c r="J91" s="366"/>
      <c r="K91" s="366"/>
      <c r="M91" s="261"/>
      <c r="N91" s="366"/>
      <c r="O91" s="366"/>
      <c r="P91" s="366"/>
    </row>
    <row r="92" spans="6:16" s="22" customFormat="1" ht="15" x14ac:dyDescent="0.25">
      <c r="F92" s="366"/>
      <c r="G92" s="366"/>
      <c r="H92" s="366"/>
      <c r="I92" s="366"/>
      <c r="J92" s="366"/>
      <c r="K92" s="366"/>
      <c r="M92" s="261"/>
      <c r="N92" s="366"/>
      <c r="O92" s="366"/>
      <c r="P92" s="366"/>
    </row>
    <row r="93" spans="6:16" s="22" customFormat="1" ht="15" x14ac:dyDescent="0.25">
      <c r="F93" s="366"/>
      <c r="G93" s="366"/>
      <c r="H93" s="366"/>
      <c r="I93" s="366"/>
      <c r="J93" s="366"/>
      <c r="K93" s="366"/>
      <c r="M93" s="261"/>
      <c r="N93" s="366"/>
      <c r="O93" s="366"/>
      <c r="P93" s="366"/>
    </row>
    <row r="94" spans="6:16" s="22" customFormat="1" ht="15" x14ac:dyDescent="0.25">
      <c r="F94" s="366"/>
      <c r="G94" s="366"/>
      <c r="H94" s="366"/>
      <c r="I94" s="366"/>
      <c r="J94" s="366"/>
      <c r="K94" s="366"/>
      <c r="M94" s="261"/>
      <c r="N94" s="366"/>
      <c r="O94" s="366"/>
      <c r="P94" s="366"/>
    </row>
    <row r="95" spans="6:16" s="22" customFormat="1" ht="15" x14ac:dyDescent="0.25">
      <c r="F95" s="366"/>
      <c r="G95" s="366"/>
      <c r="H95" s="366"/>
      <c r="I95" s="366"/>
      <c r="J95" s="366"/>
      <c r="K95" s="366"/>
      <c r="M95" s="261"/>
      <c r="N95" s="366"/>
      <c r="O95" s="366"/>
      <c r="P95" s="366"/>
    </row>
  </sheetData>
  <mergeCells count="3">
    <mergeCell ref="F3:H3"/>
    <mergeCell ref="I3:K3"/>
    <mergeCell ref="N3:P3"/>
  </mergeCells>
  <phoneticPr fontId="0" type="noConversion"/>
  <pageMargins left="0.27" right="0.25" top="0.62" bottom="0.53" header="0.27" footer="0.5"/>
  <pageSetup scale="60" orientation="landscape" r:id="rId1"/>
  <headerFooter alignWithMargins="0">
    <oddHeader>&amp;C&amp;"Arial,Bold"&amp;16HIGHLY CONFIDENTIAL</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W94"/>
  <sheetViews>
    <sheetView topLeftCell="B1" zoomScale="75" workbookViewId="0">
      <selection activeCell="F24" sqref="F24"/>
    </sheetView>
  </sheetViews>
  <sheetFormatPr defaultRowHeight="13.2" x14ac:dyDescent="0.25"/>
  <cols>
    <col min="1" max="1" width="49.44140625" customWidth="1"/>
    <col min="2" max="2" width="31.109375" bestFit="1" customWidth="1"/>
    <col min="3" max="3" width="14.109375" hidden="1" customWidth="1"/>
    <col min="4" max="4" width="50.44140625" bestFit="1" customWidth="1"/>
    <col min="5" max="5" width="17.6640625" hidden="1" customWidth="1"/>
    <col min="6" max="6" width="18.33203125" customWidth="1"/>
    <col min="7" max="7" width="20.5546875" customWidth="1"/>
    <col min="8" max="8" width="4.5546875" customWidth="1"/>
    <col min="9" max="9" width="20.44140625" hidden="1" customWidth="1"/>
    <col min="10" max="10" width="26" customWidth="1"/>
    <col min="11" max="11" width="21.44140625" customWidth="1"/>
    <col min="12" max="12" width="29.44140625" customWidth="1"/>
    <col min="13" max="13" width="17" customWidth="1"/>
    <col min="14" max="14" width="21.6640625" customWidth="1"/>
  </cols>
  <sheetData>
    <row r="1" spans="1:13" ht="21" x14ac:dyDescent="0.4">
      <c r="A1" s="17" t="s">
        <v>63</v>
      </c>
    </row>
    <row r="2" spans="1:13" ht="17.399999999999999" x14ac:dyDescent="0.3">
      <c r="A2" s="16" t="s">
        <v>147</v>
      </c>
      <c r="B2" s="15">
        <f>+'PG&amp;E Corp.  '!B2</f>
        <v>37049</v>
      </c>
      <c r="C2" s="15"/>
    </row>
    <row r="3" spans="1:13" s="22" customFormat="1" ht="15" x14ac:dyDescent="0.25">
      <c r="A3" s="21"/>
      <c r="B3" s="21"/>
      <c r="C3" s="21"/>
      <c r="D3" s="21"/>
      <c r="E3" s="21"/>
      <c r="F3" s="21"/>
      <c r="G3" s="21"/>
      <c r="H3" s="21"/>
      <c r="I3" s="21"/>
      <c r="J3" s="21"/>
    </row>
    <row r="4" spans="1:13" s="22" customFormat="1" ht="15.6" x14ac:dyDescent="0.3">
      <c r="A4" s="27"/>
      <c r="B4" s="27"/>
      <c r="C4" s="27"/>
      <c r="D4" s="18"/>
      <c r="E4" s="18"/>
      <c r="F4" s="18" t="s">
        <v>37</v>
      </c>
      <c r="G4" s="18" t="s">
        <v>38</v>
      </c>
      <c r="J4" s="18" t="s">
        <v>11</v>
      </c>
      <c r="K4" s="18" t="s">
        <v>51</v>
      </c>
      <c r="L4" s="33"/>
      <c r="M4" s="52" t="s">
        <v>53</v>
      </c>
    </row>
    <row r="5" spans="1:13" s="22" customFormat="1" ht="15.6" x14ac:dyDescent="0.3">
      <c r="A5" s="30" t="s">
        <v>13</v>
      </c>
      <c r="B5" s="30" t="s">
        <v>14</v>
      </c>
      <c r="C5" s="30" t="s">
        <v>126</v>
      </c>
      <c r="D5" s="53" t="s">
        <v>39</v>
      </c>
      <c r="E5" s="18"/>
      <c r="F5" s="18" t="s">
        <v>40</v>
      </c>
      <c r="G5" s="18" t="s">
        <v>41</v>
      </c>
      <c r="J5" s="18" t="s">
        <v>19</v>
      </c>
      <c r="K5" s="18" t="s">
        <v>20</v>
      </c>
      <c r="L5" s="54"/>
      <c r="M5" s="55" t="s">
        <v>54</v>
      </c>
    </row>
    <row r="6" spans="1:13" s="22" customFormat="1" ht="15.6" x14ac:dyDescent="0.3">
      <c r="A6" s="30"/>
      <c r="B6" s="30"/>
      <c r="C6" s="30"/>
      <c r="D6" s="53"/>
      <c r="E6" s="18"/>
      <c r="F6" s="18"/>
      <c r="G6" s="18"/>
      <c r="J6" s="18"/>
      <c r="K6" s="18"/>
      <c r="L6" s="54"/>
      <c r="M6" s="55"/>
    </row>
    <row r="7" spans="1:13" s="47" customFormat="1" ht="15.6" x14ac:dyDescent="0.3">
      <c r="A7" s="29" t="s">
        <v>42</v>
      </c>
      <c r="B7" s="28" t="s">
        <v>1</v>
      </c>
      <c r="C7" s="141" t="s">
        <v>122</v>
      </c>
      <c r="D7" s="228" t="s">
        <v>172</v>
      </c>
      <c r="E7" s="229"/>
      <c r="F7" s="230">
        <v>41504394</v>
      </c>
      <c r="G7" s="231"/>
      <c r="H7" s="47" t="s">
        <v>195</v>
      </c>
      <c r="J7" s="29">
        <f>+F7</f>
        <v>41504394</v>
      </c>
      <c r="K7" s="229"/>
      <c r="L7" s="232"/>
      <c r="M7" s="233">
        <v>36924</v>
      </c>
    </row>
    <row r="8" spans="1:13" s="22" customFormat="1" ht="15.6" x14ac:dyDescent="0.3">
      <c r="A8" s="27" t="s">
        <v>42</v>
      </c>
      <c r="B8" s="21" t="s">
        <v>1</v>
      </c>
      <c r="C8" s="30" t="s">
        <v>122</v>
      </c>
      <c r="D8" s="56" t="s">
        <v>173</v>
      </c>
      <c r="E8" s="46"/>
      <c r="F8" s="57"/>
      <c r="G8" s="58">
        <v>0</v>
      </c>
      <c r="H8" s="22" t="s">
        <v>196</v>
      </c>
      <c r="J8" s="27"/>
      <c r="K8" s="57">
        <f>+G8</f>
        <v>0</v>
      </c>
      <c r="L8" s="33"/>
      <c r="M8" s="60"/>
    </row>
    <row r="9" spans="1:13" s="22" customFormat="1" ht="15.6" x14ac:dyDescent="0.3">
      <c r="A9" s="27" t="s">
        <v>42</v>
      </c>
      <c r="B9" s="21" t="s">
        <v>1</v>
      </c>
      <c r="C9" s="30"/>
      <c r="D9" s="61" t="s">
        <v>182</v>
      </c>
      <c r="E9" s="46"/>
      <c r="F9" s="57"/>
      <c r="G9" s="58">
        <v>0</v>
      </c>
      <c r="H9" s="22" t="s">
        <v>196</v>
      </c>
      <c r="J9" s="27"/>
      <c r="K9" s="57">
        <f>+G9</f>
        <v>0</v>
      </c>
      <c r="L9" s="33"/>
      <c r="M9" s="60"/>
    </row>
    <row r="10" spans="1:13" s="22" customFormat="1" ht="15.6" x14ac:dyDescent="0.3">
      <c r="A10" s="27" t="s">
        <v>42</v>
      </c>
      <c r="B10" s="21" t="s">
        <v>1</v>
      </c>
      <c r="C10" s="30" t="s">
        <v>122</v>
      </c>
      <c r="D10" s="61" t="s">
        <v>181</v>
      </c>
      <c r="E10" s="46"/>
      <c r="F10" s="57"/>
      <c r="G10" s="58">
        <v>0</v>
      </c>
      <c r="H10" s="22" t="s">
        <v>196</v>
      </c>
      <c r="J10" s="27"/>
      <c r="K10" s="57">
        <f>+G10</f>
        <v>0</v>
      </c>
      <c r="L10" s="48"/>
      <c r="M10" s="60"/>
    </row>
    <row r="11" spans="1:13" s="22" customFormat="1" ht="15.6" x14ac:dyDescent="0.3">
      <c r="A11" s="27" t="s">
        <v>42</v>
      </c>
      <c r="B11" s="21" t="s">
        <v>46</v>
      </c>
      <c r="C11" s="30" t="s">
        <v>125</v>
      </c>
      <c r="D11" s="61" t="s">
        <v>172</v>
      </c>
      <c r="E11" s="46"/>
      <c r="F11" s="58">
        <v>6243321.2999999998</v>
      </c>
      <c r="G11" s="57"/>
      <c r="J11" s="27">
        <f>+F11</f>
        <v>6243321.2999999998</v>
      </c>
      <c r="K11" s="46"/>
      <c r="L11" s="48"/>
      <c r="M11" s="59">
        <v>36924</v>
      </c>
    </row>
    <row r="12" spans="1:13" s="22" customFormat="1" ht="15.6" x14ac:dyDescent="0.3">
      <c r="A12" s="27" t="s">
        <v>42</v>
      </c>
      <c r="B12" s="21" t="s">
        <v>46</v>
      </c>
      <c r="C12" s="30" t="s">
        <v>125</v>
      </c>
      <c r="D12" s="61" t="s">
        <v>173</v>
      </c>
      <c r="E12" s="46"/>
      <c r="F12" s="58">
        <v>41224222</v>
      </c>
      <c r="G12" s="57"/>
      <c r="J12" s="27">
        <f>+F12</f>
        <v>41224222</v>
      </c>
      <c r="K12" s="46"/>
      <c r="L12" s="48"/>
      <c r="M12" s="60">
        <v>36955</v>
      </c>
    </row>
    <row r="13" spans="1:13" s="22" customFormat="1" ht="15.6" x14ac:dyDescent="0.3">
      <c r="A13" s="27" t="s">
        <v>42</v>
      </c>
      <c r="B13" s="21" t="s">
        <v>46</v>
      </c>
      <c r="C13" s="30" t="s">
        <v>125</v>
      </c>
      <c r="D13" s="61" t="s">
        <v>182</v>
      </c>
      <c r="E13" s="46"/>
      <c r="F13" s="58">
        <v>10586073</v>
      </c>
      <c r="G13" s="57"/>
      <c r="J13" s="27">
        <f>+F13</f>
        <v>10586073</v>
      </c>
      <c r="K13" s="46"/>
      <c r="L13" s="48"/>
      <c r="M13" s="60"/>
    </row>
    <row r="14" spans="1:13" s="22" customFormat="1" ht="15.6" x14ac:dyDescent="0.3">
      <c r="A14" s="27" t="s">
        <v>42</v>
      </c>
      <c r="B14" s="21" t="s">
        <v>46</v>
      </c>
      <c r="C14" s="30" t="s">
        <v>125</v>
      </c>
      <c r="D14" s="61" t="s">
        <v>197</v>
      </c>
      <c r="E14" s="46"/>
      <c r="F14" s="58">
        <f>4358562</f>
        <v>4358562</v>
      </c>
      <c r="G14" s="57"/>
      <c r="J14" s="27">
        <f>+F14</f>
        <v>4358562</v>
      </c>
      <c r="K14" s="46"/>
      <c r="L14" s="48"/>
      <c r="M14" s="60">
        <v>36984</v>
      </c>
    </row>
    <row r="15" spans="1:13" s="22" customFormat="1" ht="15.6" thickBot="1" x14ac:dyDescent="0.3">
      <c r="E15" s="62"/>
      <c r="F15" s="63"/>
      <c r="G15" s="64"/>
      <c r="J15" s="65"/>
      <c r="K15" s="66"/>
      <c r="L15" s="33"/>
    </row>
    <row r="16" spans="1:13" s="22" customFormat="1" ht="16.2" thickTop="1" x14ac:dyDescent="0.3">
      <c r="A16" s="10" t="s">
        <v>47</v>
      </c>
      <c r="E16" s="46"/>
      <c r="F16" s="27">
        <f>SUM(F7:F14)</f>
        <v>103916572.3</v>
      </c>
      <c r="G16" s="27">
        <f>SUM(G7:G14)</f>
        <v>0</v>
      </c>
      <c r="J16" s="10">
        <f>SUM(J7:J14)</f>
        <v>103916572.3</v>
      </c>
      <c r="K16" s="10">
        <f>SUM(K7:K14)</f>
        <v>0</v>
      </c>
      <c r="L16" s="67"/>
    </row>
    <row r="17" spans="1:127" s="22" customFormat="1" ht="15" x14ac:dyDescent="0.25">
      <c r="E17" s="68"/>
      <c r="F17" s="46"/>
      <c r="G17" s="46"/>
      <c r="K17" s="46"/>
      <c r="L17" s="33"/>
    </row>
    <row r="18" spans="1:127" s="22" customFormat="1" ht="15.6" x14ac:dyDescent="0.3">
      <c r="E18" s="68"/>
      <c r="F18" s="46"/>
      <c r="G18" s="46"/>
      <c r="L18" s="33"/>
      <c r="M18" s="19"/>
    </row>
    <row r="19" spans="1:127" s="22" customFormat="1" ht="15.6" x14ac:dyDescent="0.3">
      <c r="E19" s="68"/>
      <c r="F19" s="42"/>
      <c r="G19" s="42"/>
      <c r="L19" s="35" t="s">
        <v>55</v>
      </c>
      <c r="M19" s="19" t="s">
        <v>56</v>
      </c>
    </row>
    <row r="20" spans="1:127" s="22" customFormat="1" ht="15.6" x14ac:dyDescent="0.3">
      <c r="D20" s="18"/>
      <c r="E20" s="18" t="s">
        <v>8</v>
      </c>
      <c r="F20" s="69" t="s">
        <v>37</v>
      </c>
      <c r="G20" s="69" t="s">
        <v>38</v>
      </c>
      <c r="J20" s="18" t="s">
        <v>11</v>
      </c>
      <c r="K20" s="18" t="s">
        <v>52</v>
      </c>
      <c r="L20" s="35" t="s">
        <v>57</v>
      </c>
      <c r="M20" s="19" t="s">
        <v>58</v>
      </c>
    </row>
    <row r="21" spans="1:127" s="22" customFormat="1" ht="15.6" x14ac:dyDescent="0.3">
      <c r="A21" s="30" t="s">
        <v>13</v>
      </c>
      <c r="B21" s="30" t="s">
        <v>14</v>
      </c>
      <c r="C21" s="30"/>
      <c r="D21" s="70" t="s">
        <v>39</v>
      </c>
      <c r="E21" s="18" t="s">
        <v>15</v>
      </c>
      <c r="F21" s="18" t="s">
        <v>40</v>
      </c>
      <c r="G21" s="18" t="s">
        <v>41</v>
      </c>
      <c r="J21" s="18" t="s">
        <v>19</v>
      </c>
      <c r="K21" s="18" t="s">
        <v>20</v>
      </c>
      <c r="L21" s="71" t="s">
        <v>59</v>
      </c>
      <c r="M21" s="72" t="s">
        <v>59</v>
      </c>
    </row>
    <row r="22" spans="1:127" s="22" customFormat="1" ht="15.6" x14ac:dyDescent="0.3">
      <c r="A22" s="22" t="s">
        <v>48</v>
      </c>
      <c r="B22" s="21" t="s">
        <v>1</v>
      </c>
      <c r="C22" s="30" t="s">
        <v>122</v>
      </c>
      <c r="D22" s="68" t="s">
        <v>177</v>
      </c>
      <c r="E22" s="27"/>
      <c r="F22" s="58">
        <v>19262.939999999999</v>
      </c>
      <c r="G22" s="58">
        <v>0</v>
      </c>
      <c r="J22" s="27">
        <f>+F22</f>
        <v>19262.939999999999</v>
      </c>
      <c r="K22" s="27">
        <f>+G22</f>
        <v>0</v>
      </c>
      <c r="L22" s="53">
        <v>36923</v>
      </c>
      <c r="M22" s="73">
        <v>36927</v>
      </c>
    </row>
    <row r="23" spans="1:127" s="22" customFormat="1" ht="15.6" x14ac:dyDescent="0.3">
      <c r="A23" s="22" t="s">
        <v>48</v>
      </c>
      <c r="B23" s="21" t="s">
        <v>1</v>
      </c>
      <c r="C23" s="30" t="s">
        <v>122</v>
      </c>
      <c r="D23" s="74" t="s">
        <v>174</v>
      </c>
      <c r="E23" s="27"/>
      <c r="F23" s="58"/>
      <c r="G23" s="58">
        <v>0</v>
      </c>
      <c r="H23" s="22" t="s">
        <v>198</v>
      </c>
      <c r="J23" s="27"/>
      <c r="K23" s="27"/>
      <c r="L23" s="53">
        <v>36952</v>
      </c>
      <c r="M23" s="73">
        <v>36956</v>
      </c>
    </row>
    <row r="24" spans="1:127" s="22" customFormat="1" ht="47.25" customHeight="1" x14ac:dyDescent="0.25">
      <c r="A24" s="403" t="s">
        <v>48</v>
      </c>
      <c r="B24" s="404" t="s">
        <v>1</v>
      </c>
      <c r="C24" s="405" t="s">
        <v>122</v>
      </c>
      <c r="D24" s="406" t="s">
        <v>176</v>
      </c>
      <c r="E24" s="407"/>
      <c r="F24" s="408">
        <v>8253866</v>
      </c>
      <c r="G24" s="408"/>
      <c r="H24" s="403" t="s">
        <v>199</v>
      </c>
      <c r="I24" s="403"/>
      <c r="J24" s="407">
        <f>+F24</f>
        <v>8253866</v>
      </c>
      <c r="K24" s="407"/>
      <c r="L24" s="409">
        <v>36907</v>
      </c>
      <c r="M24" s="410">
        <v>36909</v>
      </c>
      <c r="N24" s="403" t="s">
        <v>145</v>
      </c>
    </row>
    <row r="25" spans="1:127" s="22" customFormat="1" ht="15.6" x14ac:dyDescent="0.3">
      <c r="A25" s="22" t="s">
        <v>48</v>
      </c>
      <c r="B25" s="21" t="s">
        <v>1</v>
      </c>
      <c r="C25" s="30" t="s">
        <v>122</v>
      </c>
      <c r="D25" s="74" t="s">
        <v>175</v>
      </c>
      <c r="E25" s="27"/>
      <c r="F25" s="58"/>
      <c r="G25" s="58">
        <v>0</v>
      </c>
      <c r="H25" s="22" t="s">
        <v>200</v>
      </c>
      <c r="J25" s="27"/>
      <c r="K25" s="27"/>
      <c r="L25" s="53">
        <v>36907</v>
      </c>
      <c r="M25" s="73">
        <v>36909</v>
      </c>
      <c r="N25" s="22" t="s">
        <v>144</v>
      </c>
    </row>
    <row r="26" spans="1:127" s="22" customFormat="1" ht="15.6" x14ac:dyDescent="0.3">
      <c r="A26" s="22" t="s">
        <v>48</v>
      </c>
      <c r="B26" s="21" t="s">
        <v>1</v>
      </c>
      <c r="C26" s="30" t="s">
        <v>122</v>
      </c>
      <c r="D26" s="74" t="s">
        <v>180</v>
      </c>
      <c r="E26" s="27"/>
      <c r="F26" s="58"/>
      <c r="G26" s="58">
        <v>0</v>
      </c>
      <c r="H26" s="22" t="s">
        <v>201</v>
      </c>
      <c r="J26" s="27"/>
      <c r="K26" s="27">
        <f>+G26</f>
        <v>0</v>
      </c>
      <c r="L26" s="53">
        <v>36983</v>
      </c>
      <c r="M26" s="73">
        <v>36985</v>
      </c>
    </row>
    <row r="27" spans="1:127" s="22" customFormat="1" ht="15.6" x14ac:dyDescent="0.3">
      <c r="A27" s="22" t="s">
        <v>48</v>
      </c>
      <c r="B27" s="21" t="s">
        <v>1</v>
      </c>
      <c r="C27" s="30" t="s">
        <v>122</v>
      </c>
      <c r="D27" s="74" t="s">
        <v>179</v>
      </c>
      <c r="E27" s="27"/>
      <c r="F27" s="58"/>
      <c r="G27" s="58">
        <v>-24715955</v>
      </c>
      <c r="H27" s="22" t="s">
        <v>202</v>
      </c>
      <c r="J27" s="27"/>
      <c r="K27" s="27">
        <f>+G27</f>
        <v>-24715955</v>
      </c>
      <c r="L27" s="53">
        <v>36937</v>
      </c>
      <c r="M27" s="73">
        <v>36942</v>
      </c>
    </row>
    <row r="28" spans="1:127" s="22" customFormat="1" ht="15.6" x14ac:dyDescent="0.3">
      <c r="A28" s="22" t="s">
        <v>48</v>
      </c>
      <c r="B28" s="21" t="s">
        <v>1</v>
      </c>
      <c r="C28" s="30" t="s">
        <v>122</v>
      </c>
      <c r="D28" s="74" t="s">
        <v>186</v>
      </c>
      <c r="E28" s="27"/>
      <c r="F28" s="58"/>
      <c r="G28" s="58">
        <v>-13338016</v>
      </c>
      <c r="H28" s="22" t="s">
        <v>202</v>
      </c>
      <c r="J28" s="27"/>
      <c r="K28" s="27">
        <f>+G28</f>
        <v>-13338016</v>
      </c>
      <c r="L28" s="53">
        <v>36937</v>
      </c>
      <c r="M28" s="73">
        <v>36942</v>
      </c>
    </row>
    <row r="29" spans="1:127" s="22" customFormat="1" ht="17.25" customHeight="1" x14ac:dyDescent="0.3">
      <c r="A29" s="22" t="s">
        <v>48</v>
      </c>
      <c r="B29" s="21" t="s">
        <v>1</v>
      </c>
      <c r="C29" s="30" t="s">
        <v>122</v>
      </c>
      <c r="D29" s="74" t="s">
        <v>203</v>
      </c>
      <c r="E29" s="27"/>
      <c r="F29" s="58"/>
      <c r="G29" s="58">
        <v>0</v>
      </c>
      <c r="H29" s="22" t="s">
        <v>204</v>
      </c>
      <c r="J29" s="27"/>
      <c r="K29" s="27"/>
      <c r="L29" s="53"/>
      <c r="M29" s="73"/>
    </row>
    <row r="30" spans="1:127" s="22" customFormat="1" ht="15.6" x14ac:dyDescent="0.3">
      <c r="A30" s="22" t="s">
        <v>48</v>
      </c>
      <c r="B30" s="21" t="s">
        <v>1</v>
      </c>
      <c r="C30" s="30"/>
      <c r="D30" s="74" t="s">
        <v>205</v>
      </c>
      <c r="E30" s="27"/>
      <c r="F30" s="58"/>
      <c r="G30" s="58">
        <v>101</v>
      </c>
      <c r="J30" s="27"/>
      <c r="K30" s="27">
        <f>+G30</f>
        <v>101</v>
      </c>
      <c r="L30" s="53"/>
      <c r="M30" s="73"/>
    </row>
    <row r="31" spans="1:127" s="47" customFormat="1" ht="15.6" x14ac:dyDescent="0.3">
      <c r="A31" s="22" t="s">
        <v>48</v>
      </c>
      <c r="B31" s="21" t="s">
        <v>46</v>
      </c>
      <c r="C31" s="30" t="s">
        <v>125</v>
      </c>
      <c r="D31" s="61" t="s">
        <v>206</v>
      </c>
      <c r="E31" s="48"/>
      <c r="F31" s="58">
        <v>9280</v>
      </c>
      <c r="G31" s="58"/>
      <c r="H31" s="48"/>
      <c r="I31" s="48"/>
      <c r="J31" s="427">
        <f t="shared" ref="J31:J36" si="0">+F31</f>
        <v>9280</v>
      </c>
      <c r="K31" s="27">
        <f>+G31</f>
        <v>0</v>
      </c>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row>
    <row r="32" spans="1:127" s="47" customFormat="1" ht="15.6" x14ac:dyDescent="0.3">
      <c r="A32" s="22" t="s">
        <v>48</v>
      </c>
      <c r="B32" s="21" t="s">
        <v>46</v>
      </c>
      <c r="C32" s="30" t="s">
        <v>125</v>
      </c>
      <c r="D32" s="61" t="s">
        <v>177</v>
      </c>
      <c r="E32" s="48"/>
      <c r="F32" s="58">
        <v>1221198</v>
      </c>
      <c r="G32" s="58"/>
      <c r="H32" s="48"/>
      <c r="I32" s="48"/>
      <c r="J32" s="27">
        <f t="shared" si="0"/>
        <v>1221198</v>
      </c>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row>
    <row r="33" spans="1:13" s="22" customFormat="1" ht="21" customHeight="1" x14ac:dyDescent="0.3">
      <c r="B33" s="21"/>
      <c r="C33" s="30"/>
      <c r="D33" s="74" t="s">
        <v>207</v>
      </c>
      <c r="E33" s="48"/>
      <c r="F33" s="58">
        <v>333417.38</v>
      </c>
      <c r="G33" s="58"/>
      <c r="J33" s="27">
        <f t="shared" si="0"/>
        <v>333417.38</v>
      </c>
      <c r="K33" s="27"/>
      <c r="L33" s="75"/>
      <c r="M33" s="60"/>
    </row>
    <row r="34" spans="1:13" s="22" customFormat="1" ht="21" customHeight="1" x14ac:dyDescent="0.3">
      <c r="A34" s="22" t="s">
        <v>48</v>
      </c>
      <c r="B34" s="21" t="s">
        <v>46</v>
      </c>
      <c r="D34" s="74" t="s">
        <v>208</v>
      </c>
      <c r="E34" s="48"/>
      <c r="F34" s="58">
        <v>120</v>
      </c>
      <c r="G34" s="58"/>
      <c r="J34" s="27">
        <f t="shared" si="0"/>
        <v>120</v>
      </c>
      <c r="K34" s="27"/>
      <c r="L34" s="75"/>
      <c r="M34" s="60"/>
    </row>
    <row r="35" spans="1:13" s="22" customFormat="1" ht="21" customHeight="1" x14ac:dyDescent="0.3">
      <c r="A35" s="22" t="s">
        <v>48</v>
      </c>
      <c r="B35" s="21" t="s">
        <v>46</v>
      </c>
      <c r="D35" s="74" t="s">
        <v>178</v>
      </c>
      <c r="E35" s="48"/>
      <c r="F35" s="58">
        <v>7623476</v>
      </c>
      <c r="G35" s="58"/>
      <c r="J35" s="27">
        <f t="shared" si="0"/>
        <v>7623476</v>
      </c>
      <c r="K35" s="27"/>
      <c r="L35" s="75"/>
      <c r="M35" s="60"/>
    </row>
    <row r="36" spans="1:13" s="22" customFormat="1" ht="15.6" thickBot="1" x14ac:dyDescent="0.3">
      <c r="A36" s="22" t="s">
        <v>48</v>
      </c>
      <c r="B36" s="21" t="s">
        <v>46</v>
      </c>
      <c r="D36" s="74" t="s">
        <v>209</v>
      </c>
      <c r="E36" s="76"/>
      <c r="F36" s="63">
        <v>0</v>
      </c>
      <c r="G36" s="64"/>
      <c r="J36" s="37">
        <f t="shared" si="0"/>
        <v>0</v>
      </c>
      <c r="K36" s="37"/>
      <c r="L36" s="77"/>
    </row>
    <row r="37" spans="1:13" s="22" customFormat="1" ht="16.2" thickTop="1" x14ac:dyDescent="0.3">
      <c r="A37" s="34" t="s">
        <v>50</v>
      </c>
      <c r="E37" s="78"/>
      <c r="F37" s="10">
        <f>SUM(F22:F36)+0.7</f>
        <v>17460621.02</v>
      </c>
      <c r="G37" s="10">
        <f>SUM(G22:G36)</f>
        <v>-38053870</v>
      </c>
      <c r="J37" s="10">
        <f>SUM(J22:J36)</f>
        <v>17460620.32</v>
      </c>
      <c r="K37" s="10">
        <f>SUM(K22:K36)</f>
        <v>-38053870</v>
      </c>
      <c r="L37" s="79"/>
    </row>
    <row r="38" spans="1:13" s="22" customFormat="1" ht="15" x14ac:dyDescent="0.25">
      <c r="E38" s="56"/>
      <c r="F38" s="58"/>
      <c r="J38" s="73"/>
      <c r="L38" s="77"/>
    </row>
    <row r="39" spans="1:13" s="22" customFormat="1" ht="15.6" x14ac:dyDescent="0.3">
      <c r="E39" s="80"/>
      <c r="F39" s="81"/>
      <c r="L39" s="82"/>
    </row>
    <row r="40" spans="1:13" s="22" customFormat="1" ht="15.6" x14ac:dyDescent="0.3">
      <c r="A40" s="34"/>
      <c r="J40" s="34"/>
      <c r="L40" s="82"/>
    </row>
    <row r="41" spans="1:13" s="22" customFormat="1" ht="15.6" x14ac:dyDescent="0.3">
      <c r="A41" s="34" t="s">
        <v>210</v>
      </c>
      <c r="B41" s="34"/>
      <c r="D41" s="10"/>
      <c r="J41" s="34"/>
      <c r="L41" s="82"/>
    </row>
    <row r="42" spans="1:13" s="22" customFormat="1" ht="15" x14ac:dyDescent="0.25">
      <c r="A42" s="1" t="s">
        <v>211</v>
      </c>
      <c r="B42" s="27"/>
      <c r="D42" s="27"/>
    </row>
    <row r="43" spans="1:13" s="22" customFormat="1" ht="15.6" hidden="1" x14ac:dyDescent="0.3">
      <c r="A43" s="428" t="s">
        <v>212</v>
      </c>
      <c r="B43" s="27"/>
      <c r="D43" s="27"/>
      <c r="G43" s="6"/>
      <c r="J43" s="11" t="s">
        <v>60</v>
      </c>
      <c r="L43" s="13" t="s">
        <v>61</v>
      </c>
    </row>
    <row r="44" spans="1:13" s="22" customFormat="1" ht="15.6" hidden="1" x14ac:dyDescent="0.3">
      <c r="A44" s="1" t="s">
        <v>213</v>
      </c>
      <c r="B44" s="27"/>
      <c r="D44" s="12"/>
      <c r="G44" s="7"/>
      <c r="J44" s="7">
        <v>0</v>
      </c>
      <c r="L44" s="7">
        <f>+'[1]PG&amp;E Corp.  '!S15</f>
        <v>282384619.04401124</v>
      </c>
    </row>
    <row r="45" spans="1:13" s="22" customFormat="1" ht="15.6" hidden="1" x14ac:dyDescent="0.3">
      <c r="A45" s="428"/>
      <c r="B45" s="27"/>
      <c r="D45" s="12"/>
      <c r="G45" s="7"/>
      <c r="J45" s="7">
        <v>0</v>
      </c>
      <c r="L45" s="7">
        <f>+'[1]PG&amp;E Corp.  '!S21+'[1]PG&amp;E Corp.  '!S33+'[1]PG&amp;E Corp.  '!S39+'[1]PG&amp;E Corp.  '!S47</f>
        <v>183980446</v>
      </c>
    </row>
    <row r="46" spans="1:13" s="22" customFormat="1" ht="15.6" hidden="1" x14ac:dyDescent="0.3">
      <c r="A46" s="428"/>
      <c r="B46" s="27"/>
      <c r="D46" s="12"/>
      <c r="G46" s="7"/>
      <c r="J46" s="7">
        <v>0</v>
      </c>
      <c r="L46" s="7">
        <f>+'[1]PG&amp;E Corp.  '!Q58</f>
        <v>65544466</v>
      </c>
    </row>
    <row r="47" spans="1:13" s="22" customFormat="1" ht="15.6" hidden="1" x14ac:dyDescent="0.3">
      <c r="A47" s="428"/>
      <c r="B47" s="27"/>
      <c r="D47" s="12"/>
      <c r="G47" s="7"/>
      <c r="J47" s="7">
        <f>+'[1]Edison Int''l '!Q8</f>
        <v>53333333</v>
      </c>
      <c r="L47" s="7">
        <f>+'[1]Edison Int''l '!S12</f>
        <v>288155945.17102802</v>
      </c>
    </row>
    <row r="48" spans="1:13" s="22" customFormat="1" ht="15.6" hidden="1" x14ac:dyDescent="0.3">
      <c r="A48" s="428"/>
      <c r="B48" s="27"/>
      <c r="D48" s="12"/>
      <c r="G48" s="7"/>
      <c r="J48" s="7">
        <v>0</v>
      </c>
      <c r="L48" s="14">
        <f>+'[1]Edison Int''l '!Q25</f>
        <v>10377138</v>
      </c>
    </row>
    <row r="49" spans="1:12" s="22" customFormat="1" ht="16.8" hidden="1" thickTop="1" thickBot="1" x14ac:dyDescent="0.35">
      <c r="A49" s="428"/>
      <c r="B49" s="27"/>
      <c r="D49" s="12"/>
      <c r="G49" s="8"/>
      <c r="J49" s="8">
        <f>SUM(J44:J48)</f>
        <v>53333333</v>
      </c>
      <c r="L49" s="8">
        <f>SUM(L44:L48)</f>
        <v>830442614.21503925</v>
      </c>
    </row>
    <row r="50" spans="1:12" s="22" customFormat="1" ht="15.6" hidden="1" x14ac:dyDescent="0.3">
      <c r="A50" s="428"/>
      <c r="B50" s="27"/>
      <c r="D50" s="12"/>
      <c r="G50" s="7"/>
      <c r="J50" s="7"/>
      <c r="L50" s="7"/>
    </row>
    <row r="51" spans="1:12" s="22" customFormat="1" ht="15.6" hidden="1" x14ac:dyDescent="0.3">
      <c r="A51" s="428"/>
      <c r="B51" s="27"/>
      <c r="D51" s="12"/>
      <c r="G51" s="7"/>
      <c r="J51" s="7">
        <f>SUM(J11:J14)</f>
        <v>62412178.299999997</v>
      </c>
      <c r="L51" s="7">
        <f>+J16</f>
        <v>103916572.3</v>
      </c>
    </row>
    <row r="52" spans="1:12" s="22" customFormat="1" ht="15.6" hidden="1" x14ac:dyDescent="0.3">
      <c r="A52" s="428"/>
      <c r="B52" s="27"/>
      <c r="D52" s="12"/>
      <c r="G52" s="7"/>
      <c r="J52" s="7" t="e">
        <f>+#REF!</f>
        <v>#REF!</v>
      </c>
      <c r="L52" s="7">
        <f>+J37</f>
        <v>17460620.32</v>
      </c>
    </row>
    <row r="53" spans="1:12" s="22" customFormat="1" ht="16.8" hidden="1" thickTop="1" thickBot="1" x14ac:dyDescent="0.35">
      <c r="A53" s="428"/>
      <c r="B53" s="27"/>
      <c r="D53" s="12"/>
      <c r="G53" s="8"/>
      <c r="J53" s="8" t="e">
        <f>+J51+J52</f>
        <v>#REF!</v>
      </c>
      <c r="L53" s="8">
        <f>+L51+L52</f>
        <v>121377192.62</v>
      </c>
    </row>
    <row r="54" spans="1:12" s="22" customFormat="1" ht="15.6" hidden="1" x14ac:dyDescent="0.3">
      <c r="A54" s="428"/>
      <c r="B54" s="27"/>
      <c r="D54" s="27"/>
      <c r="G54" s="9"/>
      <c r="J54" s="9"/>
      <c r="L54" s="9"/>
    </row>
    <row r="55" spans="1:12" s="22" customFormat="1" ht="15.6" hidden="1" x14ac:dyDescent="0.3">
      <c r="A55" s="428"/>
      <c r="B55" s="27"/>
      <c r="D55" s="27"/>
      <c r="G55" s="10"/>
      <c r="J55" s="12"/>
      <c r="L55" s="83"/>
    </row>
    <row r="56" spans="1:12" s="22" customFormat="1" ht="15" x14ac:dyDescent="0.25">
      <c r="A56" s="428" t="s">
        <v>212</v>
      </c>
      <c r="B56" s="27"/>
      <c r="D56" s="27"/>
    </row>
    <row r="57" spans="1:12" s="22" customFormat="1" ht="15" x14ac:dyDescent="0.25">
      <c r="A57" s="1" t="s">
        <v>213</v>
      </c>
      <c r="B57" s="27"/>
      <c r="D57" s="27"/>
    </row>
    <row r="58" spans="1:12" s="22" customFormat="1" ht="15" x14ac:dyDescent="0.25">
      <c r="A58" s="428" t="s">
        <v>214</v>
      </c>
      <c r="B58" s="27"/>
      <c r="D58" s="27"/>
    </row>
    <row r="59" spans="1:12" s="22" customFormat="1" ht="15" x14ac:dyDescent="0.25">
      <c r="A59" s="428" t="s">
        <v>215</v>
      </c>
      <c r="B59" s="27"/>
      <c r="D59" s="27"/>
    </row>
    <row r="60" spans="1:12" s="22" customFormat="1" ht="15" x14ac:dyDescent="0.25">
      <c r="A60" s="428" t="s">
        <v>216</v>
      </c>
      <c r="B60" s="402"/>
      <c r="C60" s="402"/>
      <c r="D60" s="402"/>
      <c r="E60" s="402"/>
    </row>
    <row r="61" spans="1:12" s="22" customFormat="1" ht="15" x14ac:dyDescent="0.25">
      <c r="A61" s="428" t="s">
        <v>217</v>
      </c>
      <c r="B61" s="402"/>
      <c r="C61" s="402"/>
      <c r="D61" s="402"/>
      <c r="E61" s="402"/>
    </row>
    <row r="62" spans="1:12" s="22" customFormat="1" ht="15" x14ac:dyDescent="0.25">
      <c r="A62" s="428" t="s">
        <v>218</v>
      </c>
      <c r="B62" s="402"/>
      <c r="C62" s="402"/>
      <c r="D62" s="402"/>
      <c r="E62" s="402"/>
    </row>
    <row r="63" spans="1:12" s="22" customFormat="1" ht="15" x14ac:dyDescent="0.25"/>
    <row r="64" spans="1:12" s="22" customFormat="1" ht="15" x14ac:dyDescent="0.25"/>
    <row r="65" s="22" customFormat="1" ht="15" x14ac:dyDescent="0.25"/>
    <row r="66" s="22" customFormat="1" ht="15" x14ac:dyDescent="0.25"/>
    <row r="67" s="22" customFormat="1" ht="15" x14ac:dyDescent="0.25"/>
    <row r="68" s="22" customFormat="1" ht="15" x14ac:dyDescent="0.25"/>
    <row r="69" s="22" customFormat="1" ht="15" x14ac:dyDescent="0.25"/>
    <row r="70" s="22" customFormat="1" ht="15" x14ac:dyDescent="0.25"/>
    <row r="71" s="22" customFormat="1" ht="15" x14ac:dyDescent="0.25"/>
    <row r="72" s="22" customFormat="1" ht="15" x14ac:dyDescent="0.25"/>
    <row r="73" s="22" customFormat="1" ht="15" x14ac:dyDescent="0.25"/>
    <row r="74" s="22" customFormat="1" ht="15" x14ac:dyDescent="0.25"/>
    <row r="75" s="22" customFormat="1" ht="15" x14ac:dyDescent="0.25"/>
    <row r="76" s="22" customFormat="1" ht="15" x14ac:dyDescent="0.25"/>
    <row r="77" s="22" customFormat="1" ht="15" x14ac:dyDescent="0.25"/>
    <row r="78" s="22" customFormat="1" ht="15" x14ac:dyDescent="0.25"/>
    <row r="79" s="22" customFormat="1" ht="15" x14ac:dyDescent="0.25"/>
    <row r="80" s="22" customFormat="1" ht="15" x14ac:dyDescent="0.25"/>
    <row r="81" s="22" customFormat="1" ht="15" x14ac:dyDescent="0.25"/>
    <row r="82" s="22" customFormat="1" ht="15" x14ac:dyDescent="0.25"/>
    <row r="83" s="22" customFormat="1" ht="15" x14ac:dyDescent="0.25"/>
    <row r="84" s="22" customFormat="1" ht="15" x14ac:dyDescent="0.25"/>
    <row r="85" s="22" customFormat="1" ht="15" x14ac:dyDescent="0.25"/>
    <row r="86" s="22" customFormat="1" ht="15" x14ac:dyDescent="0.25"/>
    <row r="87" s="22" customFormat="1" ht="15" x14ac:dyDescent="0.25"/>
    <row r="88" s="22" customFormat="1" ht="15" x14ac:dyDescent="0.25"/>
    <row r="89" s="22" customFormat="1" ht="15" x14ac:dyDescent="0.25"/>
    <row r="90" s="22" customFormat="1" ht="15" x14ac:dyDescent="0.25"/>
    <row r="91" s="22" customFormat="1" ht="15" x14ac:dyDescent="0.25"/>
    <row r="92" s="22" customFormat="1" ht="15" x14ac:dyDescent="0.25"/>
    <row r="93" s="22" customFormat="1" ht="15" x14ac:dyDescent="0.25"/>
    <row r="94" s="22" customFormat="1" ht="15" x14ac:dyDescent="0.25"/>
  </sheetData>
  <phoneticPr fontId="0" type="noConversion"/>
  <pageMargins left="0.27" right="0.25" top="0.62" bottom="0.53" header="0.27" footer="0.5"/>
  <pageSetup scale="47" orientation="landscape" r:id="rId1"/>
  <headerFooter alignWithMargins="0">
    <oddHeader>&amp;C&amp;"Arial,Bold"&amp;16HIGHLY CONFIDENTIAL</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2"/>
  <sheetViews>
    <sheetView workbookViewId="0">
      <selection activeCell="K31" sqref="K31"/>
    </sheetView>
  </sheetViews>
  <sheetFormatPr defaultColWidth="9.109375" defaultRowHeight="13.2" x14ac:dyDescent="0.25"/>
  <cols>
    <col min="1" max="1" width="3.109375" style="91" customWidth="1"/>
    <col min="2" max="2" width="38.33203125" style="91" customWidth="1"/>
    <col min="3" max="3" width="118.44140625" style="91" hidden="1" customWidth="1"/>
    <col min="4" max="4" width="12.6640625" style="91" bestFit="1" customWidth="1"/>
    <col min="5" max="5" width="2.33203125" style="91" hidden="1" customWidth="1"/>
    <col min="6" max="6" width="17" style="91" customWidth="1"/>
    <col min="7" max="7" width="3" style="91" customWidth="1"/>
    <col min="8" max="8" width="15.33203125" style="91" customWidth="1"/>
    <col min="9" max="9" width="16.33203125" style="91" customWidth="1"/>
    <col min="10" max="10" width="17.5546875" style="91" customWidth="1"/>
    <col min="11" max="11" width="19.6640625" style="91" customWidth="1"/>
    <col min="12" max="12" width="6" style="91" customWidth="1"/>
    <col min="13" max="13" width="16.33203125" style="91" customWidth="1"/>
    <col min="14" max="14" width="20.88671875" style="91" customWidth="1"/>
    <col min="15" max="16384" width="9.109375" style="91"/>
  </cols>
  <sheetData>
    <row r="1" spans="2:17" ht="30" x14ac:dyDescent="0.5">
      <c r="B1" s="536" t="s">
        <v>133</v>
      </c>
      <c r="C1" s="536"/>
      <c r="D1" s="536"/>
      <c r="E1" s="536"/>
      <c r="F1" s="536"/>
      <c r="G1" s="536"/>
      <c r="H1" s="536"/>
      <c r="I1" s="536"/>
      <c r="J1" s="536"/>
      <c r="K1" s="536"/>
      <c r="L1" s="536"/>
    </row>
    <row r="2" spans="2:17" ht="22.8" x14ac:dyDescent="0.4">
      <c r="B2" s="535" t="s">
        <v>234</v>
      </c>
      <c r="C2" s="535"/>
      <c r="D2" s="535"/>
      <c r="E2" s="535"/>
      <c r="F2" s="535"/>
      <c r="G2" s="535"/>
      <c r="H2" s="535"/>
      <c r="I2" s="535"/>
      <c r="J2" s="535"/>
      <c r="K2" s="535"/>
      <c r="L2" s="535"/>
    </row>
    <row r="5" spans="2:17" s="447" customFormat="1" ht="15.6" x14ac:dyDescent="0.3">
      <c r="B5" s="445" t="s">
        <v>13</v>
      </c>
      <c r="C5" s="445"/>
      <c r="D5" s="446" t="s">
        <v>122</v>
      </c>
      <c r="E5" s="446"/>
      <c r="F5" s="446" t="s">
        <v>21</v>
      </c>
      <c r="G5" s="446"/>
      <c r="H5" s="446" t="s">
        <v>123</v>
      </c>
      <c r="I5" s="446" t="s">
        <v>124</v>
      </c>
      <c r="J5" s="446" t="s">
        <v>125</v>
      </c>
      <c r="K5" s="255" t="s">
        <v>129</v>
      </c>
      <c r="L5" s="255"/>
      <c r="M5" s="255"/>
      <c r="N5" s="255"/>
      <c r="P5" s="255"/>
      <c r="Q5" s="448"/>
    </row>
    <row r="6" spans="2:17" ht="13.8" thickBot="1" x14ac:dyDescent="0.3">
      <c r="M6" s="90"/>
      <c r="N6" s="90"/>
    </row>
    <row r="7" spans="2:17" ht="15.6" x14ac:dyDescent="0.3">
      <c r="B7" s="449" t="s">
        <v>117</v>
      </c>
      <c r="C7" s="450"/>
      <c r="D7" s="451">
        <f>SUM('PG&amp;E Corp.  '!Q9:Q11)+SUM('PG&amp;E Corp.  '!Q18:Q20)+SUM('PG&amp;E Corp.  '!R9:R11)+SUM('PG&amp;E Corp.  '!R18:R20)</f>
        <v>28120218</v>
      </c>
      <c r="E7" s="451"/>
      <c r="F7" s="451">
        <f>SUM('PG&amp;E Corp.  '!Q12:Q13)+SUM('PG&amp;E Corp.  '!R12:R13)+'PG&amp;E Corp.  '!Q17+'PG&amp;E Corp.  '!R17</f>
        <v>397575819.36000001</v>
      </c>
      <c r="G7" s="451"/>
      <c r="H7" s="451">
        <v>0</v>
      </c>
      <c r="I7" s="451">
        <f>SUM('PG&amp;E Corp.  '!Q14+'PG&amp;E Corp.  '!R14)</f>
        <v>-629598.665988839</v>
      </c>
      <c r="J7" s="451">
        <v>0</v>
      </c>
      <c r="K7" s="451">
        <f t="shared" ref="K7:K12" si="0">SUM(D7:J7)</f>
        <v>425066438.69401115</v>
      </c>
      <c r="L7" s="452"/>
      <c r="M7" s="90">
        <f>+K7+K8</f>
        <v>431424136.69401115</v>
      </c>
      <c r="N7" s="286"/>
    </row>
    <row r="8" spans="2:17" x14ac:dyDescent="0.25">
      <c r="B8" s="453" t="s">
        <v>118</v>
      </c>
      <c r="C8" s="454"/>
      <c r="D8" s="287">
        <f>IF('PG&amp;E Corp.  '!S61&lt;0,+'PG&amp;E Corp.  '!Q63+'PG&amp;E Corp.  '!R63,(SUM('PG&amp;E Corp.  '!Q25:Q52)+SUM('PG&amp;E Corp.  '!R25:R52)-('PG&amp;E Corp.  '!Q33+'PG&amp;E Corp.  '!Q52)-('PG&amp;E Corp.  '!R33+'PG&amp;E Corp.  '!R52)+'PG&amp;E Corp.  '!Q63+'PG&amp;E Corp.  '!R63))</f>
        <v>6357698</v>
      </c>
      <c r="E8" s="287" t="s">
        <v>183</v>
      </c>
      <c r="F8" s="287">
        <v>0</v>
      </c>
      <c r="G8" s="287" t="s">
        <v>195</v>
      </c>
      <c r="H8" s="287">
        <f>+'PG&amp;E Corp.  '!Q30+'PG&amp;E Corp.  '!R30</f>
        <v>0</v>
      </c>
      <c r="I8" s="287">
        <v>0</v>
      </c>
      <c r="J8" s="287">
        <v>0</v>
      </c>
      <c r="K8" s="287">
        <f t="shared" si="0"/>
        <v>6357698</v>
      </c>
      <c r="L8" s="455"/>
      <c r="M8" s="90"/>
      <c r="N8" s="287"/>
    </row>
    <row r="9" spans="2:17" x14ac:dyDescent="0.25">
      <c r="B9" s="453" t="s">
        <v>119</v>
      </c>
      <c r="C9" s="454"/>
      <c r="D9" s="287">
        <f>+'Edison Int''l '!Q7+'Edison Int''l '!R7</f>
        <v>128246804</v>
      </c>
      <c r="E9" s="287"/>
      <c r="F9" s="287">
        <f>+'Edison Int''l '!Q9+'Edison Int''l '!Q10+'Edison Int''l '!R9+'Edison Int''l '!R10</f>
        <v>0</v>
      </c>
      <c r="G9" s="287"/>
      <c r="H9" s="287">
        <v>0</v>
      </c>
      <c r="I9" s="287">
        <f>+'Edison Int''l '!Q11+'Edison Int''l '!R11</f>
        <v>36505630.741028026</v>
      </c>
      <c r="J9" s="287">
        <f>+'Edison Int''l '!Q8+'Edison Int''l '!R8</f>
        <v>53333333</v>
      </c>
      <c r="K9" s="287">
        <f t="shared" si="0"/>
        <v>218085767.74102801</v>
      </c>
      <c r="L9" s="455"/>
      <c r="M9" s="90"/>
    </row>
    <row r="10" spans="2:17" x14ac:dyDescent="0.25">
      <c r="B10" s="453" t="s">
        <v>120</v>
      </c>
      <c r="C10" s="454"/>
      <c r="D10" s="287">
        <f>IF(SUM('Edison Int''l '!Q22:Q23)&gt;-(SUM('Edison Int''l '!R22:R23)),SUM('Edison Int''l '!Q22:Q23)+SUM('Edison Int''l '!R22:R23),0)</f>
        <v>7098798</v>
      </c>
      <c r="E10" s="287"/>
      <c r="F10" s="287">
        <v>0</v>
      </c>
      <c r="G10" s="287"/>
      <c r="H10" s="287">
        <f>+'Edison Int''l '!Q17+'Edison Int''l '!R17</f>
        <v>2198760</v>
      </c>
      <c r="I10" s="287">
        <v>0</v>
      </c>
      <c r="J10" s="287">
        <v>0</v>
      </c>
      <c r="K10" s="287">
        <f t="shared" si="0"/>
        <v>9297558</v>
      </c>
      <c r="L10" s="455"/>
    </row>
    <row r="11" spans="2:17" x14ac:dyDescent="0.25">
      <c r="B11" s="453" t="s">
        <v>53</v>
      </c>
      <c r="C11" s="454"/>
      <c r="D11" s="287">
        <f>+'Px - ISO '!J7+'Px - ISO '!J8+'Px - ISO '!J10</f>
        <v>41504394</v>
      </c>
      <c r="E11" s="287"/>
      <c r="F11" s="287">
        <v>0</v>
      </c>
      <c r="G11" s="454"/>
      <c r="H11" s="287">
        <v>0</v>
      </c>
      <c r="I11" s="287">
        <v>0</v>
      </c>
      <c r="J11" s="287">
        <f>+'Px - ISO '!J11+'Px - ISO '!J12+'Px - ISO '!J14+'Px - ISO '!J13</f>
        <v>62412178.299999997</v>
      </c>
      <c r="K11" s="287">
        <f t="shared" si="0"/>
        <v>103916572.3</v>
      </c>
      <c r="L11" s="455"/>
      <c r="M11" s="90"/>
    </row>
    <row r="12" spans="2:17" x14ac:dyDescent="0.25">
      <c r="B12" s="453" t="s">
        <v>121</v>
      </c>
      <c r="C12" s="454"/>
      <c r="D12" s="456">
        <f>+'Px - ISO '!J23+'Px - ISO '!J24+'Px - ISO '!J25+'Px - ISO '!J26+'Px - ISO '!J27+'Px - ISO '!J29+'Px - ISO '!F22</f>
        <v>8273128.9400000004</v>
      </c>
      <c r="E12" s="456"/>
      <c r="F12" s="456">
        <v>0</v>
      </c>
      <c r="G12" s="457"/>
      <c r="H12" s="456">
        <v>0</v>
      </c>
      <c r="I12" s="456">
        <v>0</v>
      </c>
      <c r="J12" s="456">
        <f>+SUM('Px - ISO '!J31:J36)</f>
        <v>9187491.379999999</v>
      </c>
      <c r="K12" s="456">
        <f t="shared" si="0"/>
        <v>17460620.32</v>
      </c>
      <c r="L12" s="455"/>
    </row>
    <row r="13" spans="2:17" x14ac:dyDescent="0.25">
      <c r="B13" s="453" t="s">
        <v>130</v>
      </c>
      <c r="C13" s="454"/>
      <c r="D13" s="287">
        <f>SUM(D7:D12)</f>
        <v>219601040.94</v>
      </c>
      <c r="E13" s="287"/>
      <c r="F13" s="287">
        <f>SUM(F7:F12)</f>
        <v>397575819.36000001</v>
      </c>
      <c r="G13" s="287"/>
      <c r="H13" s="287">
        <f>SUM(H7:H12)</f>
        <v>2198760</v>
      </c>
      <c r="I13" s="287">
        <f>SUM(I7:I12)</f>
        <v>35876032.075039186</v>
      </c>
      <c r="J13" s="287">
        <f>SUM(J7:J12)</f>
        <v>124933002.67999999</v>
      </c>
      <c r="K13" s="287"/>
      <c r="L13" s="455"/>
    </row>
    <row r="14" spans="2:17" ht="13.8" thickBot="1" x14ac:dyDescent="0.3">
      <c r="B14" s="453"/>
      <c r="C14" s="454"/>
      <c r="D14" s="287"/>
      <c r="E14" s="287"/>
      <c r="F14" s="287"/>
      <c r="G14" s="287"/>
      <c r="H14" s="287"/>
      <c r="I14" s="287"/>
      <c r="J14" s="287"/>
      <c r="K14" s="458"/>
      <c r="L14" s="455"/>
    </row>
    <row r="15" spans="2:17" ht="14.4" thickTop="1" thickBot="1" x14ac:dyDescent="0.3">
      <c r="B15" s="453" t="s">
        <v>131</v>
      </c>
      <c r="C15" s="454"/>
      <c r="D15" s="454"/>
      <c r="E15" s="454"/>
      <c r="F15" s="454"/>
      <c r="G15" s="454"/>
      <c r="H15" s="454"/>
      <c r="I15" s="454"/>
      <c r="J15" s="454"/>
      <c r="K15" s="459">
        <f>SUM(K7:K12)</f>
        <v>780184655.05503917</v>
      </c>
      <c r="L15" s="455"/>
      <c r="M15" s="90"/>
    </row>
    <row r="16" spans="2:17" ht="14.4" thickTop="1" thickBot="1" x14ac:dyDescent="0.3">
      <c r="B16" s="460"/>
      <c r="C16" s="461"/>
      <c r="D16" s="461"/>
      <c r="E16" s="461"/>
      <c r="F16" s="461"/>
      <c r="G16" s="461"/>
      <c r="H16" s="461"/>
      <c r="I16" s="461"/>
      <c r="J16" s="461"/>
      <c r="K16" s="461"/>
      <c r="L16" s="462"/>
    </row>
    <row r="17" spans="1:13" x14ac:dyDescent="0.25">
      <c r="A17" s="91" t="s">
        <v>132</v>
      </c>
      <c r="K17" s="90"/>
      <c r="M17" s="90"/>
    </row>
    <row r="18" spans="1:13" x14ac:dyDescent="0.25">
      <c r="A18" s="463" t="s">
        <v>183</v>
      </c>
      <c r="B18" s="91" t="s">
        <v>229</v>
      </c>
      <c r="K18" s="90"/>
    </row>
    <row r="19" spans="1:13" x14ac:dyDescent="0.25">
      <c r="A19" s="463" t="s">
        <v>230</v>
      </c>
      <c r="B19" s="464">
        <f>+'PG&amp;E Corp.  '!Q33+'PG&amp;E Corp.  '!Q52+'PG&amp;E Corp.  '!R52</f>
        <v>26354285.881592654</v>
      </c>
      <c r="C19" s="464" t="s">
        <v>231</v>
      </c>
      <c r="K19" s="90"/>
    </row>
    <row r="20" spans="1:13" x14ac:dyDescent="0.25">
      <c r="A20" s="463"/>
      <c r="K20" s="90"/>
    </row>
    <row r="21" spans="1:13" x14ac:dyDescent="0.25">
      <c r="A21" s="463"/>
    </row>
    <row r="22" spans="1:13" x14ac:dyDescent="0.25">
      <c r="A22" s="463"/>
      <c r="K22" s="90"/>
    </row>
    <row r="23" spans="1:13" x14ac:dyDescent="0.25">
      <c r="A23" s="463"/>
    </row>
    <row r="24" spans="1:13" x14ac:dyDescent="0.25">
      <c r="D24" s="90"/>
      <c r="K24" s="90"/>
    </row>
    <row r="28" spans="1:13" x14ac:dyDescent="0.25">
      <c r="K28" s="90"/>
    </row>
    <row r="29" spans="1:13" x14ac:dyDescent="0.25">
      <c r="J29" s="91" t="s">
        <v>137</v>
      </c>
      <c r="K29" s="90">
        <f>+'PG&amp;E Corp.  '!S21+'PG&amp;E Corp.  '!S63+'Edison Int''l '!S12+'Edison Int''l '!S28+'Px - ISO '!J16+'Px - ISO '!J37</f>
        <v>780184655.05503929</v>
      </c>
    </row>
    <row r="30" spans="1:13" x14ac:dyDescent="0.25">
      <c r="K30" s="90">
        <f>+K15-K29</f>
        <v>0</v>
      </c>
    </row>
    <row r="31" spans="1:13" x14ac:dyDescent="0.25">
      <c r="K31" s="90"/>
      <c r="M31" s="90"/>
    </row>
    <row r="32" spans="1:13" x14ac:dyDescent="0.25">
      <c r="K32" s="90"/>
    </row>
  </sheetData>
  <mergeCells count="2">
    <mergeCell ref="B2:L2"/>
    <mergeCell ref="B1:L1"/>
  </mergeCells>
  <phoneticPr fontId="0" type="noConversion"/>
  <pageMargins left="0.27" right="0.25" top="0.62" bottom="0.53" header="0.27" footer="0.5"/>
  <pageSetup scale="91" orientation="landscape" r:id="rId1"/>
  <headerFooter alignWithMargins="0">
    <oddHeader>&amp;C&amp;"Arial,Bold"&amp;16HIGHLY CONFIDENTIAL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16"/>
  <sheetViews>
    <sheetView topLeftCell="A50" zoomScale="75" workbookViewId="0">
      <selection activeCell="C74" sqref="C74"/>
    </sheetView>
  </sheetViews>
  <sheetFormatPr defaultRowHeight="13.2" x14ac:dyDescent="0.25"/>
  <cols>
    <col min="1" max="1" width="55.5546875" customWidth="1"/>
    <col min="2" max="2" width="21.33203125" customWidth="1"/>
    <col min="3" max="3" width="28.5546875" customWidth="1"/>
    <col min="4" max="4" width="19.5546875" customWidth="1"/>
    <col min="5" max="5" width="20.5546875" customWidth="1"/>
    <col min="6" max="6" width="19.88671875" customWidth="1"/>
    <col min="7" max="7" width="19.33203125" customWidth="1"/>
    <col min="8" max="8" width="20.44140625" hidden="1" customWidth="1"/>
    <col min="9" max="9" width="18.6640625" customWidth="1"/>
    <col min="10" max="10" width="22.6640625" customWidth="1"/>
    <col min="11" max="11" width="17" customWidth="1"/>
  </cols>
  <sheetData>
    <row r="1" spans="1:75" ht="21" x14ac:dyDescent="0.4">
      <c r="A1" s="17" t="s">
        <v>63</v>
      </c>
    </row>
    <row r="2" spans="1:75" ht="17.399999999999999" x14ac:dyDescent="0.3">
      <c r="A2" s="16" t="s">
        <v>62</v>
      </c>
      <c r="B2" s="15">
        <f>+'PG&amp;E Corp.  '!B2</f>
        <v>37049</v>
      </c>
    </row>
    <row r="3" spans="1:75" s="1" customFormat="1" x14ac:dyDescent="0.25">
      <c r="K3" s="2"/>
      <c r="L3" s="3"/>
    </row>
    <row r="4" spans="1:75" s="4" customFormat="1" ht="15" customHeight="1" x14ac:dyDescent="0.3">
      <c r="A4" s="18"/>
      <c r="B4" s="18"/>
      <c r="C4" s="18" t="s">
        <v>7</v>
      </c>
      <c r="D4" s="18" t="s">
        <v>8</v>
      </c>
      <c r="E4" s="18" t="s">
        <v>9</v>
      </c>
      <c r="F4" s="18" t="s">
        <v>10</v>
      </c>
      <c r="G4" s="18"/>
      <c r="H4" s="18" t="s">
        <v>22</v>
      </c>
      <c r="I4" s="18" t="s">
        <v>11</v>
      </c>
      <c r="J4" s="18" t="s">
        <v>12</v>
      </c>
      <c r="K4" s="18"/>
      <c r="L4" s="3"/>
    </row>
    <row r="5" spans="1:75" s="4" customFormat="1" ht="15" customHeight="1" x14ac:dyDescent="0.3">
      <c r="A5" s="20" t="s">
        <v>13</v>
      </c>
      <c r="B5" s="20" t="s">
        <v>14</v>
      </c>
      <c r="C5" s="18" t="s">
        <v>15</v>
      </c>
      <c r="D5" s="18" t="s">
        <v>15</v>
      </c>
      <c r="E5" s="18" t="s">
        <v>16</v>
      </c>
      <c r="F5" s="18" t="s">
        <v>17</v>
      </c>
      <c r="G5" s="18" t="s">
        <v>18</v>
      </c>
      <c r="H5" s="18" t="s">
        <v>23</v>
      </c>
      <c r="I5" s="18" t="s">
        <v>19</v>
      </c>
      <c r="J5" s="18" t="s">
        <v>20</v>
      </c>
      <c r="K5" s="18"/>
      <c r="L5" s="3"/>
    </row>
    <row r="6" spans="1:75" s="5" customFormat="1" ht="18.75" customHeight="1" x14ac:dyDescent="0.25">
      <c r="A6" s="87" t="s">
        <v>105</v>
      </c>
      <c r="B6" s="87" t="s">
        <v>26</v>
      </c>
      <c r="C6" s="31">
        <f>+'PG&amp;E Corp.  '!D37</f>
        <v>0</v>
      </c>
      <c r="D6" s="31">
        <f>+'PG&amp;E Corp.  '!E37</f>
        <v>0</v>
      </c>
      <c r="E6" s="31">
        <f>+'PG&amp;E Corp.  '!F37</f>
        <v>0</v>
      </c>
      <c r="F6" s="31">
        <f>+'PG&amp;E Corp.  '!G37</f>
        <v>0</v>
      </c>
      <c r="G6" s="31">
        <f>+'PG&amp;E Corp.  '!L37</f>
        <v>0</v>
      </c>
      <c r="H6" s="31">
        <f>+'PG&amp;E Corp.  '!M37</f>
        <v>0</v>
      </c>
      <c r="I6" s="31">
        <f>+'PG&amp;E Corp.  '!Q37</f>
        <v>0</v>
      </c>
      <c r="J6" s="31">
        <f>+'PG&amp;E Corp.  '!R37</f>
        <v>0</v>
      </c>
      <c r="K6" s="89"/>
      <c r="L6" s="89"/>
      <c r="M6" s="90"/>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c r="BR6" s="91"/>
      <c r="BS6" s="91"/>
      <c r="BT6" s="91"/>
      <c r="BU6" s="91"/>
      <c r="BV6" s="91"/>
      <c r="BW6" s="91"/>
    </row>
    <row r="7" spans="1:75" s="136" customFormat="1" ht="21.75" customHeight="1" x14ac:dyDescent="0.25">
      <c r="A7" s="132" t="s">
        <v>0</v>
      </c>
      <c r="B7" s="132" t="s">
        <v>21</v>
      </c>
      <c r="C7" s="133">
        <f>+'PG&amp;E Corp.  '!D12+'PG&amp;E Corp.  '!D13</f>
        <v>0</v>
      </c>
      <c r="D7" s="133">
        <f>+'PG&amp;E Corp.  '!E12+'PG&amp;E Corp.  '!E13</f>
        <v>0</v>
      </c>
      <c r="E7" s="133">
        <f>+'PG&amp;E Corp.  '!F12+'PG&amp;E Corp.  '!F13</f>
        <v>0</v>
      </c>
      <c r="F7" s="133">
        <f>+'PG&amp;E Corp.  '!G12+'PG&amp;E Corp.  '!G13</f>
        <v>0</v>
      </c>
      <c r="G7" s="133">
        <f>+'PG&amp;E Corp.  '!L12+'PG&amp;E Corp.  '!L13</f>
        <v>397575819.36000001</v>
      </c>
      <c r="H7" s="133">
        <f>+'PG&amp;E Corp.  '!M12+'PG&amp;E Corp.  '!M13</f>
        <v>0</v>
      </c>
      <c r="I7" s="133">
        <f>+'PG&amp;E Corp.  '!Q12+'PG&amp;E Corp.  '!Q13</f>
        <v>397575819.36000001</v>
      </c>
      <c r="J7" s="133">
        <f>+'PG&amp;E Corp.  '!R12+'PG&amp;E Corp.  '!R13</f>
        <v>0</v>
      </c>
      <c r="K7" s="134"/>
      <c r="L7" s="134"/>
      <c r="M7" s="135"/>
    </row>
    <row r="8" spans="1:75" s="91" customFormat="1" ht="15" customHeight="1" x14ac:dyDescent="0.25">
      <c r="A8" s="92" t="s">
        <v>28</v>
      </c>
      <c r="B8" s="92" t="s">
        <v>21</v>
      </c>
      <c r="C8" s="93">
        <f>+'PG&amp;E Corp.  '!D52</f>
        <v>1218424</v>
      </c>
      <c r="D8" s="93">
        <f>+'PG&amp;E Corp.  '!E52</f>
        <v>-3314621</v>
      </c>
      <c r="E8" s="93">
        <f>+'PG&amp;E Corp.  '!F52</f>
        <v>681762</v>
      </c>
      <c r="F8" s="93">
        <f>+'PG&amp;E Corp.  '!G52</f>
        <v>0</v>
      </c>
      <c r="G8" s="93">
        <f>+'PG&amp;E Corp.  '!L52</f>
        <v>681762</v>
      </c>
      <c r="H8" s="93">
        <f>+'PG&amp;E Corp.  '!M52</f>
        <v>0</v>
      </c>
      <c r="I8" s="94">
        <f>+'PG&amp;E Corp.  '!Q52</f>
        <v>1218424</v>
      </c>
      <c r="J8" s="94">
        <f>+'PG&amp;E Corp.  '!R52</f>
        <v>-2632859</v>
      </c>
      <c r="K8" s="89"/>
      <c r="L8" s="89"/>
      <c r="M8" s="90"/>
    </row>
    <row r="9" spans="1:75" s="136" customFormat="1" ht="15" customHeight="1" x14ac:dyDescent="0.25">
      <c r="A9" s="137" t="s">
        <v>107</v>
      </c>
      <c r="B9" s="132" t="s">
        <v>21</v>
      </c>
      <c r="C9" s="138">
        <f>+'Edison Int''l '!D9+'Edison Int''l '!D10</f>
        <v>0</v>
      </c>
      <c r="D9" s="138">
        <f>+'Edison Int''l '!E9+'Edison Int''l '!E10</f>
        <v>0</v>
      </c>
      <c r="E9" s="138">
        <f>+'Edison Int''l '!F9+'Edison Int''l '!F10</f>
        <v>0</v>
      </c>
      <c r="F9" s="138">
        <f>+'Edison Int''l '!G9+'Edison Int''l '!G10</f>
        <v>0</v>
      </c>
      <c r="G9" s="138">
        <f>+'Edison Int''l '!L9+'Edison Int''l '!L10</f>
        <v>0</v>
      </c>
      <c r="H9" s="138">
        <f>+'Edison Int''l '!M9+'Edison Int''l '!M10</f>
        <v>0</v>
      </c>
      <c r="I9" s="139">
        <f>+'Edison Int''l '!Q9+'Edison Int''l '!Q10</f>
        <v>0</v>
      </c>
      <c r="J9" s="139">
        <f>+'Edison Int''l '!R9+'Edison Int''l '!R10</f>
        <v>0</v>
      </c>
      <c r="K9" s="134"/>
      <c r="L9" s="134"/>
      <c r="M9" s="135"/>
    </row>
    <row r="10" spans="1:75" s="91" customFormat="1" ht="15" customHeight="1" x14ac:dyDescent="0.3">
      <c r="A10" s="121" t="s">
        <v>66</v>
      </c>
      <c r="B10" s="121"/>
      <c r="C10" s="96"/>
      <c r="D10" s="96"/>
      <c r="E10" s="122"/>
      <c r="F10" s="122"/>
      <c r="G10" s="122"/>
      <c r="H10" s="96"/>
      <c r="I10" s="96">
        <f>SUM(I6:I9)</f>
        <v>398794243.36000001</v>
      </c>
      <c r="J10" s="96">
        <f>SUM(J6:J9)</f>
        <v>-2632859</v>
      </c>
      <c r="K10" s="89"/>
      <c r="L10" s="89"/>
      <c r="M10" s="90"/>
    </row>
    <row r="11" spans="1:75" s="91" customFormat="1" ht="15" customHeight="1" x14ac:dyDescent="0.3">
      <c r="A11" s="121"/>
      <c r="B11" s="92"/>
      <c r="C11" s="93"/>
      <c r="D11" s="93"/>
      <c r="E11" s="94"/>
      <c r="F11" s="94"/>
      <c r="G11" s="94"/>
      <c r="H11" s="93"/>
      <c r="I11" s="93"/>
      <c r="J11" s="93"/>
      <c r="K11" s="89"/>
      <c r="L11" s="89"/>
      <c r="M11" s="90"/>
    </row>
    <row r="12" spans="1:75" s="91" customFormat="1" ht="15" customHeight="1" x14ac:dyDescent="0.25">
      <c r="A12" s="92"/>
      <c r="B12" s="92"/>
      <c r="C12" s="93"/>
      <c r="D12" s="93"/>
      <c r="E12" s="94"/>
      <c r="F12" s="94"/>
      <c r="G12" s="94"/>
      <c r="H12" s="93"/>
      <c r="I12" s="93"/>
      <c r="J12" s="89"/>
      <c r="K12" s="89"/>
      <c r="L12" s="89"/>
      <c r="M12" s="90"/>
    </row>
    <row r="13" spans="1:75" s="143" customFormat="1" ht="15" customHeight="1" x14ac:dyDescent="0.3">
      <c r="A13" s="141" t="s">
        <v>0</v>
      </c>
      <c r="B13" s="141" t="s">
        <v>87</v>
      </c>
      <c r="C13" s="142">
        <f>+'PG&amp;E Corp.  '!D9</f>
        <v>0</v>
      </c>
      <c r="D13" s="142">
        <f>+'PG&amp;E Corp.  '!E9</f>
        <v>0</v>
      </c>
      <c r="E13" s="142">
        <f>+'PG&amp;E Corp.  '!F9</f>
        <v>0</v>
      </c>
      <c r="F13" s="142">
        <f>+'PG&amp;E Corp.  '!G9</f>
        <v>0</v>
      </c>
      <c r="G13" s="142">
        <f>+'PG&amp;E Corp.  '!L9</f>
        <v>24209249</v>
      </c>
      <c r="H13" s="142">
        <f>+'PG&amp;E Corp.  '!M9</f>
        <v>0</v>
      </c>
      <c r="I13" s="142">
        <f>+'PG&amp;E Corp.  '!Q9</f>
        <v>24209249</v>
      </c>
      <c r="J13" s="142">
        <f>+'PG&amp;E Corp.  '!R9</f>
        <v>0</v>
      </c>
      <c r="K13" s="47"/>
      <c r="L13" s="47"/>
    </row>
    <row r="14" spans="1:75" s="91" customFormat="1" ht="15" customHeight="1" x14ac:dyDescent="0.25">
      <c r="A14" s="98" t="s">
        <v>2</v>
      </c>
      <c r="B14" s="98" t="s">
        <v>77</v>
      </c>
      <c r="C14" s="93">
        <f>+'PG&amp;E Corp.  '!D23</f>
        <v>0</v>
      </c>
      <c r="D14" s="93">
        <f>+'PG&amp;E Corp.  '!E23</f>
        <v>0</v>
      </c>
      <c r="E14" s="93">
        <f>+'PG&amp;E Corp.  '!F23</f>
        <v>0</v>
      </c>
      <c r="F14" s="93">
        <f>+'PG&amp;E Corp.  '!G23</f>
        <v>0</v>
      </c>
      <c r="G14" s="93">
        <f>+'PG&amp;E Corp.  '!L23</f>
        <v>0</v>
      </c>
      <c r="H14" s="93">
        <f>+'PG&amp;E Corp.  '!M23</f>
        <v>0</v>
      </c>
      <c r="I14" s="93">
        <f>+'PG&amp;E Corp.  '!Q23</f>
        <v>0</v>
      </c>
      <c r="J14" s="93">
        <f>+'PG&amp;E Corp.  '!R23</f>
        <v>0</v>
      </c>
      <c r="K14" s="92"/>
      <c r="L14" s="92"/>
    </row>
    <row r="15" spans="1:75" s="91" customFormat="1" ht="15" customHeight="1" x14ac:dyDescent="0.25">
      <c r="A15" s="98" t="s">
        <v>4</v>
      </c>
      <c r="B15" s="98" t="s">
        <v>77</v>
      </c>
      <c r="C15" s="93">
        <f>+'PG&amp;E Corp.  '!D41</f>
        <v>2090225</v>
      </c>
      <c r="D15" s="93">
        <f>+'PG&amp;E Corp.  '!E41</f>
        <v>0</v>
      </c>
      <c r="E15" s="93">
        <f>+'PG&amp;E Corp.  '!F41</f>
        <v>0</v>
      </c>
      <c r="F15" s="93">
        <f>+'PG&amp;E Corp.  '!G41</f>
        <v>0</v>
      </c>
      <c r="G15" s="93">
        <f>+'PG&amp;E Corp.  '!L41</f>
        <v>0</v>
      </c>
      <c r="H15" s="93">
        <f>+'PG&amp;E Corp.  '!M41</f>
        <v>0</v>
      </c>
      <c r="I15" s="93">
        <f>+'PG&amp;E Corp.  '!Q41</f>
        <v>2090225</v>
      </c>
      <c r="J15" s="93">
        <f>+'PG&amp;E Corp.  '!R41</f>
        <v>0</v>
      </c>
      <c r="K15" s="89"/>
      <c r="L15" s="89"/>
      <c r="M15" s="90"/>
    </row>
    <row r="16" spans="1:75" s="91" customFormat="1" ht="15" customHeight="1" x14ac:dyDescent="0.25">
      <c r="A16" s="98" t="s">
        <v>4</v>
      </c>
      <c r="B16" s="98" t="s">
        <v>77</v>
      </c>
      <c r="C16" s="93">
        <f>+'PG&amp;E Corp.  '!D42</f>
        <v>0</v>
      </c>
      <c r="D16" s="93">
        <f>+'PG&amp;E Corp.  '!E42</f>
        <v>-13670923</v>
      </c>
      <c r="E16" s="93">
        <f>+'PG&amp;E Corp.  '!F42</f>
        <v>2235269</v>
      </c>
      <c r="F16" s="93">
        <f>+'PG&amp;E Corp.  '!G42</f>
        <v>-2551593</v>
      </c>
      <c r="G16" s="93">
        <f>+'PG&amp;E Corp.  '!L42</f>
        <v>23311726</v>
      </c>
      <c r="H16" s="93">
        <f>+'PG&amp;E Corp.  '!M42</f>
        <v>0</v>
      </c>
      <c r="I16" s="93">
        <f>+'PG&amp;E Corp.  '!Q42</f>
        <v>9640803</v>
      </c>
      <c r="J16" s="93">
        <f>+'PG&amp;E Corp.  '!R42</f>
        <v>0</v>
      </c>
      <c r="K16" s="89"/>
      <c r="L16" s="89"/>
      <c r="M16" s="90"/>
    </row>
    <row r="17" spans="1:13" s="91" customFormat="1" ht="16.5" customHeight="1" x14ac:dyDescent="0.25">
      <c r="A17" s="98" t="s">
        <v>5</v>
      </c>
      <c r="B17" s="98" t="s">
        <v>77</v>
      </c>
      <c r="C17" s="93">
        <f>+'PG&amp;E Corp.  '!D47</f>
        <v>0</v>
      </c>
      <c r="D17" s="93">
        <f>+'PG&amp;E Corp.  '!E47</f>
        <v>0</v>
      </c>
      <c r="E17" s="93">
        <f>+'PG&amp;E Corp.  '!F47</f>
        <v>0</v>
      </c>
      <c r="F17" s="93">
        <f>+'PG&amp;E Corp.  '!G47</f>
        <v>0</v>
      </c>
      <c r="G17" s="93">
        <f>+'PG&amp;E Corp.  '!L47</f>
        <v>0</v>
      </c>
      <c r="H17" s="93">
        <f>+'PG&amp;E Corp.  '!M47</f>
        <v>0</v>
      </c>
      <c r="I17" s="93">
        <f>+'PG&amp;E Corp.  '!Q47</f>
        <v>0</v>
      </c>
      <c r="J17" s="93">
        <f>+'PG&amp;E Corp.  '!R47</f>
        <v>0</v>
      </c>
      <c r="K17" s="89"/>
      <c r="L17" s="89"/>
      <c r="M17" s="90"/>
    </row>
    <row r="18" spans="1:13" s="91" customFormat="1" ht="15" customHeight="1" x14ac:dyDescent="0.3">
      <c r="A18" s="95" t="s">
        <v>6</v>
      </c>
      <c r="B18" s="95" t="s">
        <v>87</v>
      </c>
      <c r="C18" s="96" t="e">
        <f>+'PG&amp;E Corp.  '!#REF!</f>
        <v>#REF!</v>
      </c>
      <c r="D18" s="96" t="e">
        <f>+'PG&amp;E Corp.  '!#REF!</f>
        <v>#REF!</v>
      </c>
      <c r="E18" s="96" t="e">
        <f>+'PG&amp;E Corp.  '!#REF!</f>
        <v>#REF!</v>
      </c>
      <c r="F18" s="96" t="e">
        <f>+'PG&amp;E Corp.  '!#REF!</f>
        <v>#REF!</v>
      </c>
      <c r="G18" s="96" t="e">
        <f>+'PG&amp;E Corp.  '!#REF!</f>
        <v>#REF!</v>
      </c>
      <c r="H18" s="96" t="e">
        <f>+'PG&amp;E Corp.  '!#REF!</f>
        <v>#REF!</v>
      </c>
      <c r="I18" s="123" t="e">
        <f>+'PG&amp;E Corp.  '!#REF!</f>
        <v>#REF!</v>
      </c>
      <c r="J18" s="123" t="e">
        <f>+'PG&amp;E Corp.  '!#REF!</f>
        <v>#REF!</v>
      </c>
      <c r="K18" s="89"/>
      <c r="L18" s="89"/>
      <c r="M18" s="90"/>
    </row>
    <row r="19" spans="1:13" s="91" customFormat="1" ht="15" customHeight="1" x14ac:dyDescent="0.3">
      <c r="A19" s="121" t="s">
        <v>67</v>
      </c>
      <c r="B19" s="95"/>
      <c r="C19" s="96"/>
      <c r="D19" s="96"/>
      <c r="E19" s="96"/>
      <c r="F19" s="96"/>
      <c r="G19" s="96"/>
      <c r="H19" s="96"/>
      <c r="I19" s="96" t="e">
        <f>SUM(I13:I18)</f>
        <v>#REF!</v>
      </c>
      <c r="J19" s="96" t="e">
        <f>SUM(J13:J18)</f>
        <v>#REF!</v>
      </c>
      <c r="K19" s="89"/>
      <c r="L19" s="89"/>
      <c r="M19" s="90"/>
    </row>
    <row r="20" spans="1:13" s="91" customFormat="1" ht="15" customHeight="1" x14ac:dyDescent="0.3">
      <c r="A20" s="121"/>
      <c r="B20" s="95"/>
      <c r="C20" s="96"/>
      <c r="D20" s="96"/>
      <c r="E20" s="96"/>
      <c r="F20" s="96"/>
      <c r="G20" s="96"/>
      <c r="H20" s="96"/>
      <c r="I20" s="96"/>
      <c r="J20" s="96"/>
      <c r="K20" s="89"/>
      <c r="L20" s="89"/>
      <c r="M20" s="90"/>
    </row>
    <row r="21" spans="1:13" s="91" customFormat="1" ht="15" customHeight="1" x14ac:dyDescent="0.3">
      <c r="A21" s="95"/>
      <c r="B21" s="95"/>
      <c r="C21" s="96"/>
      <c r="D21" s="96"/>
      <c r="E21" s="96"/>
      <c r="F21" s="96"/>
      <c r="G21" s="96"/>
      <c r="H21" s="96"/>
      <c r="I21" s="96"/>
      <c r="J21" s="97"/>
      <c r="K21" s="89"/>
      <c r="L21" s="89"/>
      <c r="M21" s="90"/>
    </row>
    <row r="22" spans="1:13" s="91" customFormat="1" ht="15" customHeight="1" x14ac:dyDescent="0.25">
      <c r="A22" s="98" t="s">
        <v>30</v>
      </c>
      <c r="B22" s="98" t="s">
        <v>91</v>
      </c>
      <c r="C22" s="93">
        <f>+'Edison Int''l '!D16</f>
        <v>0</v>
      </c>
      <c r="D22" s="93">
        <f>+'Edison Int''l '!E16</f>
        <v>0</v>
      </c>
      <c r="E22" s="93">
        <f>+'Edison Int''l '!F16</f>
        <v>0</v>
      </c>
      <c r="F22" s="93">
        <f>+'Edison Int''l '!G16</f>
        <v>0</v>
      </c>
      <c r="G22" s="93">
        <f>+'Edison Int''l '!L16</f>
        <v>0</v>
      </c>
      <c r="H22" s="93">
        <f>+'Edison Int''l '!M16</f>
        <v>0</v>
      </c>
      <c r="I22" s="93">
        <f>+'Edison Int''l '!Q16</f>
        <v>0</v>
      </c>
      <c r="J22" s="93">
        <f>+'Edison Int''l '!R16</f>
        <v>0</v>
      </c>
      <c r="K22" s="89"/>
      <c r="L22" s="89"/>
      <c r="M22" s="90"/>
    </row>
    <row r="23" spans="1:13" s="91" customFormat="1" ht="15" customHeight="1" x14ac:dyDescent="0.25">
      <c r="A23" s="98" t="s">
        <v>30</v>
      </c>
      <c r="B23" s="98" t="s">
        <v>92</v>
      </c>
      <c r="C23" s="93">
        <f>+'Edison Int''l '!D17</f>
        <v>0</v>
      </c>
      <c r="D23" s="93">
        <f>+'Edison Int''l '!E17</f>
        <v>-5416049</v>
      </c>
      <c r="E23" s="93">
        <f>+'Edison Int''l '!F17</f>
        <v>0</v>
      </c>
      <c r="F23" s="93">
        <f>+'Edison Int''l '!G17</f>
        <v>0</v>
      </c>
      <c r="G23" s="93">
        <f>+'Edison Int''l '!L17</f>
        <v>7614809</v>
      </c>
      <c r="H23" s="93">
        <f>+'Edison Int''l '!M17</f>
        <v>-4444817</v>
      </c>
      <c r="I23" s="99">
        <f>+'Edison Int''l '!Q17</f>
        <v>2198760</v>
      </c>
      <c r="J23" s="99">
        <f>+'Edison Int''l '!R17</f>
        <v>0</v>
      </c>
      <c r="K23" s="89"/>
      <c r="L23" s="89"/>
      <c r="M23" s="90"/>
    </row>
    <row r="24" spans="1:13" s="125" customFormat="1" ht="15" customHeight="1" x14ac:dyDescent="0.3">
      <c r="A24" s="121" t="s">
        <v>68</v>
      </c>
      <c r="B24" s="95"/>
      <c r="C24" s="96"/>
      <c r="D24" s="96"/>
      <c r="E24" s="96"/>
      <c r="F24" s="96"/>
      <c r="G24" s="96"/>
      <c r="H24" s="96"/>
      <c r="I24" s="96">
        <f>SUM(I22:I23)</f>
        <v>2198760</v>
      </c>
      <c r="J24" s="96">
        <f>SUM(J22:J23)</f>
        <v>0</v>
      </c>
      <c r="K24" s="97"/>
      <c r="L24" s="97"/>
      <c r="M24" s="124"/>
    </row>
    <row r="25" spans="1:13" s="125" customFormat="1" ht="15" customHeight="1" x14ac:dyDescent="0.3">
      <c r="A25" s="121"/>
      <c r="B25" s="95"/>
      <c r="C25" s="96"/>
      <c r="D25" s="96"/>
      <c r="E25" s="96"/>
      <c r="F25" s="96"/>
      <c r="G25" s="96"/>
      <c r="H25" s="96"/>
      <c r="I25" s="96"/>
      <c r="J25" s="96"/>
      <c r="K25" s="97"/>
      <c r="L25" s="97"/>
      <c r="M25" s="124"/>
    </row>
    <row r="26" spans="1:13" s="91" customFormat="1" ht="15" customHeight="1" x14ac:dyDescent="0.25">
      <c r="A26" s="98"/>
      <c r="B26" s="98"/>
      <c r="C26" s="93"/>
      <c r="D26" s="93"/>
      <c r="E26" s="93"/>
      <c r="F26" s="93"/>
      <c r="G26" s="93"/>
      <c r="H26" s="93"/>
      <c r="I26" s="93"/>
      <c r="J26" s="89"/>
      <c r="K26" s="89"/>
      <c r="L26" s="89"/>
      <c r="M26" s="90"/>
    </row>
    <row r="27" spans="1:13" s="102" customFormat="1" ht="15" customHeight="1" x14ac:dyDescent="0.25">
      <c r="A27" s="98" t="s">
        <v>30</v>
      </c>
      <c r="B27" s="98" t="s">
        <v>88</v>
      </c>
      <c r="C27" s="93" t="e">
        <f>+'Edison Int''l '!#REF!</f>
        <v>#REF!</v>
      </c>
      <c r="D27" s="93" t="e">
        <f>+'Edison Int''l '!#REF!</f>
        <v>#REF!</v>
      </c>
      <c r="E27" s="93" t="e">
        <f>+'Edison Int''l '!#REF!</f>
        <v>#REF!</v>
      </c>
      <c r="F27" s="93" t="e">
        <f>+'Edison Int''l '!#REF!</f>
        <v>#REF!</v>
      </c>
      <c r="G27" s="93" t="e">
        <f>+'Edison Int''l '!#REF!</f>
        <v>#REF!</v>
      </c>
      <c r="H27" s="93" t="e">
        <f>+'Edison Int''l '!#REF!</f>
        <v>#REF!</v>
      </c>
      <c r="I27" s="93" t="e">
        <f>+'Edison Int''l '!#REF!</f>
        <v>#REF!</v>
      </c>
      <c r="J27" s="93" t="e">
        <f>+'Edison Int''l '!#REF!</f>
        <v>#REF!</v>
      </c>
      <c r="K27" s="100"/>
      <c r="L27" s="100"/>
      <c r="M27" s="101"/>
    </row>
    <row r="28" spans="1:13" s="91" customFormat="1" ht="15" customHeight="1" x14ac:dyDescent="0.25">
      <c r="A28" s="98" t="s">
        <v>3</v>
      </c>
      <c r="B28" s="98" t="s">
        <v>88</v>
      </c>
      <c r="C28" s="93">
        <f>+'PG&amp;E Corp.  '!D29</f>
        <v>0</v>
      </c>
      <c r="D28" s="93">
        <f>+'PG&amp;E Corp.  '!E29</f>
        <v>0</v>
      </c>
      <c r="E28" s="93">
        <f>+'PG&amp;E Corp.  '!F29</f>
        <v>0</v>
      </c>
      <c r="F28" s="93">
        <f>+'PG&amp;E Corp.  '!G29</f>
        <v>0</v>
      </c>
      <c r="G28" s="93">
        <f>+'PG&amp;E Corp.  '!L29</f>
        <v>0</v>
      </c>
      <c r="H28" s="93">
        <f>+'PG&amp;E Corp.  '!M29</f>
        <v>0</v>
      </c>
      <c r="I28" s="99">
        <f>+'PG&amp;E Corp.  '!Q29</f>
        <v>0</v>
      </c>
      <c r="J28" s="99">
        <f>+'PG&amp;E Corp.  '!R29</f>
        <v>0</v>
      </c>
      <c r="K28" s="89"/>
      <c r="L28" s="89"/>
      <c r="M28" s="90"/>
    </row>
    <row r="29" spans="1:13" s="91" customFormat="1" ht="15" customHeight="1" x14ac:dyDescent="0.3">
      <c r="A29" s="121" t="s">
        <v>69</v>
      </c>
      <c r="B29" s="95"/>
      <c r="C29" s="96"/>
      <c r="D29" s="96"/>
      <c r="E29" s="96"/>
      <c r="F29" s="96"/>
      <c r="G29" s="96"/>
      <c r="H29" s="96"/>
      <c r="I29" s="96" t="e">
        <f>SUM(I27:I28)</f>
        <v>#REF!</v>
      </c>
      <c r="J29" s="96" t="e">
        <f>SUM(J27:J28)</f>
        <v>#REF!</v>
      </c>
      <c r="K29" s="89"/>
      <c r="L29" s="89"/>
      <c r="M29" s="90"/>
    </row>
    <row r="30" spans="1:13" s="91" customFormat="1" ht="15" customHeight="1" x14ac:dyDescent="0.3">
      <c r="A30" s="121"/>
      <c r="B30" s="98"/>
      <c r="C30" s="93"/>
      <c r="D30" s="93"/>
      <c r="E30" s="93"/>
      <c r="F30" s="93"/>
      <c r="G30" s="93"/>
      <c r="H30" s="93"/>
      <c r="I30" s="93"/>
      <c r="J30" s="93"/>
      <c r="K30" s="89"/>
      <c r="L30" s="89"/>
      <c r="M30" s="90"/>
    </row>
    <row r="31" spans="1:13" s="91" customFormat="1" ht="15" customHeight="1" x14ac:dyDescent="0.25">
      <c r="A31" s="98"/>
      <c r="B31" s="98"/>
      <c r="C31" s="93"/>
      <c r="D31" s="93"/>
      <c r="E31" s="93"/>
      <c r="F31" s="93"/>
      <c r="G31" s="93"/>
      <c r="H31" s="93"/>
      <c r="I31" s="93"/>
      <c r="J31" s="89"/>
      <c r="K31" s="89"/>
      <c r="L31" s="89"/>
      <c r="M31" s="90"/>
    </row>
    <row r="32" spans="1:13" s="91" customFormat="1" ht="15" customHeight="1" x14ac:dyDescent="0.25">
      <c r="A32" s="98" t="s">
        <v>30</v>
      </c>
      <c r="B32" s="98" t="s">
        <v>89</v>
      </c>
      <c r="C32" s="93" t="e">
        <f>+'Edison Int''l '!#REF!</f>
        <v>#REF!</v>
      </c>
      <c r="D32" s="93" t="e">
        <f>+'Edison Int''l '!#REF!</f>
        <v>#REF!</v>
      </c>
      <c r="E32" s="93" t="e">
        <f>+'Edison Int''l '!#REF!</f>
        <v>#REF!</v>
      </c>
      <c r="F32" s="93" t="e">
        <f>+'Edison Int''l '!#REF!</f>
        <v>#REF!</v>
      </c>
      <c r="G32" s="93" t="e">
        <f>+'Edison Int''l '!#REF!</f>
        <v>#REF!</v>
      </c>
      <c r="H32" s="93" t="e">
        <f>+'Edison Int''l '!#REF!</f>
        <v>#REF!</v>
      </c>
      <c r="I32" s="93" t="e">
        <f>+'Edison Int''l '!#REF!</f>
        <v>#REF!</v>
      </c>
      <c r="J32" s="93" t="e">
        <f>+'Edison Int''l '!#REF!</f>
        <v>#REF!</v>
      </c>
      <c r="K32" s="89"/>
      <c r="L32" s="89"/>
      <c r="M32" s="90"/>
    </row>
    <row r="33" spans="1:13" s="91" customFormat="1" ht="15" customHeight="1" x14ac:dyDescent="0.25">
      <c r="A33" s="98" t="s">
        <v>30</v>
      </c>
      <c r="B33" s="98" t="s">
        <v>89</v>
      </c>
      <c r="C33" s="93" t="e">
        <f>+'Edison Int''l '!#REF!</f>
        <v>#REF!</v>
      </c>
      <c r="D33" s="93" t="e">
        <f>+'Edison Int''l '!#REF!</f>
        <v>#REF!</v>
      </c>
      <c r="E33" s="93" t="e">
        <f>+'Edison Int''l '!#REF!</f>
        <v>#REF!</v>
      </c>
      <c r="F33" s="93" t="e">
        <f>+'Edison Int''l '!#REF!</f>
        <v>#REF!</v>
      </c>
      <c r="G33" s="93" t="e">
        <f>+'Edison Int''l '!#REF!</f>
        <v>#REF!</v>
      </c>
      <c r="H33" s="93" t="e">
        <f>+'Edison Int''l '!#REF!</f>
        <v>#REF!</v>
      </c>
      <c r="I33" s="99" t="e">
        <f>+'Edison Int''l '!#REF!</f>
        <v>#REF!</v>
      </c>
      <c r="J33" s="99" t="e">
        <f>+'Edison Int''l '!#REF!</f>
        <v>#REF!</v>
      </c>
      <c r="K33" s="89"/>
      <c r="L33" s="89"/>
      <c r="M33" s="90"/>
    </row>
    <row r="34" spans="1:13" s="91" customFormat="1" ht="15" customHeight="1" x14ac:dyDescent="0.3">
      <c r="A34" s="121" t="s">
        <v>70</v>
      </c>
      <c r="B34" s="95"/>
      <c r="C34" s="96"/>
      <c r="D34" s="96"/>
      <c r="E34" s="96"/>
      <c r="F34" s="96"/>
      <c r="G34" s="96"/>
      <c r="H34" s="96"/>
      <c r="I34" s="96" t="e">
        <f>SUM(I32:I33)</f>
        <v>#REF!</v>
      </c>
      <c r="J34" s="96" t="e">
        <f>SUM(J32:J33)</f>
        <v>#REF!</v>
      </c>
      <c r="K34" s="89"/>
      <c r="L34" s="89"/>
      <c r="M34" s="90"/>
    </row>
    <row r="35" spans="1:13" s="91" customFormat="1" ht="15" customHeight="1" x14ac:dyDescent="0.3">
      <c r="A35" s="121"/>
      <c r="B35" s="95"/>
      <c r="C35" s="96"/>
      <c r="D35" s="96"/>
      <c r="E35" s="96"/>
      <c r="F35" s="96"/>
      <c r="G35" s="96"/>
      <c r="H35" s="96"/>
      <c r="I35" s="96"/>
      <c r="J35" s="96"/>
      <c r="K35" s="89"/>
      <c r="L35" s="89"/>
      <c r="M35" s="90"/>
    </row>
    <row r="36" spans="1:13" s="91" customFormat="1" ht="15" customHeight="1" x14ac:dyDescent="0.25">
      <c r="A36" s="98"/>
      <c r="B36" s="98"/>
      <c r="C36" s="93"/>
      <c r="D36" s="93"/>
      <c r="E36" s="93"/>
      <c r="F36" s="93"/>
      <c r="G36" s="93"/>
      <c r="H36" s="93"/>
      <c r="I36" s="93"/>
      <c r="J36" s="89"/>
      <c r="K36" s="89"/>
      <c r="L36" s="89"/>
      <c r="M36" s="90"/>
    </row>
    <row r="37" spans="1:13" s="91" customFormat="1" ht="15" customHeight="1" x14ac:dyDescent="0.25">
      <c r="A37" s="98" t="s">
        <v>31</v>
      </c>
      <c r="B37" s="98" t="s">
        <v>78</v>
      </c>
      <c r="C37" s="93">
        <f>+'Edison Int''l '!D18</f>
        <v>0</v>
      </c>
      <c r="D37" s="93">
        <f>+'Edison Int''l '!E18</f>
        <v>0</v>
      </c>
      <c r="E37" s="93">
        <f>+'Edison Int''l '!F18</f>
        <v>0</v>
      </c>
      <c r="F37" s="93">
        <f>+'Edison Int''l '!G18</f>
        <v>0</v>
      </c>
      <c r="G37" s="93">
        <f>+'Edison Int''l '!L18</f>
        <v>0</v>
      </c>
      <c r="H37" s="93">
        <f>+'Edison Int''l '!M18</f>
        <v>11891006</v>
      </c>
      <c r="I37" s="93">
        <f>+'Edison Int''l '!Q18</f>
        <v>0</v>
      </c>
      <c r="J37" s="93">
        <f>+'Edison Int''l '!R18</f>
        <v>0</v>
      </c>
      <c r="K37" s="89"/>
      <c r="L37" s="89"/>
      <c r="M37" s="90"/>
    </row>
    <row r="38" spans="1:13" s="91" customFormat="1" ht="21" customHeight="1" x14ac:dyDescent="0.25">
      <c r="A38" s="103" t="s">
        <v>32</v>
      </c>
      <c r="B38" s="103" t="s">
        <v>78</v>
      </c>
      <c r="C38" s="104">
        <f>+'Edison Int''l '!D22</f>
        <v>9317615</v>
      </c>
      <c r="D38" s="104">
        <f>+'Edison Int''l '!E22</f>
        <v>-28907</v>
      </c>
      <c r="E38" s="104">
        <f>+'Edison Int''l '!F22</f>
        <v>0</v>
      </c>
      <c r="F38" s="104">
        <f>+'Edison Int''l '!G22</f>
        <v>0</v>
      </c>
      <c r="G38" s="104">
        <f>+'Edison Int''l '!L22</f>
        <v>0</v>
      </c>
      <c r="H38" s="104">
        <f>+'Edison Int''l '!M22</f>
        <v>0</v>
      </c>
      <c r="I38" s="104">
        <f>+'Edison Int''l '!Q22</f>
        <v>9317615</v>
      </c>
      <c r="J38" s="104">
        <f>+'Edison Int''l '!R22</f>
        <v>-28907</v>
      </c>
      <c r="K38" s="89"/>
      <c r="L38" s="89"/>
      <c r="M38" s="90"/>
    </row>
    <row r="39" spans="1:13" s="143" customFormat="1" ht="21" customHeight="1" x14ac:dyDescent="0.3">
      <c r="A39" s="141" t="s">
        <v>0</v>
      </c>
      <c r="B39" s="144" t="s">
        <v>78</v>
      </c>
      <c r="C39" s="142">
        <f>+'PG&amp;E Corp.  '!D10</f>
        <v>79190183</v>
      </c>
      <c r="D39" s="142">
        <f>+'PG&amp;E Corp.  '!E10</f>
        <v>0</v>
      </c>
      <c r="E39" s="142">
        <f>+'PG&amp;E Corp.  '!F10</f>
        <v>0</v>
      </c>
      <c r="F39" s="142">
        <f>+'PG&amp;E Corp.  '!G10</f>
        <v>0</v>
      </c>
      <c r="G39" s="142">
        <f>+'PG&amp;E Corp.  '!L10</f>
        <v>24138010</v>
      </c>
      <c r="H39" s="142">
        <f>+'PG&amp;E Corp.  '!M10</f>
        <v>0</v>
      </c>
      <c r="I39" s="142">
        <f>+'PG&amp;E Corp.  '!Q10</f>
        <v>103328193</v>
      </c>
      <c r="J39" s="142">
        <f>+'PG&amp;E Corp.  '!R10</f>
        <v>0</v>
      </c>
      <c r="K39" s="29"/>
      <c r="L39" s="29"/>
      <c r="M39" s="145"/>
    </row>
    <row r="40" spans="1:13" s="91" customFormat="1" ht="15" customHeight="1" x14ac:dyDescent="0.25">
      <c r="A40" s="98" t="s">
        <v>2</v>
      </c>
      <c r="B40" s="98" t="s">
        <v>78</v>
      </c>
      <c r="C40" s="93">
        <f>+'PG&amp;E Corp.  '!D24</f>
        <v>0</v>
      </c>
      <c r="D40" s="93">
        <f>+'PG&amp;E Corp.  '!E24</f>
        <v>-2200031</v>
      </c>
      <c r="E40" s="93">
        <f>+'PG&amp;E Corp.  '!F24</f>
        <v>0</v>
      </c>
      <c r="F40" s="93">
        <f>+'PG&amp;E Corp.  '!G24</f>
        <v>0</v>
      </c>
      <c r="G40" s="93">
        <f>+'PG&amp;E Corp.  '!L24</f>
        <v>0</v>
      </c>
      <c r="H40" s="93">
        <f>+'PG&amp;E Corp.  '!M24</f>
        <v>0</v>
      </c>
      <c r="I40" s="93">
        <f>+'PG&amp;E Corp.  '!Q24</f>
        <v>0</v>
      </c>
      <c r="J40" s="93">
        <f>+'PG&amp;E Corp.  '!R24</f>
        <v>-2200031</v>
      </c>
      <c r="K40" s="89"/>
      <c r="L40" s="89"/>
      <c r="M40" s="90"/>
    </row>
    <row r="41" spans="1:13" s="91" customFormat="1" ht="15" customHeight="1" x14ac:dyDescent="0.25">
      <c r="A41" s="98" t="s">
        <v>3</v>
      </c>
      <c r="B41" s="98" t="s">
        <v>78</v>
      </c>
      <c r="C41" s="93">
        <f>+'PG&amp;E Corp.  '!D31</f>
        <v>138342</v>
      </c>
      <c r="D41" s="93">
        <f>+'PG&amp;E Corp.  '!E31</f>
        <v>0</v>
      </c>
      <c r="E41" s="93">
        <f>+'PG&amp;E Corp.  '!F31</f>
        <v>0</v>
      </c>
      <c r="F41" s="93">
        <f>+'PG&amp;E Corp.  '!G31</f>
        <v>0</v>
      </c>
      <c r="G41" s="93">
        <f>+'PG&amp;E Corp.  '!L31</f>
        <v>0</v>
      </c>
      <c r="H41" s="93">
        <f>+'PG&amp;E Corp.  '!M31</f>
        <v>0</v>
      </c>
      <c r="I41" s="93">
        <f>+'PG&amp;E Corp.  '!Q31</f>
        <v>138342</v>
      </c>
      <c r="J41" s="93">
        <f>+'PG&amp;E Corp.  '!R31</f>
        <v>0</v>
      </c>
      <c r="K41" s="89"/>
      <c r="L41" s="89"/>
      <c r="M41" s="90"/>
    </row>
    <row r="42" spans="1:13" s="91" customFormat="1" ht="15" customHeight="1" x14ac:dyDescent="0.25">
      <c r="A42" s="98" t="s">
        <v>3</v>
      </c>
      <c r="B42" s="98" t="s">
        <v>78</v>
      </c>
      <c r="C42" s="93">
        <f>+'PG&amp;E Corp.  '!D32</f>
        <v>0</v>
      </c>
      <c r="D42" s="93">
        <f>+'PG&amp;E Corp.  '!E32</f>
        <v>-436226</v>
      </c>
      <c r="E42" s="93">
        <f>+'PG&amp;E Corp.  '!F32</f>
        <v>4079375</v>
      </c>
      <c r="F42" s="93">
        <f>+'PG&amp;E Corp.  '!G32</f>
        <v>-7311856</v>
      </c>
      <c r="G42" s="93">
        <f>+'PG&amp;E Corp.  '!L32</f>
        <v>-3232481</v>
      </c>
      <c r="H42" s="93">
        <f>+'PG&amp;E Corp.  '!M32</f>
        <v>0</v>
      </c>
      <c r="I42" s="93">
        <f>+'PG&amp;E Corp.  '!Q32</f>
        <v>0</v>
      </c>
      <c r="J42" s="93">
        <f>+'PG&amp;E Corp.  '!R32</f>
        <v>-3668707</v>
      </c>
      <c r="K42" s="89"/>
      <c r="L42" s="89"/>
      <c r="M42" s="90"/>
    </row>
    <row r="43" spans="1:13" s="91" customFormat="1" ht="15" customHeight="1" x14ac:dyDescent="0.25">
      <c r="A43" s="98" t="s">
        <v>4</v>
      </c>
      <c r="B43" s="98" t="s">
        <v>78</v>
      </c>
      <c r="C43" s="93">
        <f>+'PG&amp;E Corp.  '!D44</f>
        <v>0</v>
      </c>
      <c r="D43" s="93">
        <f>+'PG&amp;E Corp.  '!E44</f>
        <v>587374</v>
      </c>
      <c r="E43" s="93">
        <f>+'PG&amp;E Corp.  '!F44</f>
        <v>7569349</v>
      </c>
      <c r="F43" s="93">
        <f>+'PG&amp;E Corp.  '!G44</f>
        <v>-1131770</v>
      </c>
      <c r="G43" s="93">
        <f>+'PG&amp;E Corp.  '!L44</f>
        <v>17239580</v>
      </c>
      <c r="H43" s="93">
        <f>+'PG&amp;E Corp.  '!M44</f>
        <v>0</v>
      </c>
      <c r="I43" s="93">
        <f>+'PG&amp;E Corp.  '!Q44</f>
        <v>17826954</v>
      </c>
      <c r="J43" s="93">
        <f>+'PG&amp;E Corp.  '!R44</f>
        <v>0</v>
      </c>
      <c r="K43" s="89"/>
      <c r="L43" s="89"/>
      <c r="M43" s="90"/>
    </row>
    <row r="44" spans="1:13" s="91" customFormat="1" ht="15" customHeight="1" x14ac:dyDescent="0.25">
      <c r="A44" s="98" t="s">
        <v>5</v>
      </c>
      <c r="B44" s="98" t="s">
        <v>78</v>
      </c>
      <c r="C44" s="93">
        <f>+'PG&amp;E Corp.  '!D49</f>
        <v>-3947833</v>
      </c>
      <c r="D44" s="93">
        <f>+'PG&amp;E Corp.  '!E49</f>
        <v>0</v>
      </c>
      <c r="E44" s="93">
        <f>+'PG&amp;E Corp.  '!F49</f>
        <v>0</v>
      </c>
      <c r="F44" s="93">
        <f>+'PG&amp;E Corp.  '!G49</f>
        <v>0</v>
      </c>
      <c r="G44" s="93">
        <f>+'PG&amp;E Corp.  '!L49</f>
        <v>0</v>
      </c>
      <c r="H44" s="93">
        <f>+'PG&amp;E Corp.  '!M49</f>
        <v>0</v>
      </c>
      <c r="I44" s="93">
        <f>+'PG&amp;E Corp.  '!Q49</f>
        <v>0</v>
      </c>
      <c r="J44" s="93">
        <f>+'PG&amp;E Corp.  '!R49</f>
        <v>-3947833</v>
      </c>
      <c r="K44" s="89"/>
      <c r="L44" s="89"/>
      <c r="M44" s="90"/>
    </row>
    <row r="45" spans="1:13" s="91" customFormat="1" ht="15" customHeight="1" x14ac:dyDescent="0.25">
      <c r="A45" s="98" t="s">
        <v>5</v>
      </c>
      <c r="B45" s="98" t="s">
        <v>78</v>
      </c>
      <c r="C45" s="93">
        <f>+'PG&amp;E Corp.  '!D50</f>
        <v>0</v>
      </c>
      <c r="D45" s="93">
        <f>+'PG&amp;E Corp.  '!E50</f>
        <v>-6946316</v>
      </c>
      <c r="E45" s="93">
        <f>+'PG&amp;E Corp.  '!F50</f>
        <v>13378285</v>
      </c>
      <c r="F45" s="93">
        <f>+'PG&amp;E Corp.  '!G50</f>
        <v>-19067460</v>
      </c>
      <c r="G45" s="93">
        <f>+'PG&amp;E Corp.  '!L50</f>
        <v>-14398149</v>
      </c>
      <c r="H45" s="93">
        <f>+'PG&amp;E Corp.  '!M50</f>
        <v>0</v>
      </c>
      <c r="I45" s="93">
        <f>+'PG&amp;E Corp.  '!Q50</f>
        <v>0</v>
      </c>
      <c r="J45" s="93">
        <f>+'PG&amp;E Corp.  '!R50</f>
        <v>-21344465</v>
      </c>
      <c r="K45" s="89"/>
      <c r="L45" s="89"/>
      <c r="M45" s="90"/>
    </row>
    <row r="46" spans="1:13" s="91" customFormat="1" ht="17.25" customHeight="1" x14ac:dyDescent="0.3">
      <c r="A46" s="95" t="s">
        <v>6</v>
      </c>
      <c r="B46" s="98" t="s">
        <v>78</v>
      </c>
      <c r="C46" s="93">
        <f>+'PG&amp;E Corp.  '!D63</f>
        <v>0</v>
      </c>
      <c r="D46" s="93">
        <f>+'PG&amp;E Corp.  '!E63</f>
        <v>6357698</v>
      </c>
      <c r="E46" s="93">
        <f>+'PG&amp;E Corp.  '!F63</f>
        <v>0</v>
      </c>
      <c r="F46" s="93">
        <f>+'PG&amp;E Corp.  '!G63</f>
        <v>0</v>
      </c>
      <c r="G46" s="93">
        <f>+'PG&amp;E Corp.  '!L63</f>
        <v>0</v>
      </c>
      <c r="H46" s="93">
        <f>+'PG&amp;E Corp.  '!M63</f>
        <v>0</v>
      </c>
      <c r="I46" s="94">
        <f>+'PG&amp;E Corp.  '!Q63</f>
        <v>6357698</v>
      </c>
      <c r="J46" s="94">
        <f>+'PG&amp;E Corp.  '!R63</f>
        <v>0</v>
      </c>
      <c r="K46" s="89"/>
      <c r="L46" s="89"/>
      <c r="M46" s="90"/>
    </row>
    <row r="47" spans="1:13" s="91" customFormat="1" ht="17.25" customHeight="1" x14ac:dyDescent="0.3">
      <c r="A47" s="36" t="s">
        <v>108</v>
      </c>
      <c r="B47" s="98" t="s">
        <v>78</v>
      </c>
      <c r="C47" s="93">
        <f>+'PG&amp;E Corp.  '!D38</f>
        <v>0</v>
      </c>
      <c r="D47" s="93">
        <f>+'PG&amp;E Corp.  '!E38</f>
        <v>0</v>
      </c>
      <c r="E47" s="93">
        <f>+'PG&amp;E Corp.  '!F38</f>
        <v>0</v>
      </c>
      <c r="F47" s="93">
        <f>+'PG&amp;E Corp.  '!G38</f>
        <v>0</v>
      </c>
      <c r="G47" s="93">
        <f>+'PG&amp;E Corp.  '!L38</f>
        <v>0</v>
      </c>
      <c r="H47" s="93">
        <f>+'PG&amp;E Corp.  '!M38</f>
        <v>0</v>
      </c>
      <c r="I47" s="99">
        <f>+'PG&amp;E Corp.  '!Q38</f>
        <v>0</v>
      </c>
      <c r="J47" s="99">
        <f>+'PG&amp;E Corp.  '!R38</f>
        <v>0</v>
      </c>
      <c r="K47" s="89"/>
      <c r="L47" s="89"/>
      <c r="M47" s="90"/>
    </row>
    <row r="48" spans="1:13" s="91" customFormat="1" ht="15" customHeight="1" x14ac:dyDescent="0.3">
      <c r="A48" s="121" t="s">
        <v>71</v>
      </c>
      <c r="B48" s="95"/>
      <c r="C48" s="96"/>
      <c r="D48" s="96"/>
      <c r="E48" s="96"/>
      <c r="F48" s="96"/>
      <c r="G48" s="96"/>
      <c r="H48" s="96"/>
      <c r="I48" s="96">
        <f>SUM(I37:I47)</f>
        <v>136968802</v>
      </c>
      <c r="J48" s="96">
        <f>SUM(J37:J47)</f>
        <v>-31189943</v>
      </c>
      <c r="K48" s="89"/>
      <c r="L48" s="89"/>
      <c r="M48" s="90"/>
    </row>
    <row r="49" spans="1:13" s="91" customFormat="1" ht="15" customHeight="1" x14ac:dyDescent="0.3">
      <c r="A49" s="121"/>
      <c r="B49" s="95"/>
      <c r="C49" s="96"/>
      <c r="D49" s="96"/>
      <c r="E49" s="96"/>
      <c r="F49" s="96"/>
      <c r="G49" s="96"/>
      <c r="H49" s="96"/>
      <c r="I49" s="96"/>
      <c r="J49" s="96"/>
      <c r="K49" s="89"/>
      <c r="L49" s="89"/>
      <c r="M49" s="90"/>
    </row>
    <row r="50" spans="1:13" s="91" customFormat="1" ht="15" customHeight="1" x14ac:dyDescent="0.3">
      <c r="A50" s="98"/>
      <c r="B50" s="98"/>
      <c r="C50" s="93"/>
      <c r="D50" s="93"/>
      <c r="E50" s="93"/>
      <c r="F50" s="93"/>
      <c r="G50" s="93"/>
      <c r="H50" s="93"/>
      <c r="I50" s="93"/>
      <c r="J50" s="105"/>
      <c r="K50" s="89"/>
      <c r="L50" s="89"/>
      <c r="M50" s="90"/>
    </row>
    <row r="51" spans="1:13" s="91" customFormat="1" ht="15" customHeight="1" x14ac:dyDescent="0.25">
      <c r="A51" s="89" t="s">
        <v>42</v>
      </c>
      <c r="B51" s="98" t="s">
        <v>79</v>
      </c>
      <c r="C51" s="106" t="s">
        <v>93</v>
      </c>
      <c r="D51" s="107"/>
      <c r="E51" s="108">
        <f>77653215-27346350-659005</f>
        <v>49647860</v>
      </c>
      <c r="F51" s="109"/>
      <c r="G51" s="92"/>
      <c r="H51" s="92"/>
      <c r="I51" s="89">
        <f>+E51</f>
        <v>49647860</v>
      </c>
      <c r="J51" s="107"/>
      <c r="K51" s="89"/>
      <c r="L51" s="89"/>
      <c r="M51" s="90"/>
    </row>
    <row r="52" spans="1:13" s="91" customFormat="1" ht="15" customHeight="1" x14ac:dyDescent="0.25">
      <c r="A52" s="89" t="s">
        <v>42</v>
      </c>
      <c r="B52" s="98" t="s">
        <v>79</v>
      </c>
      <c r="C52" s="106" t="s">
        <v>94</v>
      </c>
      <c r="D52" s="107"/>
      <c r="E52" s="108"/>
      <c r="F52" s="109">
        <f>-42747380+28936761-599752+21</f>
        <v>-14410350</v>
      </c>
      <c r="G52" s="92"/>
      <c r="H52" s="92"/>
      <c r="I52" s="89"/>
      <c r="J52" s="108">
        <f>+F52</f>
        <v>-14410350</v>
      </c>
      <c r="K52" s="89"/>
      <c r="L52" s="89"/>
      <c r="M52" s="90"/>
    </row>
    <row r="53" spans="1:13" s="91" customFormat="1" ht="15" customHeight="1" x14ac:dyDescent="0.25">
      <c r="A53" s="89" t="s">
        <v>42</v>
      </c>
      <c r="B53" s="98" t="s">
        <v>79</v>
      </c>
      <c r="C53" s="110" t="s">
        <v>95</v>
      </c>
      <c r="D53" s="107"/>
      <c r="E53" s="108"/>
      <c r="F53" s="109">
        <f>-7816951+1884397-137662</f>
        <v>-6070216</v>
      </c>
      <c r="G53" s="92"/>
      <c r="H53" s="92"/>
      <c r="I53" s="89"/>
      <c r="J53" s="108">
        <f>+F53</f>
        <v>-6070216</v>
      </c>
      <c r="K53" s="89"/>
      <c r="L53" s="89"/>
      <c r="M53" s="90"/>
    </row>
    <row r="54" spans="1:13" s="91" customFormat="1" ht="15" customHeight="1" x14ac:dyDescent="0.25">
      <c r="A54" s="92" t="s">
        <v>48</v>
      </c>
      <c r="B54" s="98" t="s">
        <v>79</v>
      </c>
      <c r="C54" s="111" t="s">
        <v>96</v>
      </c>
      <c r="D54" s="89"/>
      <c r="E54" s="109"/>
      <c r="F54" s="109">
        <f>-1967079+35761</f>
        <v>-1931318</v>
      </c>
      <c r="G54" s="92"/>
      <c r="H54" s="92"/>
      <c r="I54" s="89"/>
      <c r="J54" s="89">
        <f>+F54</f>
        <v>-1931318</v>
      </c>
      <c r="K54" s="89"/>
      <c r="L54" s="89"/>
      <c r="M54" s="90"/>
    </row>
    <row r="55" spans="1:13" s="91" customFormat="1" ht="15" customHeight="1" x14ac:dyDescent="0.25">
      <c r="A55" s="92" t="s">
        <v>48</v>
      </c>
      <c r="B55" s="98" t="s">
        <v>79</v>
      </c>
      <c r="C55" s="112" t="s">
        <v>97</v>
      </c>
      <c r="D55" s="89"/>
      <c r="E55" s="109"/>
      <c r="F55" s="109">
        <f>-874535+19401</f>
        <v>-855134</v>
      </c>
      <c r="G55" s="92"/>
      <c r="H55" s="92"/>
      <c r="I55" s="89"/>
      <c r="J55" s="89">
        <f>+F55</f>
        <v>-855134</v>
      </c>
      <c r="K55" s="89"/>
      <c r="L55" s="89"/>
      <c r="M55" s="90"/>
    </row>
    <row r="56" spans="1:13" s="91" customFormat="1" ht="15" customHeight="1" x14ac:dyDescent="0.25">
      <c r="A56" s="92" t="s">
        <v>48</v>
      </c>
      <c r="B56" s="98" t="s">
        <v>79</v>
      </c>
      <c r="C56" s="112" t="s">
        <v>98</v>
      </c>
      <c r="D56" s="89"/>
      <c r="E56" s="109">
        <f>27467988-14941737</f>
        <v>12526251</v>
      </c>
      <c r="F56" s="109"/>
      <c r="G56" s="92"/>
      <c r="H56" s="92"/>
      <c r="I56" s="89">
        <f>+E56</f>
        <v>12526251</v>
      </c>
      <c r="J56" s="89"/>
      <c r="K56" s="89"/>
      <c r="L56" s="89"/>
      <c r="M56" s="90"/>
    </row>
    <row r="57" spans="1:13" s="91" customFormat="1" ht="15" customHeight="1" x14ac:dyDescent="0.25">
      <c r="A57" s="92" t="s">
        <v>48</v>
      </c>
      <c r="B57" s="98" t="s">
        <v>79</v>
      </c>
      <c r="C57" s="112" t="s">
        <v>99</v>
      </c>
      <c r="D57" s="89"/>
      <c r="E57" s="109"/>
      <c r="F57" s="109">
        <f>-32647600</f>
        <v>-32647600</v>
      </c>
      <c r="G57" s="92"/>
      <c r="H57" s="92"/>
      <c r="I57" s="89"/>
      <c r="J57" s="89">
        <f>F57</f>
        <v>-32647600</v>
      </c>
      <c r="K57" s="89"/>
      <c r="L57" s="89"/>
      <c r="M57" s="90"/>
    </row>
    <row r="58" spans="1:13" s="91" customFormat="1" ht="15" customHeight="1" x14ac:dyDescent="0.25">
      <c r="A58" s="92" t="s">
        <v>48</v>
      </c>
      <c r="B58" s="98" t="s">
        <v>79</v>
      </c>
      <c r="C58" s="112" t="s">
        <v>100</v>
      </c>
      <c r="D58" s="89"/>
      <c r="E58" s="109"/>
      <c r="F58" s="109">
        <f>-26739+1573</f>
        <v>-25166</v>
      </c>
      <c r="G58" s="92"/>
      <c r="H58" s="92"/>
      <c r="I58" s="89"/>
      <c r="J58" s="89">
        <f>+F58</f>
        <v>-25166</v>
      </c>
      <c r="K58" s="89"/>
      <c r="L58" s="89"/>
      <c r="M58" s="90"/>
    </row>
    <row r="59" spans="1:13" s="91" customFormat="1" ht="15" customHeight="1" x14ac:dyDescent="0.25">
      <c r="A59" s="92" t="s">
        <v>48</v>
      </c>
      <c r="B59" s="98" t="s">
        <v>79</v>
      </c>
      <c r="C59" s="112" t="s">
        <v>101</v>
      </c>
      <c r="D59" s="89"/>
      <c r="E59" s="109"/>
      <c r="F59" s="109">
        <f>-29231764+13902201</f>
        <v>-15329563</v>
      </c>
      <c r="G59" s="92"/>
      <c r="H59" s="92"/>
      <c r="I59" s="89"/>
      <c r="J59" s="89">
        <f>+F59</f>
        <v>-15329563</v>
      </c>
      <c r="K59" s="89"/>
      <c r="L59" s="89"/>
      <c r="M59" s="90"/>
    </row>
    <row r="60" spans="1:13" s="91" customFormat="1" ht="15" customHeight="1" x14ac:dyDescent="0.25">
      <c r="A60" s="92" t="s">
        <v>48</v>
      </c>
      <c r="B60" s="98" t="s">
        <v>79</v>
      </c>
      <c r="C60" s="113" t="s">
        <v>49</v>
      </c>
      <c r="D60" s="89">
        <v>-48000000</v>
      </c>
      <c r="E60" s="109"/>
      <c r="F60" s="108"/>
      <c r="G60" s="92"/>
      <c r="H60" s="92"/>
      <c r="I60" s="89"/>
      <c r="J60" s="89">
        <f>+D60</f>
        <v>-48000000</v>
      </c>
      <c r="K60" s="89"/>
      <c r="L60" s="89"/>
      <c r="M60" s="90"/>
    </row>
    <row r="61" spans="1:13" s="91" customFormat="1" ht="15" customHeight="1" x14ac:dyDescent="0.25">
      <c r="A61" s="114" t="s">
        <v>32</v>
      </c>
      <c r="B61" s="98" t="s">
        <v>79</v>
      </c>
      <c r="C61" s="115">
        <f>+'Edison Int''l '!D23</f>
        <v>0</v>
      </c>
      <c r="D61" s="115">
        <f>+'Edison Int''l '!E23</f>
        <v>-726350</v>
      </c>
      <c r="E61" s="115">
        <f>+'Edison Int''l '!F23</f>
        <v>15617440</v>
      </c>
      <c r="F61" s="115">
        <f>+'Edison Int''l '!G23</f>
        <v>-16896840</v>
      </c>
      <c r="G61" s="115">
        <f>+'Edison Int''l '!L23</f>
        <v>-1463560</v>
      </c>
      <c r="H61" s="115">
        <f>+'Edison Int''l '!M23</f>
        <v>-11111175</v>
      </c>
      <c r="I61" s="115">
        <f>+'Edison Int''l '!Q23</f>
        <v>0</v>
      </c>
      <c r="J61" s="115">
        <f>+'Edison Int''l '!R23</f>
        <v>-2189910</v>
      </c>
      <c r="K61" s="89"/>
      <c r="L61" s="89"/>
      <c r="M61" s="90"/>
    </row>
    <row r="62" spans="1:13" s="91" customFormat="1" ht="15" customHeight="1" x14ac:dyDescent="0.25">
      <c r="A62" s="98" t="s">
        <v>0</v>
      </c>
      <c r="B62" s="98" t="s">
        <v>79</v>
      </c>
      <c r="C62" s="93">
        <f>+'PG&amp;E Corp.  '!D11</f>
        <v>0</v>
      </c>
      <c r="D62" s="93">
        <f>+'PG&amp;E Corp.  '!E11</f>
        <v>0</v>
      </c>
      <c r="E62" s="93">
        <f>+'PG&amp;E Corp.  '!F11</f>
        <v>0</v>
      </c>
      <c r="F62" s="93">
        <f>+'PG&amp;E Corp.  '!G11</f>
        <v>0</v>
      </c>
      <c r="G62" s="93">
        <f>+'PG&amp;E Corp.  '!L11</f>
        <v>-82256219</v>
      </c>
      <c r="H62" s="93">
        <f>+'PG&amp;E Corp.  '!M11</f>
        <v>0</v>
      </c>
      <c r="I62" s="93">
        <f>+'PG&amp;E Corp.  '!Q11</f>
        <v>0</v>
      </c>
      <c r="J62" s="93">
        <f>+'PG&amp;E Corp.  '!R11</f>
        <v>-82256219</v>
      </c>
      <c r="K62" s="89"/>
      <c r="L62" s="89"/>
      <c r="M62" s="90"/>
    </row>
    <row r="63" spans="1:13" s="91" customFormat="1" ht="15" customHeight="1" x14ac:dyDescent="0.3">
      <c r="A63" s="95" t="s">
        <v>3</v>
      </c>
      <c r="B63" s="95" t="s">
        <v>79</v>
      </c>
      <c r="C63" s="96">
        <f>+'PG&amp;E Corp.  '!D34</f>
        <v>0</v>
      </c>
      <c r="D63" s="96">
        <f>+'PG&amp;E Corp.  '!E34</f>
        <v>-43172764</v>
      </c>
      <c r="E63" s="96">
        <f>+'PG&amp;E Corp.  '!F34</f>
        <v>39298790</v>
      </c>
      <c r="F63" s="96">
        <f>+'PG&amp;E Corp.  '!G34</f>
        <v>-50185956</v>
      </c>
      <c r="G63" s="96">
        <f>+'PG&amp;E Corp.  '!L34</f>
        <v>-438073</v>
      </c>
      <c r="H63" s="96">
        <f>+'PG&amp;E Corp.  '!M34</f>
        <v>0</v>
      </c>
      <c r="I63" s="96">
        <f>+'PG&amp;E Corp.  '!Q34</f>
        <v>0</v>
      </c>
      <c r="J63" s="96">
        <f>+'PG&amp;E Corp.  '!R34</f>
        <v>-43610837</v>
      </c>
      <c r="K63" s="89"/>
      <c r="L63" s="89"/>
      <c r="M63" s="90"/>
    </row>
    <row r="64" spans="1:13" s="143" customFormat="1" ht="15" customHeight="1" x14ac:dyDescent="0.25">
      <c r="A64" s="146" t="s">
        <v>33</v>
      </c>
      <c r="B64" s="28" t="s">
        <v>79</v>
      </c>
      <c r="C64" s="147">
        <f>+'Edison Int''l '!D7</f>
        <v>0</v>
      </c>
      <c r="D64" s="147">
        <f>+'Edison Int''l '!E7</f>
        <v>3512011</v>
      </c>
      <c r="E64" s="147">
        <f>+'Edison Int''l '!F7</f>
        <v>124734793</v>
      </c>
      <c r="F64" s="147">
        <f>+'Edison Int''l '!G7</f>
        <v>0</v>
      </c>
      <c r="G64" s="147">
        <f>+'Edison Int''l '!L7</f>
        <v>124734793</v>
      </c>
      <c r="H64" s="147">
        <f>+'Edison Int''l '!M7</f>
        <v>-43530494</v>
      </c>
      <c r="I64" s="148">
        <f>+'Edison Int''l '!Q7</f>
        <v>128246804</v>
      </c>
      <c r="J64" s="148">
        <f>+'Edison Int''l '!R7</f>
        <v>0</v>
      </c>
      <c r="K64" s="29"/>
      <c r="L64" s="29"/>
      <c r="M64" s="145"/>
    </row>
    <row r="65" spans="1:13" s="91" customFormat="1" ht="15" customHeight="1" x14ac:dyDescent="0.3">
      <c r="A65" s="121" t="s">
        <v>72</v>
      </c>
      <c r="B65" s="114"/>
      <c r="C65" s="115"/>
      <c r="D65" s="115"/>
      <c r="E65" s="115"/>
      <c r="F65" s="115"/>
      <c r="G65" s="115"/>
      <c r="H65" s="115"/>
      <c r="I65" s="104">
        <f>SUM(I51:I64)</f>
        <v>190420915</v>
      </c>
      <c r="J65" s="104">
        <f>SUM(J51:J64)</f>
        <v>-247326313</v>
      </c>
      <c r="K65" s="89"/>
      <c r="L65" s="89"/>
      <c r="M65" s="90"/>
    </row>
    <row r="66" spans="1:13" s="91" customFormat="1" ht="15" customHeight="1" x14ac:dyDescent="0.3">
      <c r="A66" s="121"/>
      <c r="B66" s="114"/>
      <c r="C66" s="115"/>
      <c r="D66" s="115"/>
      <c r="E66" s="115"/>
      <c r="F66" s="115"/>
      <c r="G66" s="115"/>
      <c r="H66" s="115"/>
      <c r="I66" s="104"/>
      <c r="J66" s="104"/>
      <c r="K66" s="89"/>
      <c r="L66" s="89"/>
      <c r="M66" s="90"/>
    </row>
    <row r="67" spans="1:13" s="91" customFormat="1" ht="15" customHeight="1" x14ac:dyDescent="0.25">
      <c r="A67" s="114"/>
      <c r="B67" s="114"/>
      <c r="C67" s="115"/>
      <c r="D67" s="115"/>
      <c r="E67" s="115"/>
      <c r="F67" s="115"/>
      <c r="G67" s="115"/>
      <c r="H67" s="115"/>
      <c r="I67" s="115"/>
      <c r="J67" s="117"/>
      <c r="K67" s="89"/>
      <c r="L67" s="89"/>
      <c r="M67" s="90"/>
    </row>
    <row r="68" spans="1:13" s="143" customFormat="1" ht="15" customHeight="1" x14ac:dyDescent="0.25">
      <c r="A68" s="149" t="s">
        <v>0</v>
      </c>
      <c r="B68" s="149" t="s">
        <v>80</v>
      </c>
      <c r="C68" s="150">
        <f>+'PG&amp;E Corp.  '!D14</f>
        <v>0</v>
      </c>
      <c r="D68" s="150">
        <f>+'PG&amp;E Corp.  '!E14</f>
        <v>-629598.665988839</v>
      </c>
      <c r="E68" s="150">
        <f>+'PG&amp;E Corp.  '!F14</f>
        <v>0</v>
      </c>
      <c r="F68" s="150">
        <f>+'PG&amp;E Corp.  '!G14</f>
        <v>0</v>
      </c>
      <c r="G68" s="150">
        <f>+'PG&amp;E Corp.  '!L14</f>
        <v>0</v>
      </c>
      <c r="H68" s="150">
        <f>+'PG&amp;E Corp.  '!M14</f>
        <v>0</v>
      </c>
      <c r="I68" s="150">
        <f>+'PG&amp;E Corp.  '!Q14</f>
        <v>0</v>
      </c>
      <c r="J68" s="150">
        <f>+'PG&amp;E Corp.  '!R14</f>
        <v>-629598.665988839</v>
      </c>
      <c r="K68" s="29"/>
      <c r="L68" s="29"/>
      <c r="M68" s="145"/>
    </row>
    <row r="69" spans="1:13" s="143" customFormat="1" ht="15" customHeight="1" x14ac:dyDescent="0.25">
      <c r="A69" s="149" t="s">
        <v>33</v>
      </c>
      <c r="B69" s="149" t="s">
        <v>80</v>
      </c>
      <c r="C69" s="150">
        <f>+'Edison Int''l '!D11</f>
        <v>0</v>
      </c>
      <c r="D69" s="150">
        <f>+'Edison Int''l '!E11</f>
        <v>27853251.40102803</v>
      </c>
      <c r="E69" s="150">
        <f>+'Edison Int''l '!F11</f>
        <v>8652379.3399999999</v>
      </c>
      <c r="F69" s="150">
        <f>+'Edison Int''l '!G11</f>
        <v>0</v>
      </c>
      <c r="G69" s="150">
        <f>+'Edison Int''l '!L11</f>
        <v>8652379.3399999999</v>
      </c>
      <c r="H69" s="150">
        <f>+'Edison Int''l '!M11</f>
        <v>0</v>
      </c>
      <c r="I69" s="151">
        <f>+'Edison Int''l '!Q11</f>
        <v>36505630.741028026</v>
      </c>
      <c r="J69" s="151">
        <f>+'Edison Int''l '!R11</f>
        <v>0</v>
      </c>
      <c r="K69" s="29"/>
      <c r="L69" s="29"/>
      <c r="M69" s="145"/>
    </row>
    <row r="70" spans="1:13" s="91" customFormat="1" ht="15" customHeight="1" x14ac:dyDescent="0.3">
      <c r="A70" s="121" t="s">
        <v>73</v>
      </c>
      <c r="B70" s="118"/>
      <c r="C70" s="100"/>
      <c r="D70" s="100"/>
      <c r="E70" s="100"/>
      <c r="F70" s="100"/>
      <c r="G70" s="100"/>
      <c r="H70" s="115"/>
      <c r="I70" s="88">
        <f>+SUM(I68:I69)</f>
        <v>36505630.741028026</v>
      </c>
      <c r="J70" s="88">
        <f>+SUM(J68:J69)</f>
        <v>-629598.665988839</v>
      </c>
      <c r="K70" s="89"/>
      <c r="L70" s="89"/>
      <c r="M70" s="90"/>
    </row>
    <row r="71" spans="1:13" s="91" customFormat="1" ht="15" customHeight="1" x14ac:dyDescent="0.3">
      <c r="A71" s="121"/>
      <c r="B71" s="118"/>
      <c r="C71" s="100"/>
      <c r="D71" s="100"/>
      <c r="E71" s="100"/>
      <c r="F71" s="100"/>
      <c r="G71" s="100"/>
      <c r="H71" s="115"/>
      <c r="I71" s="88"/>
      <c r="J71" s="88"/>
      <c r="K71" s="89"/>
      <c r="L71" s="89"/>
      <c r="M71" s="90"/>
    </row>
    <row r="72" spans="1:13" s="91" customFormat="1" ht="15" customHeight="1" x14ac:dyDescent="0.25">
      <c r="A72" s="118"/>
      <c r="B72" s="118"/>
      <c r="C72" s="100"/>
      <c r="D72" s="100"/>
      <c r="E72" s="100"/>
      <c r="F72" s="100"/>
      <c r="G72" s="100"/>
      <c r="H72" s="115"/>
      <c r="I72" s="100"/>
      <c r="J72" s="116"/>
      <c r="K72" s="89"/>
      <c r="L72" s="89"/>
      <c r="M72" s="90"/>
    </row>
    <row r="73" spans="1:13" s="91" customFormat="1" ht="15" customHeight="1" x14ac:dyDescent="0.25">
      <c r="A73" s="98" t="s">
        <v>5</v>
      </c>
      <c r="B73" s="98" t="s">
        <v>81</v>
      </c>
      <c r="C73" s="93">
        <f>+'PG&amp;E Corp.  '!D51</f>
        <v>0</v>
      </c>
      <c r="D73" s="93">
        <f>+'PG&amp;E Corp.  '!E51</f>
        <v>0</v>
      </c>
      <c r="E73" s="93">
        <f>+'PG&amp;E Corp.  '!F51</f>
        <v>1749125</v>
      </c>
      <c r="F73" s="93">
        <f>+'PG&amp;E Corp.  '!G51</f>
        <v>-2246725</v>
      </c>
      <c r="G73" s="93">
        <f>+'PG&amp;E Corp.  '!L51</f>
        <v>-497600</v>
      </c>
      <c r="H73" s="93">
        <f>+'PG&amp;E Corp.  '!M51</f>
        <v>0</v>
      </c>
      <c r="I73" s="99">
        <f>+'PG&amp;E Corp.  '!Q51</f>
        <v>0</v>
      </c>
      <c r="J73" s="99">
        <f>+'PG&amp;E Corp.  '!R51</f>
        <v>-497600</v>
      </c>
      <c r="K73" s="89"/>
      <c r="L73" s="89"/>
      <c r="M73" s="90"/>
    </row>
    <row r="74" spans="1:13" s="91" customFormat="1" ht="15" customHeight="1" x14ac:dyDescent="0.3">
      <c r="A74" s="121" t="s">
        <v>74</v>
      </c>
      <c r="B74" s="98"/>
      <c r="C74" s="93"/>
      <c r="D74" s="93"/>
      <c r="E74" s="93"/>
      <c r="F74" s="93"/>
      <c r="G74" s="93"/>
      <c r="H74" s="93"/>
      <c r="I74" s="96">
        <f>SUM(I73)</f>
        <v>0</v>
      </c>
      <c r="J74" s="96">
        <f>SUM(J73)</f>
        <v>-497600</v>
      </c>
      <c r="K74" s="89"/>
      <c r="L74" s="89"/>
      <c r="M74" s="90"/>
    </row>
    <row r="75" spans="1:13" s="91" customFormat="1" ht="15" customHeight="1" x14ac:dyDescent="0.3">
      <c r="A75" s="121"/>
      <c r="B75" s="98"/>
      <c r="C75" s="93"/>
      <c r="D75" s="93"/>
      <c r="E75" s="93"/>
      <c r="F75" s="93"/>
      <c r="G75" s="93"/>
      <c r="H75" s="93"/>
      <c r="I75" s="96"/>
      <c r="J75" s="96"/>
      <c r="K75" s="89"/>
      <c r="L75" s="89"/>
      <c r="M75" s="90"/>
    </row>
    <row r="76" spans="1:13" s="91" customFormat="1" ht="15" customHeight="1" x14ac:dyDescent="0.25">
      <c r="A76" s="98"/>
      <c r="B76" s="98"/>
      <c r="C76" s="93"/>
      <c r="D76" s="93"/>
      <c r="E76" s="93"/>
      <c r="F76" s="93"/>
      <c r="G76" s="93"/>
      <c r="H76" s="93"/>
      <c r="I76" s="93"/>
      <c r="J76" s="89"/>
      <c r="K76" s="89"/>
      <c r="L76" s="89"/>
      <c r="M76" s="90"/>
    </row>
    <row r="77" spans="1:13" s="91" customFormat="1" ht="15" customHeight="1" x14ac:dyDescent="0.25">
      <c r="A77" s="89" t="s">
        <v>42</v>
      </c>
      <c r="B77" s="98" t="s">
        <v>90</v>
      </c>
      <c r="C77" s="110" t="s">
        <v>43</v>
      </c>
      <c r="D77" s="107"/>
      <c r="E77" s="109">
        <v>7700000</v>
      </c>
      <c r="F77" s="108"/>
      <c r="G77" s="92"/>
      <c r="H77" s="92"/>
      <c r="I77" s="89">
        <f>+E77</f>
        <v>7700000</v>
      </c>
      <c r="J77" s="107"/>
      <c r="K77" s="92"/>
      <c r="L77" s="92"/>
    </row>
    <row r="78" spans="1:13" s="91" customFormat="1" ht="15" customHeight="1" x14ac:dyDescent="0.25">
      <c r="A78" s="89" t="s">
        <v>42</v>
      </c>
      <c r="B78" s="98" t="s">
        <v>90</v>
      </c>
      <c r="C78" s="110" t="s">
        <v>44</v>
      </c>
      <c r="D78" s="107"/>
      <c r="E78" s="109">
        <v>45000000</v>
      </c>
      <c r="F78" s="108"/>
      <c r="G78" s="92"/>
      <c r="H78" s="92"/>
      <c r="I78" s="89">
        <f>+E78</f>
        <v>45000000</v>
      </c>
      <c r="J78" s="107"/>
      <c r="K78" s="92"/>
      <c r="L78" s="92"/>
    </row>
    <row r="79" spans="1:13" s="91" customFormat="1" ht="15" customHeight="1" x14ac:dyDescent="0.25">
      <c r="A79" s="89" t="s">
        <v>42</v>
      </c>
      <c r="B79" s="98" t="s">
        <v>90</v>
      </c>
      <c r="C79" s="110" t="s">
        <v>45</v>
      </c>
      <c r="D79" s="107"/>
      <c r="E79" s="109">
        <v>500000</v>
      </c>
      <c r="F79" s="108"/>
      <c r="G79" s="92"/>
      <c r="H79" s="92"/>
      <c r="I79" s="89">
        <f>+E79</f>
        <v>500000</v>
      </c>
      <c r="J79" s="107"/>
      <c r="K79" s="92"/>
      <c r="L79" s="92"/>
    </row>
    <row r="80" spans="1:13" s="91" customFormat="1" ht="15" customHeight="1" x14ac:dyDescent="0.25">
      <c r="A80" s="92" t="s">
        <v>48</v>
      </c>
      <c r="B80" s="98" t="s">
        <v>90</v>
      </c>
      <c r="C80" s="119" t="s">
        <v>44</v>
      </c>
      <c r="D80" s="120"/>
      <c r="E80" s="109">
        <v>2800000</v>
      </c>
      <c r="F80" s="109"/>
      <c r="G80" s="92"/>
      <c r="H80" s="92"/>
      <c r="I80" s="89">
        <f>+E80</f>
        <v>2800000</v>
      </c>
      <c r="J80" s="89"/>
      <c r="K80" s="92"/>
      <c r="L80" s="92"/>
    </row>
    <row r="81" spans="1:12" s="143" customFormat="1" ht="15" customHeight="1" x14ac:dyDescent="0.3">
      <c r="A81" s="152" t="s">
        <v>33</v>
      </c>
      <c r="B81" s="141" t="s">
        <v>90</v>
      </c>
      <c r="C81" s="153">
        <f>+'Edison Int''l '!D8</f>
        <v>0</v>
      </c>
      <c r="D81" s="153">
        <f>+'Edison Int''l '!E8</f>
        <v>0</v>
      </c>
      <c r="E81" s="153">
        <f>+'Edison Int''l '!F8</f>
        <v>53333333</v>
      </c>
      <c r="F81" s="153">
        <f>+'Edison Int''l '!G8</f>
        <v>0</v>
      </c>
      <c r="G81" s="153">
        <f>+'Edison Int''l '!L8</f>
        <v>53333333</v>
      </c>
      <c r="H81" s="153">
        <f>+'Edison Int''l '!M8</f>
        <v>0</v>
      </c>
      <c r="I81" s="154">
        <f>+'Edison Int''l '!Q8</f>
        <v>53333333</v>
      </c>
      <c r="J81" s="154">
        <f>+'Edison Int''l '!R8</f>
        <v>0</v>
      </c>
      <c r="K81" s="47"/>
      <c r="L81" s="47"/>
    </row>
    <row r="82" spans="1:12" s="91" customFormat="1" ht="15" customHeight="1" x14ac:dyDescent="0.3">
      <c r="A82" s="121" t="s">
        <v>75</v>
      </c>
      <c r="B82" s="92"/>
      <c r="C82" s="92"/>
      <c r="D82" s="92"/>
      <c r="E82" s="129"/>
      <c r="F82" s="129"/>
      <c r="G82" s="129"/>
      <c r="H82" s="129"/>
      <c r="I82" s="140">
        <f>SUM(I77:I81)</f>
        <v>109333333</v>
      </c>
      <c r="J82" s="140">
        <f>SUM(J77:J81)</f>
        <v>0</v>
      </c>
      <c r="K82" s="92"/>
      <c r="L82" s="92"/>
    </row>
    <row r="83" spans="1:12" s="91" customFormat="1" ht="15" customHeight="1" thickBot="1" x14ac:dyDescent="0.35">
      <c r="A83" s="121"/>
      <c r="B83" s="92"/>
      <c r="C83" s="92"/>
      <c r="D83" s="92"/>
      <c r="E83" s="129"/>
      <c r="F83" s="129"/>
      <c r="G83" s="129"/>
      <c r="H83" s="129"/>
      <c r="I83" s="126"/>
      <c r="J83" s="126"/>
      <c r="K83" s="92"/>
      <c r="L83" s="92"/>
    </row>
    <row r="84" spans="1:12" s="92" customFormat="1" ht="15" customHeight="1" thickTop="1" thickBot="1" x14ac:dyDescent="0.35">
      <c r="A84" s="121" t="s">
        <v>76</v>
      </c>
      <c r="E84" s="89"/>
      <c r="F84" s="89"/>
      <c r="G84" s="89"/>
      <c r="I84" s="126" t="e">
        <f>+I82+I74+I70+I65+I48+I34+I29+I24+I19+I10</f>
        <v>#REF!</v>
      </c>
      <c r="J84" s="126" t="e">
        <f>+J82+J74+J70+J65+J48+J34+J29+J24+J19+J10</f>
        <v>#REF!</v>
      </c>
    </row>
    <row r="85" spans="1:12" s="91" customFormat="1" ht="15" customHeight="1" thickTop="1" thickBot="1" x14ac:dyDescent="0.3">
      <c r="A85" s="92"/>
      <c r="B85" s="92"/>
      <c r="C85" s="92"/>
      <c r="D85" s="92"/>
      <c r="E85" s="92"/>
      <c r="F85" s="92"/>
      <c r="G85" s="92"/>
      <c r="H85" s="92"/>
      <c r="I85" s="92"/>
      <c r="J85" s="224"/>
      <c r="K85" s="92"/>
      <c r="L85" s="92"/>
    </row>
    <row r="86" spans="1:12" s="91" customFormat="1" ht="15" customHeight="1" thickTop="1" thickBot="1" x14ac:dyDescent="0.35">
      <c r="A86" s="121" t="s">
        <v>134</v>
      </c>
      <c r="B86" s="92"/>
      <c r="C86" s="92"/>
      <c r="D86" s="92"/>
      <c r="E86" s="92"/>
      <c r="F86" s="92"/>
      <c r="G86" s="92"/>
      <c r="H86" s="92"/>
      <c r="J86" s="126" t="e">
        <f>+J28+J41+J64+J62+I84</f>
        <v>#REF!</v>
      </c>
      <c r="K86" s="92"/>
      <c r="L86" s="92"/>
    </row>
    <row r="87" spans="1:12" s="91" customFormat="1" ht="15" customHeight="1" thickTop="1" x14ac:dyDescent="0.25">
      <c r="A87" s="92"/>
      <c r="B87" s="92"/>
      <c r="C87" s="92"/>
      <c r="D87" s="92"/>
      <c r="E87" s="92"/>
      <c r="F87" s="92"/>
      <c r="G87" s="92"/>
      <c r="H87" s="92"/>
      <c r="I87" s="92"/>
      <c r="J87" s="92"/>
      <c r="K87" s="92"/>
      <c r="L87" s="92"/>
    </row>
    <row r="88" spans="1:12" s="91" customFormat="1" ht="15" customHeight="1" x14ac:dyDescent="0.25">
      <c r="A88" s="92"/>
      <c r="B88" s="92"/>
      <c r="C88" s="92"/>
      <c r="D88" s="92"/>
      <c r="E88" s="92"/>
      <c r="F88" s="92"/>
      <c r="G88" s="92"/>
      <c r="H88" s="92"/>
      <c r="I88" s="92"/>
      <c r="J88" s="92"/>
      <c r="K88" s="92"/>
      <c r="L88" s="92"/>
    </row>
    <row r="89" spans="1:12" s="91" customFormat="1" ht="15" customHeight="1" x14ac:dyDescent="0.25">
      <c r="A89" s="92"/>
      <c r="B89" s="92"/>
      <c r="C89" s="92"/>
      <c r="D89" s="92"/>
      <c r="E89" s="92"/>
      <c r="F89" s="92"/>
      <c r="G89" s="92"/>
      <c r="H89" s="92"/>
      <c r="I89" s="92"/>
      <c r="J89" s="92"/>
      <c r="K89" s="92"/>
      <c r="L89" s="92"/>
    </row>
    <row r="90" spans="1:12" s="91" customFormat="1" ht="15" x14ac:dyDescent="0.25">
      <c r="A90" s="92"/>
      <c r="B90" s="92"/>
      <c r="C90" s="92"/>
      <c r="D90" s="92"/>
      <c r="E90" s="92"/>
      <c r="F90" s="92"/>
      <c r="G90" s="92" t="s">
        <v>64</v>
      </c>
      <c r="H90" s="92"/>
      <c r="I90" s="89">
        <f>+'PG&amp;E Corp.  '!Q71+'Edison Int''l '!Q30+'Px - ISO '!J35+'Px - ISO '!J16</f>
        <v>701726376.5415926</v>
      </c>
      <c r="J90" s="89">
        <f>+'PG&amp;E Corp.  '!R71+'Edison Int''l '!R30+'Px - ISO '!K35+'Px - ISO '!K16</f>
        <v>-179474621.66598883</v>
      </c>
      <c r="K90" s="92"/>
      <c r="L90" s="92"/>
    </row>
    <row r="91" spans="1:12" s="91" customFormat="1" ht="15" x14ac:dyDescent="0.25">
      <c r="A91" s="92"/>
      <c r="B91" s="92"/>
      <c r="C91" s="92"/>
      <c r="D91" s="92"/>
      <c r="E91" s="92"/>
      <c r="F91" s="92"/>
      <c r="G91" s="92"/>
      <c r="H91" s="92"/>
      <c r="I91" s="92"/>
      <c r="J91" s="92"/>
      <c r="K91" s="92"/>
      <c r="L91" s="92"/>
    </row>
    <row r="92" spans="1:12" s="91" customFormat="1" ht="15" x14ac:dyDescent="0.25">
      <c r="A92" s="92"/>
      <c r="B92" s="92"/>
      <c r="C92" s="92"/>
      <c r="D92" s="92"/>
      <c r="E92" s="92"/>
      <c r="F92" s="92"/>
      <c r="G92" s="92" t="s">
        <v>64</v>
      </c>
      <c r="H92" s="92"/>
      <c r="I92" s="89">
        <f>+'PG&amp;E Corp.  '!Q71+'Edison Int''l '!Q30+'Px - ISO '!J16+'Px - ISO '!J35</f>
        <v>701726376.5415926</v>
      </c>
      <c r="J92" s="89">
        <f>+'PG&amp;E Corp.  '!R71+'Edison Int''l '!R30+'Px - ISO '!K16+'Px - ISO '!K35</f>
        <v>-179474621.66598883</v>
      </c>
      <c r="K92" s="92"/>
      <c r="L92" s="92"/>
    </row>
    <row r="93" spans="1:12" s="91" customFormat="1" ht="15" x14ac:dyDescent="0.25">
      <c r="A93" s="92"/>
      <c r="B93" s="92"/>
      <c r="C93" s="92"/>
      <c r="D93" s="92"/>
      <c r="E93" s="92"/>
      <c r="F93" s="92"/>
      <c r="G93" s="92"/>
      <c r="H93" s="92"/>
      <c r="I93" s="92"/>
      <c r="J93" s="92"/>
      <c r="K93" s="92"/>
      <c r="L93" s="92"/>
    </row>
    <row r="94" spans="1:12" s="91" customFormat="1" ht="15" x14ac:dyDescent="0.25">
      <c r="A94" s="92"/>
      <c r="B94" s="92"/>
      <c r="C94" s="92"/>
      <c r="D94" s="92"/>
      <c r="E94" s="92"/>
      <c r="F94" s="92"/>
      <c r="G94" s="92"/>
      <c r="H94" s="92"/>
      <c r="J94" s="92"/>
      <c r="K94" s="92"/>
      <c r="L94" s="92"/>
    </row>
    <row r="95" spans="1:12" s="91" customFormat="1" ht="15" x14ac:dyDescent="0.25">
      <c r="A95" s="92"/>
      <c r="B95" s="92"/>
      <c r="C95" s="92"/>
      <c r="D95" s="92"/>
      <c r="E95" s="92"/>
      <c r="F95" s="92"/>
      <c r="G95" s="92"/>
      <c r="H95" s="92"/>
      <c r="I95" s="92"/>
      <c r="J95" s="92"/>
      <c r="K95" s="92"/>
      <c r="L95" s="92"/>
    </row>
    <row r="96" spans="1:12" s="91" customFormat="1" ht="15" x14ac:dyDescent="0.25">
      <c r="A96" s="92"/>
      <c r="B96" s="92"/>
      <c r="C96" s="92"/>
      <c r="D96" s="92"/>
      <c r="E96" s="92"/>
      <c r="F96" s="92"/>
      <c r="G96" s="92"/>
      <c r="H96" s="92"/>
      <c r="I96" s="92"/>
      <c r="J96" s="92"/>
      <c r="K96" s="92"/>
      <c r="L96" s="92"/>
    </row>
    <row r="97" spans="1:12" s="91" customFormat="1" ht="15" x14ac:dyDescent="0.25">
      <c r="A97" s="92"/>
      <c r="B97" s="92"/>
      <c r="C97" s="92"/>
      <c r="D97" s="92"/>
      <c r="E97" s="92"/>
      <c r="F97" s="92"/>
      <c r="G97" s="92"/>
      <c r="H97" s="92"/>
      <c r="I97" s="92"/>
      <c r="J97" s="92"/>
      <c r="K97" s="92"/>
      <c r="L97" s="92"/>
    </row>
    <row r="98" spans="1:12" s="91" customFormat="1" x14ac:dyDescent="0.25"/>
    <row r="99" spans="1:12" s="91" customFormat="1" x14ac:dyDescent="0.25"/>
    <row r="100" spans="1:12" s="91" customFormat="1" x14ac:dyDescent="0.25"/>
    <row r="101" spans="1:12" s="91" customFormat="1" x14ac:dyDescent="0.25"/>
    <row r="102" spans="1:12" s="91" customFormat="1" x14ac:dyDescent="0.25"/>
    <row r="103" spans="1:12" s="91" customFormat="1" x14ac:dyDescent="0.25"/>
    <row r="104" spans="1:12" s="91" customFormat="1" x14ac:dyDescent="0.25"/>
    <row r="105" spans="1:12" s="91" customFormat="1" x14ac:dyDescent="0.25"/>
    <row r="106" spans="1:12" s="91" customFormat="1" x14ac:dyDescent="0.25"/>
    <row r="107" spans="1:12" s="91" customFormat="1" x14ac:dyDescent="0.25"/>
    <row r="108" spans="1:12" s="91" customFormat="1" x14ac:dyDescent="0.25"/>
    <row r="109" spans="1:12" s="91" customFormat="1" x14ac:dyDescent="0.25"/>
    <row r="110" spans="1:12" s="91" customFormat="1" x14ac:dyDescent="0.25"/>
    <row r="111" spans="1:12" s="91" customFormat="1" x14ac:dyDescent="0.25"/>
    <row r="112" spans="1:12" s="91" customFormat="1" x14ac:dyDescent="0.25"/>
    <row r="113" s="91" customFormat="1" x14ac:dyDescent="0.25"/>
    <row r="114" s="91" customFormat="1" x14ac:dyDescent="0.25"/>
    <row r="115" s="91" customFormat="1" x14ac:dyDescent="0.25"/>
    <row r="116" s="91" customFormat="1" x14ac:dyDescent="0.25"/>
    <row r="117" s="91" customFormat="1" x14ac:dyDescent="0.25"/>
    <row r="118" s="91" customFormat="1" x14ac:dyDescent="0.25"/>
    <row r="119" s="91" customFormat="1" x14ac:dyDescent="0.25"/>
    <row r="120" s="91" customFormat="1" x14ac:dyDescent="0.25"/>
    <row r="121" s="91" customFormat="1" x14ac:dyDescent="0.25"/>
    <row r="122" s="91" customFormat="1" x14ac:dyDescent="0.25"/>
    <row r="123" s="91" customFormat="1" x14ac:dyDescent="0.25"/>
    <row r="124" s="91" customFormat="1" x14ac:dyDescent="0.25"/>
    <row r="125" s="91" customFormat="1" x14ac:dyDescent="0.25"/>
    <row r="126" s="91" customFormat="1" x14ac:dyDescent="0.25"/>
    <row r="127" s="91" customFormat="1" x14ac:dyDescent="0.25"/>
    <row r="128" s="91" customFormat="1" x14ac:dyDescent="0.25"/>
    <row r="129" s="91" customFormat="1" x14ac:dyDescent="0.25"/>
    <row r="130" s="91" customFormat="1" x14ac:dyDescent="0.25"/>
    <row r="131" s="91" customFormat="1" x14ac:dyDescent="0.25"/>
    <row r="132" s="91" customFormat="1" x14ac:dyDescent="0.25"/>
    <row r="133" s="91" customFormat="1" x14ac:dyDescent="0.25"/>
    <row r="134" s="91" customFormat="1" x14ac:dyDescent="0.25"/>
    <row r="135" s="91" customFormat="1" x14ac:dyDescent="0.25"/>
    <row r="136" s="91" customFormat="1" x14ac:dyDescent="0.25"/>
    <row r="137" s="91" customFormat="1" x14ac:dyDescent="0.25"/>
    <row r="138" s="91" customFormat="1" x14ac:dyDescent="0.25"/>
    <row r="139" s="91" customFormat="1" x14ac:dyDescent="0.25"/>
    <row r="140" s="91" customFormat="1" x14ac:dyDescent="0.25"/>
    <row r="141" s="91" customFormat="1" x14ac:dyDescent="0.25"/>
    <row r="142" s="91" customFormat="1" x14ac:dyDescent="0.25"/>
    <row r="143" s="91" customFormat="1" x14ac:dyDescent="0.25"/>
    <row r="144" s="91" customFormat="1" x14ac:dyDescent="0.25"/>
    <row r="145" s="91" customFormat="1" x14ac:dyDescent="0.25"/>
    <row r="146" s="91" customFormat="1" x14ac:dyDescent="0.25"/>
    <row r="147" s="91" customFormat="1" x14ac:dyDescent="0.25"/>
    <row r="148" s="91" customFormat="1" x14ac:dyDescent="0.25"/>
    <row r="149" s="91" customFormat="1" x14ac:dyDescent="0.25"/>
    <row r="150" s="91" customFormat="1" x14ac:dyDescent="0.25"/>
    <row r="151" s="91" customFormat="1" x14ac:dyDescent="0.25"/>
    <row r="152" s="91" customFormat="1" x14ac:dyDescent="0.25"/>
    <row r="153" s="91" customFormat="1" x14ac:dyDescent="0.25"/>
    <row r="154" s="91" customFormat="1" x14ac:dyDescent="0.25"/>
    <row r="155" s="91" customFormat="1" x14ac:dyDescent="0.25"/>
    <row r="156" s="91" customFormat="1" x14ac:dyDescent="0.25"/>
    <row r="157" s="91" customFormat="1" x14ac:dyDescent="0.25"/>
    <row r="158" s="91" customFormat="1" x14ac:dyDescent="0.25"/>
    <row r="159" s="91" customFormat="1" x14ac:dyDescent="0.25"/>
    <row r="160" s="91" customFormat="1" x14ac:dyDescent="0.25"/>
    <row r="161" s="91" customFormat="1" x14ac:dyDescent="0.25"/>
    <row r="162" s="91" customFormat="1" x14ac:dyDescent="0.25"/>
    <row r="163" s="91" customFormat="1" x14ac:dyDescent="0.25"/>
    <row r="164" s="91" customFormat="1" x14ac:dyDescent="0.25"/>
    <row r="165" s="91" customFormat="1" x14ac:dyDescent="0.25"/>
    <row r="166" s="91" customFormat="1" x14ac:dyDescent="0.25"/>
    <row r="167" s="91" customFormat="1" x14ac:dyDescent="0.25"/>
    <row r="168" s="91" customFormat="1" x14ac:dyDescent="0.25"/>
    <row r="169" s="91" customFormat="1" x14ac:dyDescent="0.25"/>
    <row r="170" s="91" customFormat="1" x14ac:dyDescent="0.25"/>
    <row r="171" s="91" customFormat="1" x14ac:dyDescent="0.25"/>
    <row r="172" s="91" customFormat="1" x14ac:dyDescent="0.25"/>
    <row r="173" s="91" customFormat="1" x14ac:dyDescent="0.25"/>
    <row r="174" s="91" customFormat="1" x14ac:dyDescent="0.25"/>
    <row r="175" s="91" customFormat="1" x14ac:dyDescent="0.25"/>
    <row r="176" s="91" customFormat="1" x14ac:dyDescent="0.25"/>
    <row r="177" s="91" customFormat="1" x14ac:dyDescent="0.25"/>
    <row r="178" s="91" customFormat="1" x14ac:dyDescent="0.25"/>
    <row r="179" s="91" customFormat="1" x14ac:dyDescent="0.25"/>
    <row r="180" s="91" customFormat="1" x14ac:dyDescent="0.25"/>
    <row r="181" s="91" customFormat="1" x14ac:dyDescent="0.25"/>
    <row r="182" s="91" customFormat="1" x14ac:dyDescent="0.25"/>
    <row r="183" s="91" customFormat="1" x14ac:dyDescent="0.25"/>
    <row r="184" s="91" customFormat="1" x14ac:dyDescent="0.25"/>
    <row r="185" s="91" customFormat="1" x14ac:dyDescent="0.25"/>
    <row r="186" s="91" customFormat="1" x14ac:dyDescent="0.25"/>
    <row r="187" s="91" customFormat="1" x14ac:dyDescent="0.25"/>
    <row r="188" s="91" customFormat="1" x14ac:dyDescent="0.25"/>
    <row r="189" s="91" customFormat="1" x14ac:dyDescent="0.25"/>
    <row r="190" s="91" customFormat="1" x14ac:dyDescent="0.25"/>
    <row r="191" s="91" customFormat="1" x14ac:dyDescent="0.25"/>
    <row r="192" s="91" customFormat="1" x14ac:dyDescent="0.25"/>
    <row r="193" s="91" customFormat="1" x14ac:dyDescent="0.25"/>
    <row r="194" s="91" customFormat="1" x14ac:dyDescent="0.25"/>
    <row r="195" s="91" customFormat="1" x14ac:dyDescent="0.25"/>
    <row r="196" s="91" customFormat="1" x14ac:dyDescent="0.25"/>
    <row r="197" s="91" customFormat="1" x14ac:dyDescent="0.25"/>
    <row r="198" s="91" customFormat="1" x14ac:dyDescent="0.25"/>
    <row r="199" s="91" customFormat="1" x14ac:dyDescent="0.25"/>
    <row r="200" s="91" customFormat="1" x14ac:dyDescent="0.25"/>
    <row r="201" s="91" customFormat="1" x14ac:dyDescent="0.25"/>
    <row r="202" s="91" customFormat="1" x14ac:dyDescent="0.25"/>
    <row r="203" s="91" customFormat="1" x14ac:dyDescent="0.25"/>
    <row r="204" s="91" customFormat="1" x14ac:dyDescent="0.25"/>
    <row r="205" s="91" customFormat="1" x14ac:dyDescent="0.25"/>
    <row r="206" s="91" customFormat="1" x14ac:dyDescent="0.25"/>
    <row r="207" s="91" customFormat="1" x14ac:dyDescent="0.25"/>
    <row r="208" s="91" customFormat="1" x14ac:dyDescent="0.25"/>
    <row r="209" s="91" customFormat="1" x14ac:dyDescent="0.25"/>
    <row r="210" s="91" customFormat="1" x14ac:dyDescent="0.25"/>
    <row r="211" s="91" customFormat="1" x14ac:dyDescent="0.25"/>
    <row r="212" s="91" customFormat="1" x14ac:dyDescent="0.25"/>
    <row r="213" s="91" customFormat="1" x14ac:dyDescent="0.25"/>
    <row r="214" s="91" customFormat="1" x14ac:dyDescent="0.25"/>
    <row r="215" s="91" customFormat="1" x14ac:dyDescent="0.25"/>
    <row r="216" s="91" customFormat="1" x14ac:dyDescent="0.25"/>
    <row r="217" s="91" customFormat="1" x14ac:dyDescent="0.25"/>
    <row r="218" s="91" customFormat="1" x14ac:dyDescent="0.25"/>
    <row r="219" s="91" customFormat="1" x14ac:dyDescent="0.25"/>
    <row r="220" s="91" customFormat="1" x14ac:dyDescent="0.25"/>
    <row r="221" s="91" customFormat="1" x14ac:dyDescent="0.25"/>
    <row r="222" s="91" customFormat="1" x14ac:dyDescent="0.25"/>
    <row r="223" s="91" customFormat="1" x14ac:dyDescent="0.25"/>
    <row r="224" s="91" customFormat="1" x14ac:dyDescent="0.25"/>
    <row r="225" s="91" customFormat="1" x14ac:dyDescent="0.25"/>
    <row r="226" s="91" customFormat="1" x14ac:dyDescent="0.25"/>
    <row r="227" s="91" customFormat="1" x14ac:dyDescent="0.25"/>
    <row r="228" s="91" customFormat="1" x14ac:dyDescent="0.25"/>
    <row r="229" s="91" customFormat="1" x14ac:dyDescent="0.25"/>
    <row r="230" s="91" customFormat="1" x14ac:dyDescent="0.25"/>
    <row r="231" s="91" customFormat="1" x14ac:dyDescent="0.25"/>
    <row r="232" s="91" customFormat="1" x14ac:dyDescent="0.25"/>
    <row r="233" s="91" customFormat="1" x14ac:dyDescent="0.25"/>
    <row r="234" s="91" customFormat="1" x14ac:dyDescent="0.25"/>
    <row r="235" s="91" customFormat="1" x14ac:dyDescent="0.25"/>
    <row r="236" s="91" customFormat="1" x14ac:dyDescent="0.25"/>
    <row r="237" s="91" customFormat="1" x14ac:dyDescent="0.25"/>
    <row r="238" s="91" customFormat="1" x14ac:dyDescent="0.25"/>
    <row r="239" s="91" customFormat="1" x14ac:dyDescent="0.25"/>
    <row r="240" s="91" customFormat="1" x14ac:dyDescent="0.25"/>
    <row r="241" s="91" customFormat="1" x14ac:dyDescent="0.25"/>
    <row r="242" s="91" customFormat="1" x14ac:dyDescent="0.25"/>
    <row r="243" s="91" customFormat="1" x14ac:dyDescent="0.25"/>
    <row r="244" s="91" customFormat="1" x14ac:dyDescent="0.25"/>
    <row r="245" s="91" customFormat="1" x14ac:dyDescent="0.25"/>
    <row r="246" s="91" customFormat="1" x14ac:dyDescent="0.25"/>
    <row r="247" s="91" customFormat="1" x14ac:dyDescent="0.25"/>
    <row r="248" s="91" customFormat="1" x14ac:dyDescent="0.25"/>
    <row r="249" s="91" customFormat="1" x14ac:dyDescent="0.25"/>
    <row r="250" s="91" customFormat="1" x14ac:dyDescent="0.25"/>
    <row r="251" s="91" customFormat="1" x14ac:dyDescent="0.25"/>
    <row r="252" s="91" customFormat="1" x14ac:dyDescent="0.25"/>
    <row r="253" s="91" customFormat="1" x14ac:dyDescent="0.25"/>
    <row r="254" s="91" customFormat="1" x14ac:dyDescent="0.25"/>
    <row r="255" s="91" customFormat="1" x14ac:dyDescent="0.25"/>
    <row r="256" s="91" customFormat="1" x14ac:dyDescent="0.25"/>
    <row r="257" s="91" customFormat="1" x14ac:dyDescent="0.25"/>
    <row r="258" s="91" customFormat="1" x14ac:dyDescent="0.25"/>
    <row r="259" s="91" customFormat="1" x14ac:dyDescent="0.25"/>
    <row r="260" s="91" customFormat="1" x14ac:dyDescent="0.25"/>
    <row r="261" s="91" customFormat="1" x14ac:dyDescent="0.25"/>
    <row r="262" s="91" customFormat="1" x14ac:dyDescent="0.25"/>
    <row r="263" s="91" customFormat="1" x14ac:dyDescent="0.25"/>
    <row r="264" s="91" customFormat="1" x14ac:dyDescent="0.25"/>
    <row r="265" s="91" customFormat="1" x14ac:dyDescent="0.25"/>
    <row r="266" s="91" customFormat="1" x14ac:dyDescent="0.25"/>
    <row r="267" s="91" customFormat="1" x14ac:dyDescent="0.25"/>
    <row r="268" s="91" customFormat="1" x14ac:dyDescent="0.25"/>
    <row r="269" s="91" customFormat="1" x14ac:dyDescent="0.25"/>
    <row r="270" s="91" customFormat="1" x14ac:dyDescent="0.25"/>
    <row r="271" s="91" customFormat="1" x14ac:dyDescent="0.25"/>
    <row r="272" s="91" customFormat="1" x14ac:dyDescent="0.25"/>
    <row r="273" s="91" customFormat="1" x14ac:dyDescent="0.25"/>
    <row r="274" s="91" customFormat="1" x14ac:dyDescent="0.25"/>
    <row r="275" s="91" customFormat="1" x14ac:dyDescent="0.25"/>
    <row r="276" s="91" customFormat="1" x14ac:dyDescent="0.25"/>
    <row r="277" s="91" customFormat="1" x14ac:dyDescent="0.25"/>
    <row r="278" s="91" customFormat="1" x14ac:dyDescent="0.25"/>
    <row r="279" s="91" customFormat="1" x14ac:dyDescent="0.25"/>
    <row r="280" s="91" customFormat="1" x14ac:dyDescent="0.25"/>
    <row r="281" s="91" customFormat="1" x14ac:dyDescent="0.25"/>
    <row r="282" s="91" customFormat="1" x14ac:dyDescent="0.25"/>
    <row r="283" s="91" customFormat="1" x14ac:dyDescent="0.25"/>
    <row r="284" s="91" customFormat="1" x14ac:dyDescent="0.25"/>
    <row r="285" s="91" customFormat="1" x14ac:dyDescent="0.25"/>
    <row r="286" s="91" customFormat="1" x14ac:dyDescent="0.25"/>
    <row r="287" s="91" customFormat="1" x14ac:dyDescent="0.25"/>
    <row r="288" s="91" customFormat="1" x14ac:dyDescent="0.25"/>
    <row r="289" s="91" customFormat="1" x14ac:dyDescent="0.25"/>
    <row r="290" s="91" customFormat="1" x14ac:dyDescent="0.25"/>
    <row r="291" s="91" customFormat="1" x14ac:dyDescent="0.25"/>
    <row r="292" s="91" customFormat="1" x14ac:dyDescent="0.25"/>
    <row r="293" s="91" customFormat="1" x14ac:dyDescent="0.25"/>
    <row r="294" s="91" customFormat="1" x14ac:dyDescent="0.25"/>
    <row r="295" s="91" customFormat="1" x14ac:dyDescent="0.25"/>
    <row r="296" s="91" customFormat="1" x14ac:dyDescent="0.25"/>
    <row r="297" s="91" customFormat="1" x14ac:dyDescent="0.25"/>
    <row r="298" s="91" customFormat="1" x14ac:dyDescent="0.25"/>
    <row r="299" s="91" customFormat="1" x14ac:dyDescent="0.25"/>
    <row r="300" s="91" customFormat="1" x14ac:dyDescent="0.25"/>
    <row r="301" s="91" customFormat="1" x14ac:dyDescent="0.25"/>
    <row r="302" s="91" customFormat="1" x14ac:dyDescent="0.25"/>
    <row r="303" s="91" customFormat="1" x14ac:dyDescent="0.25"/>
    <row r="304" s="91" customFormat="1" x14ac:dyDescent="0.25"/>
    <row r="305" s="91" customFormat="1" x14ac:dyDescent="0.25"/>
    <row r="306" s="91" customFormat="1" x14ac:dyDescent="0.25"/>
    <row r="307" s="91" customFormat="1" x14ac:dyDescent="0.25"/>
    <row r="308" s="91" customFormat="1" x14ac:dyDescent="0.25"/>
    <row r="309" s="91" customFormat="1" x14ac:dyDescent="0.25"/>
    <row r="310" s="91" customFormat="1" x14ac:dyDescent="0.25"/>
    <row r="311" s="91" customFormat="1" x14ac:dyDescent="0.25"/>
    <row r="312" s="91" customFormat="1" x14ac:dyDescent="0.25"/>
    <row r="313" s="91" customFormat="1" x14ac:dyDescent="0.25"/>
    <row r="314" s="91" customFormat="1" x14ac:dyDescent="0.25"/>
    <row r="315" s="91" customFormat="1" x14ac:dyDescent="0.25"/>
    <row r="316" s="91" customFormat="1" x14ac:dyDescent="0.25"/>
    <row r="317" s="91" customFormat="1" x14ac:dyDescent="0.25"/>
    <row r="318" s="91" customFormat="1" x14ac:dyDescent="0.25"/>
    <row r="319" s="91" customFormat="1" x14ac:dyDescent="0.25"/>
    <row r="320" s="91" customFormat="1" x14ac:dyDescent="0.25"/>
    <row r="321" s="91" customFormat="1" x14ac:dyDescent="0.25"/>
    <row r="322" s="91" customFormat="1" x14ac:dyDescent="0.25"/>
    <row r="323" s="91" customFormat="1" x14ac:dyDescent="0.25"/>
    <row r="324" s="91" customFormat="1" x14ac:dyDescent="0.25"/>
    <row r="325" s="91" customFormat="1" x14ac:dyDescent="0.25"/>
    <row r="326" s="91" customFormat="1" x14ac:dyDescent="0.25"/>
    <row r="327" s="91" customFormat="1" x14ac:dyDescent="0.25"/>
    <row r="328" s="91" customFormat="1" x14ac:dyDescent="0.25"/>
    <row r="329" s="91" customFormat="1" x14ac:dyDescent="0.25"/>
    <row r="330" s="91" customFormat="1" x14ac:dyDescent="0.25"/>
    <row r="331" s="91" customFormat="1" x14ac:dyDescent="0.25"/>
    <row r="332" s="91" customFormat="1" x14ac:dyDescent="0.25"/>
    <row r="333" s="91" customFormat="1" x14ac:dyDescent="0.25"/>
    <row r="334" s="91" customFormat="1" x14ac:dyDescent="0.25"/>
    <row r="335" s="91" customFormat="1" x14ac:dyDescent="0.25"/>
    <row r="336" s="91" customFormat="1" x14ac:dyDescent="0.25"/>
    <row r="337" s="91" customFormat="1" x14ac:dyDescent="0.25"/>
    <row r="338" s="91" customFormat="1" x14ac:dyDescent="0.25"/>
    <row r="339" s="91" customFormat="1" x14ac:dyDescent="0.25"/>
    <row r="340" s="91" customFormat="1" x14ac:dyDescent="0.25"/>
    <row r="341" s="91" customFormat="1" x14ac:dyDescent="0.25"/>
    <row r="342" s="91" customFormat="1" x14ac:dyDescent="0.25"/>
    <row r="343" s="91" customFormat="1" x14ac:dyDescent="0.25"/>
    <row r="344" s="91" customFormat="1" x14ac:dyDescent="0.25"/>
    <row r="345" s="91" customFormat="1" x14ac:dyDescent="0.25"/>
    <row r="346" s="91" customFormat="1" x14ac:dyDescent="0.25"/>
    <row r="347" s="91" customFormat="1" x14ac:dyDescent="0.25"/>
    <row r="348" s="91" customFormat="1" x14ac:dyDescent="0.25"/>
    <row r="349" s="91" customFormat="1" x14ac:dyDescent="0.25"/>
    <row r="350" s="91" customFormat="1" x14ac:dyDescent="0.25"/>
    <row r="351" s="91" customFormat="1" x14ac:dyDescent="0.25"/>
    <row r="352" s="91" customFormat="1" x14ac:dyDescent="0.25"/>
    <row r="353" s="91" customFormat="1" x14ac:dyDescent="0.25"/>
    <row r="354" s="91" customFormat="1" x14ac:dyDescent="0.25"/>
    <row r="355" s="91" customFormat="1" x14ac:dyDescent="0.25"/>
    <row r="356" s="91" customFormat="1" x14ac:dyDescent="0.25"/>
    <row r="357" s="91" customFormat="1" x14ac:dyDescent="0.25"/>
    <row r="358" s="91" customFormat="1" x14ac:dyDescent="0.25"/>
    <row r="359" s="91" customFormat="1" x14ac:dyDescent="0.25"/>
    <row r="360" s="91" customFormat="1" x14ac:dyDescent="0.25"/>
    <row r="361" s="91" customFormat="1" x14ac:dyDescent="0.25"/>
    <row r="362" s="91" customFormat="1" x14ac:dyDescent="0.25"/>
    <row r="363" s="91" customFormat="1" x14ac:dyDescent="0.25"/>
    <row r="364" s="91" customFormat="1" x14ac:dyDescent="0.25"/>
    <row r="365" s="91" customFormat="1" x14ac:dyDescent="0.25"/>
    <row r="366" s="91" customFormat="1" x14ac:dyDescent="0.25"/>
    <row r="367" s="91" customFormat="1" x14ac:dyDescent="0.25"/>
    <row r="368" s="91" customFormat="1" x14ac:dyDescent="0.25"/>
    <row r="369" s="91" customFormat="1" x14ac:dyDescent="0.25"/>
    <row r="370" s="91" customFormat="1" x14ac:dyDescent="0.25"/>
    <row r="371" s="91" customFormat="1" x14ac:dyDescent="0.25"/>
    <row r="372" s="91" customFormat="1" x14ac:dyDescent="0.25"/>
    <row r="373" s="91" customFormat="1" x14ac:dyDescent="0.25"/>
    <row r="374" s="91" customFormat="1" x14ac:dyDescent="0.25"/>
    <row r="375" s="91" customFormat="1" x14ac:dyDescent="0.25"/>
    <row r="376" s="91" customFormat="1" x14ac:dyDescent="0.25"/>
    <row r="377" s="91" customFormat="1" x14ac:dyDescent="0.25"/>
    <row r="378" s="91" customFormat="1" x14ac:dyDescent="0.25"/>
    <row r="379" s="91" customFormat="1" x14ac:dyDescent="0.25"/>
    <row r="380" s="91" customFormat="1" x14ac:dyDescent="0.25"/>
    <row r="381" s="91" customFormat="1" x14ac:dyDescent="0.25"/>
    <row r="382" s="91" customFormat="1" x14ac:dyDescent="0.25"/>
    <row r="383" s="91" customFormat="1" x14ac:dyDescent="0.25"/>
    <row r="384" s="91" customFormat="1" x14ac:dyDescent="0.25"/>
    <row r="385" s="91" customFormat="1" x14ac:dyDescent="0.25"/>
    <row r="386" s="91" customFormat="1" x14ac:dyDescent="0.25"/>
    <row r="387" s="91" customFormat="1" x14ac:dyDescent="0.25"/>
    <row r="388" s="91" customFormat="1" x14ac:dyDescent="0.25"/>
    <row r="389" s="91" customFormat="1" x14ac:dyDescent="0.25"/>
    <row r="390" s="91" customFormat="1" x14ac:dyDescent="0.25"/>
    <row r="391" s="91" customFormat="1" x14ac:dyDescent="0.25"/>
    <row r="392" s="91" customFormat="1" x14ac:dyDescent="0.25"/>
    <row r="393" s="91" customFormat="1" x14ac:dyDescent="0.25"/>
    <row r="394" s="91" customFormat="1" x14ac:dyDescent="0.25"/>
    <row r="395" s="91" customFormat="1" x14ac:dyDescent="0.25"/>
    <row r="396" s="91" customFormat="1" x14ac:dyDescent="0.25"/>
    <row r="397" s="91" customFormat="1" x14ac:dyDescent="0.25"/>
    <row r="398" s="91" customFormat="1" x14ac:dyDescent="0.25"/>
    <row r="399" s="91" customFormat="1" x14ac:dyDescent="0.25"/>
    <row r="400" s="91" customFormat="1" x14ac:dyDescent="0.25"/>
    <row r="401" s="91" customFormat="1" x14ac:dyDescent="0.25"/>
    <row r="402" s="91" customFormat="1" x14ac:dyDescent="0.25"/>
    <row r="403" s="91" customFormat="1" x14ac:dyDescent="0.25"/>
    <row r="404" s="91" customFormat="1" x14ac:dyDescent="0.25"/>
    <row r="405" s="91" customFormat="1" x14ac:dyDescent="0.25"/>
    <row r="406" s="91" customFormat="1" x14ac:dyDescent="0.25"/>
    <row r="407" s="91" customFormat="1" x14ac:dyDescent="0.25"/>
    <row r="408" s="91" customFormat="1" x14ac:dyDescent="0.25"/>
    <row r="409" s="91" customFormat="1" x14ac:dyDescent="0.25"/>
    <row r="410" s="91" customFormat="1" x14ac:dyDescent="0.25"/>
    <row r="411" s="91" customFormat="1" x14ac:dyDescent="0.25"/>
    <row r="412" s="91" customFormat="1" x14ac:dyDescent="0.25"/>
    <row r="413" s="91" customFormat="1" x14ac:dyDescent="0.25"/>
    <row r="414" s="91" customFormat="1" x14ac:dyDescent="0.25"/>
    <row r="415" s="91" customFormat="1" x14ac:dyDescent="0.25"/>
    <row r="416" s="91" customFormat="1" x14ac:dyDescent="0.25"/>
  </sheetData>
  <phoneticPr fontId="0" type="noConversion"/>
  <pageMargins left="0.75" right="0.75" top="1" bottom="1" header="0.5" footer="0.5"/>
  <pageSetup scale="50" fitToHeight="2" orientation="landscape" r:id="rId1"/>
  <headerFooter alignWithMargins="0">
    <oddHeader>&amp;C&amp;"Arial,Bold"&amp;16HIGHLY CONFIDENTIAL</oddHeader>
  </headerFooter>
  <rowBreaks count="1" manualBreakCount="1">
    <brk id="49"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PG&amp;E Corp.  </vt:lpstr>
      <vt:lpstr>PG&amp;E Corp.  (unreg)</vt:lpstr>
      <vt:lpstr>Edison Int'l </vt:lpstr>
      <vt:lpstr>Px - ISO </vt:lpstr>
      <vt:lpstr>By Enron Entity</vt:lpstr>
      <vt:lpstr>Summary</vt:lpstr>
      <vt:lpstr>'By Enron Entity'!Print_Area</vt:lpstr>
      <vt:lpstr>'Edison Int''l '!Print_Area</vt:lpstr>
      <vt:lpstr>'PG&amp;E Corp.  '!Print_Area</vt:lpstr>
      <vt:lpstr>'PG&amp;E Corp.  (unreg)'!Print_Area</vt:lpstr>
      <vt:lpstr>'Px - ISO '!Print_Area</vt:lpstr>
      <vt:lpstr>Summary!Print_Area</vt:lpstr>
      <vt:lpstr>Summary!Print_Titles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wconwell</dc:creator>
  <cp:lastModifiedBy>Havlíček Jan</cp:lastModifiedBy>
  <cp:lastPrinted>2001-06-08T15:29:34Z</cp:lastPrinted>
  <dcterms:created xsi:type="dcterms:W3CDTF">2001-01-17T17:48:43Z</dcterms:created>
  <dcterms:modified xsi:type="dcterms:W3CDTF">2023-09-10T11:17:03Z</dcterms:modified>
</cp:coreProperties>
</file>