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 Pricing" sheetId="4" r:id="rId1"/>
    <sheet name="Potential Gain" sheetId="3" r:id="rId2"/>
    <sheet name="Deals" sheetId="1" r:id="rId3"/>
    <sheet name="Deal Cash" sheetId="2" r:id="rId4"/>
  </sheets>
  <definedNames>
    <definedName name="_xlnm.Print_Area" localSheetId="2">Deals!$B$2:$V$36</definedName>
  </definedNames>
  <calcPr calcId="92512"/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13" i="4"/>
  <c r="C5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C18" i="2"/>
  <c r="D18" i="2"/>
  <c r="E18" i="2"/>
  <c r="F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C19" i="2"/>
  <c r="D19" i="2"/>
  <c r="E19" i="2"/>
  <c r="F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C20" i="2"/>
  <c r="D20" i="2"/>
  <c r="E20" i="2"/>
  <c r="F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C21" i="2"/>
  <c r="D21" i="2"/>
  <c r="E21" i="2"/>
  <c r="F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C22" i="2"/>
  <c r="D22" i="2"/>
  <c r="E22" i="2"/>
  <c r="F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C23" i="2"/>
  <c r="D23" i="2"/>
  <c r="E23" i="2"/>
  <c r="F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C24" i="2"/>
  <c r="D24" i="2"/>
  <c r="E24" i="2"/>
  <c r="F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C25" i="2"/>
  <c r="D25" i="2"/>
  <c r="E25" i="2"/>
  <c r="F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C26" i="2"/>
  <c r="D26" i="2"/>
  <c r="E26" i="2"/>
  <c r="F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C27" i="2"/>
  <c r="D27" i="2"/>
  <c r="E27" i="2"/>
  <c r="F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C28" i="2"/>
  <c r="D28" i="2"/>
  <c r="E28" i="2"/>
  <c r="F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C29" i="2"/>
  <c r="D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30" i="2"/>
  <c r="D30" i="2"/>
  <c r="E30" i="2"/>
  <c r="F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C31" i="2"/>
  <c r="D31" i="2"/>
  <c r="E31" i="2"/>
  <c r="F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C32" i="2"/>
  <c r="D32" i="2"/>
  <c r="E32" i="2"/>
  <c r="F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C33" i="2"/>
  <c r="D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C34" i="2"/>
  <c r="D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C35" i="2"/>
  <c r="D35" i="2"/>
  <c r="E35" i="2"/>
  <c r="F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O4" i="1"/>
  <c r="P4" i="1"/>
  <c r="Q4" i="1"/>
  <c r="R4" i="1"/>
  <c r="S4" i="1"/>
  <c r="T4" i="1"/>
  <c r="U4" i="1"/>
  <c r="F5" i="1"/>
  <c r="J5" i="1"/>
  <c r="K5" i="1"/>
  <c r="L5" i="1"/>
  <c r="M5" i="1"/>
  <c r="P5" i="1"/>
  <c r="Q5" i="1"/>
  <c r="R5" i="1"/>
  <c r="S5" i="1"/>
  <c r="T5" i="1"/>
  <c r="U5" i="1"/>
  <c r="F6" i="1"/>
  <c r="J6" i="1"/>
  <c r="K6" i="1"/>
  <c r="L6" i="1"/>
  <c r="M6" i="1"/>
  <c r="P6" i="1"/>
  <c r="Q6" i="1"/>
  <c r="R6" i="1"/>
  <c r="S6" i="1"/>
  <c r="T6" i="1"/>
  <c r="U6" i="1"/>
  <c r="F7" i="1"/>
  <c r="J7" i="1"/>
  <c r="K7" i="1"/>
  <c r="L7" i="1"/>
  <c r="M7" i="1"/>
  <c r="P7" i="1"/>
  <c r="Q7" i="1"/>
  <c r="R7" i="1"/>
  <c r="S7" i="1"/>
  <c r="T7" i="1"/>
  <c r="U7" i="1"/>
  <c r="F8" i="1"/>
  <c r="J8" i="1"/>
  <c r="K8" i="1"/>
  <c r="L8" i="1"/>
  <c r="M8" i="1"/>
  <c r="P8" i="1"/>
  <c r="Q8" i="1"/>
  <c r="R8" i="1"/>
  <c r="S8" i="1"/>
  <c r="T8" i="1"/>
  <c r="U8" i="1"/>
  <c r="F9" i="1"/>
  <c r="J9" i="1"/>
  <c r="K9" i="1"/>
  <c r="L9" i="1"/>
  <c r="M9" i="1"/>
  <c r="P9" i="1"/>
  <c r="Q9" i="1"/>
  <c r="R9" i="1"/>
  <c r="S9" i="1"/>
  <c r="T9" i="1"/>
  <c r="U9" i="1"/>
  <c r="F10" i="1"/>
  <c r="J10" i="1"/>
  <c r="K10" i="1"/>
  <c r="L10" i="1"/>
  <c r="M10" i="1"/>
  <c r="P10" i="1"/>
  <c r="Q10" i="1"/>
  <c r="R10" i="1"/>
  <c r="S10" i="1"/>
  <c r="T10" i="1"/>
  <c r="U10" i="1"/>
  <c r="F11" i="1"/>
  <c r="J11" i="1"/>
  <c r="K11" i="1"/>
  <c r="L11" i="1"/>
  <c r="M11" i="1"/>
  <c r="P11" i="1"/>
  <c r="Q11" i="1"/>
  <c r="R11" i="1"/>
  <c r="S11" i="1"/>
  <c r="T11" i="1"/>
  <c r="U11" i="1"/>
  <c r="F12" i="1"/>
  <c r="J12" i="1"/>
  <c r="K12" i="1"/>
  <c r="L12" i="1"/>
  <c r="M12" i="1"/>
  <c r="P12" i="1"/>
  <c r="Q12" i="1"/>
  <c r="R12" i="1"/>
  <c r="S12" i="1"/>
  <c r="T12" i="1"/>
  <c r="U12" i="1"/>
  <c r="F13" i="1"/>
  <c r="J13" i="1"/>
  <c r="K13" i="1"/>
  <c r="L13" i="1"/>
  <c r="M13" i="1"/>
  <c r="P13" i="1"/>
  <c r="Q13" i="1"/>
  <c r="R13" i="1"/>
  <c r="S13" i="1"/>
  <c r="T13" i="1"/>
  <c r="U13" i="1"/>
  <c r="F14" i="1"/>
  <c r="J14" i="1"/>
  <c r="K14" i="1"/>
  <c r="L14" i="1"/>
  <c r="M14" i="1"/>
  <c r="P14" i="1"/>
  <c r="Q14" i="1"/>
  <c r="R14" i="1"/>
  <c r="S14" i="1"/>
  <c r="T14" i="1"/>
  <c r="U14" i="1"/>
  <c r="F15" i="1"/>
  <c r="J15" i="1"/>
  <c r="K15" i="1"/>
  <c r="L15" i="1"/>
  <c r="M15" i="1"/>
  <c r="P15" i="1"/>
  <c r="Q15" i="1"/>
  <c r="R15" i="1"/>
  <c r="S15" i="1"/>
  <c r="T15" i="1"/>
  <c r="U15" i="1"/>
  <c r="F16" i="1"/>
  <c r="J16" i="1"/>
  <c r="K16" i="1"/>
  <c r="L16" i="1"/>
  <c r="M16" i="1"/>
  <c r="P16" i="1"/>
  <c r="Q16" i="1"/>
  <c r="R16" i="1"/>
  <c r="S16" i="1"/>
  <c r="T16" i="1"/>
  <c r="U16" i="1"/>
  <c r="F17" i="1"/>
  <c r="J17" i="1"/>
  <c r="K17" i="1"/>
  <c r="L17" i="1"/>
  <c r="M17" i="1"/>
  <c r="P17" i="1"/>
  <c r="Q17" i="1"/>
  <c r="R17" i="1"/>
  <c r="S17" i="1"/>
  <c r="T17" i="1"/>
  <c r="U17" i="1"/>
  <c r="F18" i="1"/>
  <c r="J18" i="1"/>
  <c r="K18" i="1"/>
  <c r="L18" i="1"/>
  <c r="M18" i="1"/>
  <c r="P18" i="1"/>
  <c r="Q18" i="1"/>
  <c r="R18" i="1"/>
  <c r="S18" i="1"/>
  <c r="T18" i="1"/>
  <c r="U18" i="1"/>
  <c r="F19" i="1"/>
  <c r="J19" i="1"/>
  <c r="K19" i="1"/>
  <c r="L19" i="1"/>
  <c r="M19" i="1"/>
  <c r="P19" i="1"/>
  <c r="Q19" i="1"/>
  <c r="R19" i="1"/>
  <c r="S19" i="1"/>
  <c r="T19" i="1"/>
  <c r="U19" i="1"/>
  <c r="F20" i="1"/>
  <c r="J20" i="1"/>
  <c r="K20" i="1"/>
  <c r="L20" i="1"/>
  <c r="M20" i="1"/>
  <c r="P20" i="1"/>
  <c r="Q20" i="1"/>
  <c r="R20" i="1"/>
  <c r="S20" i="1"/>
  <c r="T20" i="1"/>
  <c r="U20" i="1"/>
  <c r="F21" i="1"/>
  <c r="J21" i="1"/>
  <c r="K21" i="1"/>
  <c r="L21" i="1"/>
  <c r="M21" i="1"/>
  <c r="P21" i="1"/>
  <c r="Q21" i="1"/>
  <c r="R21" i="1"/>
  <c r="S21" i="1"/>
  <c r="T21" i="1"/>
  <c r="U21" i="1"/>
  <c r="F22" i="1"/>
  <c r="J22" i="1"/>
  <c r="K22" i="1"/>
  <c r="L22" i="1"/>
  <c r="M22" i="1"/>
  <c r="P22" i="1"/>
  <c r="Q22" i="1"/>
  <c r="R22" i="1"/>
  <c r="S22" i="1"/>
  <c r="T22" i="1"/>
  <c r="U22" i="1"/>
  <c r="F23" i="1"/>
  <c r="J23" i="1"/>
  <c r="K23" i="1"/>
  <c r="L23" i="1"/>
  <c r="M23" i="1"/>
  <c r="P23" i="1"/>
  <c r="Q23" i="1"/>
  <c r="R23" i="1"/>
  <c r="S23" i="1"/>
  <c r="T23" i="1"/>
  <c r="U23" i="1"/>
  <c r="F24" i="1"/>
  <c r="J24" i="1"/>
  <c r="K24" i="1"/>
  <c r="L24" i="1"/>
  <c r="M24" i="1"/>
  <c r="P24" i="1"/>
  <c r="Q24" i="1"/>
  <c r="R24" i="1"/>
  <c r="S24" i="1"/>
  <c r="T24" i="1"/>
  <c r="U24" i="1"/>
  <c r="F25" i="1"/>
  <c r="J25" i="1"/>
  <c r="K25" i="1"/>
  <c r="L25" i="1"/>
  <c r="M25" i="1"/>
  <c r="P25" i="1"/>
  <c r="Q25" i="1"/>
  <c r="R25" i="1"/>
  <c r="S25" i="1"/>
  <c r="T25" i="1"/>
  <c r="U25" i="1"/>
  <c r="F26" i="1"/>
  <c r="J26" i="1"/>
  <c r="K26" i="1"/>
  <c r="L26" i="1"/>
  <c r="M26" i="1"/>
  <c r="P26" i="1"/>
  <c r="Q26" i="1"/>
  <c r="R26" i="1"/>
  <c r="S26" i="1"/>
  <c r="T26" i="1"/>
  <c r="U26" i="1"/>
  <c r="F27" i="1"/>
  <c r="J27" i="1"/>
  <c r="K27" i="1"/>
  <c r="L27" i="1"/>
  <c r="M27" i="1"/>
  <c r="P27" i="1"/>
  <c r="Q27" i="1"/>
  <c r="R27" i="1"/>
  <c r="S27" i="1"/>
  <c r="T27" i="1"/>
  <c r="U27" i="1"/>
  <c r="F28" i="1"/>
  <c r="J28" i="1"/>
  <c r="K28" i="1"/>
  <c r="L28" i="1"/>
  <c r="M28" i="1"/>
  <c r="P28" i="1"/>
  <c r="Q28" i="1"/>
  <c r="R28" i="1"/>
  <c r="S28" i="1"/>
  <c r="T28" i="1"/>
  <c r="U28" i="1"/>
  <c r="F29" i="1"/>
  <c r="J29" i="1"/>
  <c r="K29" i="1"/>
  <c r="L29" i="1"/>
  <c r="M29" i="1"/>
  <c r="P29" i="1"/>
  <c r="Q29" i="1"/>
  <c r="R29" i="1"/>
  <c r="S29" i="1"/>
  <c r="T29" i="1"/>
  <c r="U29" i="1"/>
  <c r="F30" i="1"/>
  <c r="J30" i="1"/>
  <c r="K30" i="1"/>
  <c r="L30" i="1"/>
  <c r="M30" i="1"/>
  <c r="P30" i="1"/>
  <c r="Q30" i="1"/>
  <c r="R30" i="1"/>
  <c r="S30" i="1"/>
  <c r="T30" i="1"/>
  <c r="U30" i="1"/>
  <c r="F31" i="1"/>
  <c r="J31" i="1"/>
  <c r="K31" i="1"/>
  <c r="L31" i="1"/>
  <c r="M31" i="1"/>
  <c r="P31" i="1"/>
  <c r="Q31" i="1"/>
  <c r="R31" i="1"/>
  <c r="S31" i="1"/>
  <c r="T31" i="1"/>
  <c r="U31" i="1"/>
  <c r="F32" i="1"/>
  <c r="J32" i="1"/>
  <c r="K32" i="1"/>
  <c r="L32" i="1"/>
  <c r="M32" i="1"/>
  <c r="P32" i="1"/>
  <c r="Q32" i="1"/>
  <c r="R32" i="1"/>
  <c r="S32" i="1"/>
  <c r="T32" i="1"/>
  <c r="U32" i="1"/>
  <c r="F33" i="1"/>
  <c r="J33" i="1"/>
  <c r="K33" i="1"/>
  <c r="L33" i="1"/>
  <c r="M33" i="1"/>
  <c r="P33" i="1"/>
  <c r="Q33" i="1"/>
  <c r="R33" i="1"/>
  <c r="S33" i="1"/>
  <c r="T33" i="1"/>
  <c r="U33" i="1"/>
  <c r="F34" i="1"/>
  <c r="J34" i="1"/>
  <c r="K34" i="1"/>
  <c r="L34" i="1"/>
  <c r="M34" i="1"/>
  <c r="P34" i="1"/>
  <c r="Q34" i="1"/>
  <c r="R34" i="1"/>
  <c r="S34" i="1"/>
  <c r="T34" i="1"/>
  <c r="U34" i="1"/>
  <c r="F35" i="1"/>
  <c r="J35" i="1"/>
  <c r="K35" i="1"/>
  <c r="L35" i="1"/>
  <c r="M35" i="1"/>
  <c r="P35" i="1"/>
  <c r="Q35" i="1"/>
  <c r="R35" i="1"/>
  <c r="S35" i="1"/>
  <c r="T35" i="1"/>
  <c r="U35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B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B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B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B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B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B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B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B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B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B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B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B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B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B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B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B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B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B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B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B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B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B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</calcChain>
</file>

<file path=xl/sharedStrings.xml><?xml version="1.0" encoding="utf-8"?>
<sst xmlns="http://schemas.openxmlformats.org/spreadsheetml/2006/main" count="306" uniqueCount="89">
  <si>
    <t>CounterParty</t>
  </si>
  <si>
    <t>P.O.D.</t>
  </si>
  <si>
    <t>CRC</t>
  </si>
  <si>
    <t>Burbank</t>
  </si>
  <si>
    <t>Nevada</t>
  </si>
  <si>
    <t>Sierra Pacific</t>
  </si>
  <si>
    <t>MWD</t>
  </si>
  <si>
    <t>VEA</t>
  </si>
  <si>
    <t>Palo Verde</t>
  </si>
  <si>
    <t>Mead</t>
  </si>
  <si>
    <t>Pinnacle Peak</t>
  </si>
  <si>
    <t>WAPA</t>
  </si>
  <si>
    <t>MW</t>
  </si>
  <si>
    <t>San Diego</t>
  </si>
  <si>
    <t>Delivery Pattern</t>
  </si>
  <si>
    <t>HLH</t>
  </si>
  <si>
    <t>RTC</t>
  </si>
  <si>
    <t>LLH</t>
  </si>
  <si>
    <t>0100 - 0600</t>
  </si>
  <si>
    <t>Term</t>
  </si>
  <si>
    <t>thru 12/31/01</t>
  </si>
  <si>
    <t>thru 04/06/02</t>
  </si>
  <si>
    <t>Redding</t>
  </si>
  <si>
    <t>NP15</t>
  </si>
  <si>
    <t>NCPA</t>
  </si>
  <si>
    <t>Oakland Muni</t>
  </si>
  <si>
    <t>City of Roseville</t>
  </si>
  <si>
    <t>thru 4/6/02</t>
  </si>
  <si>
    <t>Waum</t>
  </si>
  <si>
    <t>Dympi</t>
  </si>
  <si>
    <t>SP15</t>
  </si>
  <si>
    <t>City of Riverside</t>
  </si>
  <si>
    <t>Douglas PUD</t>
  </si>
  <si>
    <t>Mid-C</t>
  </si>
  <si>
    <t>thru 2/28/02</t>
  </si>
  <si>
    <t>McMinnville</t>
  </si>
  <si>
    <t>thru 9/30/04</t>
  </si>
  <si>
    <t>Gray's Harbor</t>
  </si>
  <si>
    <t>Air Products</t>
  </si>
  <si>
    <t>thru 8/31/04</t>
  </si>
  <si>
    <t>Powerex</t>
  </si>
  <si>
    <t>COB N/S</t>
  </si>
  <si>
    <t>thru 12/31/14</t>
  </si>
  <si>
    <t>BPA</t>
  </si>
  <si>
    <t>Santa Clara</t>
  </si>
  <si>
    <t>thru 12/31/09</t>
  </si>
  <si>
    <t>MWh/d</t>
  </si>
  <si>
    <t>Prepay Price</t>
  </si>
  <si>
    <t>Spread</t>
  </si>
  <si>
    <t>Daily Value</t>
  </si>
  <si>
    <t>Daily Cash out</t>
  </si>
  <si>
    <t>Daily Receivable Back</t>
  </si>
  <si>
    <t>Contract Price</t>
  </si>
  <si>
    <t>Wed</t>
  </si>
  <si>
    <t>Thu</t>
  </si>
  <si>
    <t>Fri</t>
  </si>
  <si>
    <t>Sat</t>
  </si>
  <si>
    <t>Sun</t>
  </si>
  <si>
    <t>Mon</t>
  </si>
  <si>
    <t>Tue</t>
  </si>
  <si>
    <t>Cash out</t>
  </si>
  <si>
    <t>Receivable</t>
  </si>
  <si>
    <t>Start Delivery</t>
  </si>
  <si>
    <t>Min Spread</t>
  </si>
  <si>
    <t>Total Cash out</t>
  </si>
  <si>
    <t>Total Net Gain</t>
  </si>
  <si>
    <t>Net Gain on Cash Outlay</t>
  </si>
  <si>
    <t>December Active Deals</t>
  </si>
  <si>
    <t>Receiveables paid by 15th of January</t>
  </si>
  <si>
    <t>Net Gain is receivables less initial cash out.</t>
  </si>
  <si>
    <t xml:space="preserve"> Wire Date</t>
  </si>
  <si>
    <t>Prepay</t>
  </si>
  <si>
    <t>deals</t>
  </si>
  <si>
    <t>West Power Prices</t>
  </si>
  <si>
    <t>Today:</t>
  </si>
  <si>
    <t>Curve:</t>
  </si>
  <si>
    <t>Flat</t>
  </si>
  <si>
    <t>Peak</t>
  </si>
  <si>
    <t>Off-Peak</t>
  </si>
  <si>
    <t>Region</t>
  </si>
  <si>
    <t>($/MWh)</t>
  </si>
  <si>
    <t>Palo w/Mead basis</t>
  </si>
  <si>
    <t>Mid Columbia</t>
  </si>
  <si>
    <t>COB</t>
  </si>
  <si>
    <t>NP-15</t>
  </si>
  <si>
    <t>SP-15</t>
  </si>
  <si>
    <t>Prepay premium</t>
  </si>
  <si>
    <t>Pre-pay Prices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</si>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</sst>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9" formatCode="mmmm\-yy"/>
  </numFmts>
  <fonts count="6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167" fontId="0" fillId="0" borderId="0" xfId="1" applyNumberFormat="1" applyFont="1"/>
    <xf numFmtId="167" fontId="0" fillId="2" borderId="0" xfId="1" applyNumberFormat="1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43" fontId="2" fillId="2" borderId="0" xfId="1" applyFont="1" applyFill="1"/>
    <xf numFmtId="167" fontId="2" fillId="2" borderId="0" xfId="1" applyNumberFormat="1" applyFont="1" applyFill="1"/>
    <xf numFmtId="0" fontId="2" fillId="2" borderId="0" xfId="0" applyFont="1" applyFill="1" applyAlignment="1">
      <alignment horizontal="left"/>
    </xf>
    <xf numFmtId="43" fontId="2" fillId="2" borderId="0" xfId="1" applyFont="1" applyFill="1" applyBorder="1" applyAlignment="1">
      <alignment horizontal="center" wrapText="1"/>
    </xf>
    <xf numFmtId="167" fontId="2" fillId="2" borderId="2" xfId="0" applyNumberFormat="1" applyFont="1" applyFill="1" applyBorder="1"/>
    <xf numFmtId="0" fontId="2" fillId="2" borderId="2" xfId="0" applyFont="1" applyFill="1" applyBorder="1"/>
    <xf numFmtId="0" fontId="2" fillId="2" borderId="0" xfId="0" applyFont="1" applyFill="1" applyBorder="1" applyAlignment="1">
      <alignment horizontal="center"/>
    </xf>
    <xf numFmtId="43" fontId="2" fillId="2" borderId="0" xfId="1" applyFont="1" applyFill="1" applyBorder="1"/>
    <xf numFmtId="167" fontId="2" fillId="2" borderId="0" xfId="1" applyNumberFormat="1" applyFont="1" applyFill="1" applyBorder="1" applyAlignment="1">
      <alignment horizontal="center"/>
    </xf>
    <xf numFmtId="167" fontId="2" fillId="2" borderId="3" xfId="1" applyNumberFormat="1" applyFont="1" applyFill="1" applyBorder="1"/>
    <xf numFmtId="0" fontId="2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3" fontId="2" fillId="2" borderId="0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wrapText="1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167" fontId="0" fillId="0" borderId="0" xfId="0" applyNumberFormat="1"/>
    <xf numFmtId="167" fontId="0" fillId="0" borderId="2" xfId="0" applyNumberFormat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43" fontId="2" fillId="2" borderId="7" xfId="1" applyFont="1" applyFill="1" applyBorder="1"/>
    <xf numFmtId="167" fontId="2" fillId="2" borderId="7" xfId="1" applyNumberFormat="1" applyFont="1" applyFill="1" applyBorder="1" applyAlignment="1">
      <alignment horizontal="center"/>
    </xf>
    <xf numFmtId="167" fontId="2" fillId="2" borderId="8" xfId="1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167" fontId="0" fillId="2" borderId="10" xfId="1" applyNumberFormat="1" applyFont="1" applyFill="1" applyBorder="1"/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167" fontId="0" fillId="2" borderId="9" xfId="0" applyNumberFormat="1" applyFill="1" applyBorder="1"/>
    <xf numFmtId="167" fontId="0" fillId="2" borderId="13" xfId="0" applyNumberFormat="1" applyFill="1" applyBorder="1"/>
    <xf numFmtId="167" fontId="0" fillId="2" borderId="14" xfId="1" applyNumberFormat="1" applyFont="1" applyFill="1" applyBorder="1"/>
    <xf numFmtId="167" fontId="0" fillId="2" borderId="11" xfId="0" applyNumberFormat="1" applyFill="1" applyBorder="1"/>
    <xf numFmtId="167" fontId="0" fillId="2" borderId="12" xfId="0" applyNumberFormat="1" applyFill="1" applyBorder="1"/>
    <xf numFmtId="167" fontId="0" fillId="2" borderId="14" xfId="1" applyNumberFormat="1" applyFont="1" applyFill="1" applyBorder="1" applyAlignment="1">
      <alignment horizontal="center" wrapText="1"/>
    </xf>
    <xf numFmtId="0" fontId="3" fillId="2" borderId="0" xfId="0" applyFont="1" applyFill="1" applyBorder="1"/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left" wrapText="1"/>
    </xf>
    <xf numFmtId="43" fontId="2" fillId="2" borderId="17" xfId="1" applyFont="1" applyFill="1" applyBorder="1" applyAlignment="1">
      <alignment horizontal="center" wrapText="1"/>
    </xf>
    <xf numFmtId="167" fontId="2" fillId="2" borderId="16" xfId="1" applyNumberFormat="1" applyFont="1" applyFill="1" applyBorder="1" applyAlignment="1">
      <alignment horizontal="center" wrapText="1"/>
    </xf>
    <xf numFmtId="43" fontId="2" fillId="2" borderId="18" xfId="1" applyFont="1" applyFill="1" applyBorder="1" applyAlignment="1">
      <alignment horizontal="center" wrapText="1"/>
    </xf>
    <xf numFmtId="43" fontId="2" fillId="2" borderId="19" xfId="1" applyFont="1" applyFill="1" applyBorder="1" applyAlignment="1">
      <alignment horizontal="center" wrapText="1"/>
    </xf>
    <xf numFmtId="167" fontId="2" fillId="2" borderId="13" xfId="0" applyNumberFormat="1" applyFont="1" applyFill="1" applyBorder="1"/>
    <xf numFmtId="0" fontId="2" fillId="2" borderId="11" xfId="0" applyFont="1" applyFill="1" applyBorder="1"/>
    <xf numFmtId="0" fontId="2" fillId="2" borderId="20" xfId="0" applyFont="1" applyFill="1" applyBorder="1"/>
    <xf numFmtId="0" fontId="2" fillId="2" borderId="2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43" fontId="2" fillId="2" borderId="14" xfId="1" applyFont="1" applyFill="1" applyBorder="1"/>
    <xf numFmtId="167" fontId="2" fillId="2" borderId="14" xfId="1" applyNumberFormat="1" applyFont="1" applyFill="1" applyBorder="1" applyAlignment="1">
      <alignment horizontal="center"/>
    </xf>
    <xf numFmtId="167" fontId="2" fillId="2" borderId="20" xfId="1" applyNumberFormat="1" applyFont="1" applyFill="1" applyBorder="1"/>
    <xf numFmtId="167" fontId="2" fillId="2" borderId="21" xfId="0" applyNumberFormat="1" applyFont="1" applyFill="1" applyBorder="1"/>
    <xf numFmtId="167" fontId="2" fillId="2" borderId="12" xfId="0" applyNumberFormat="1" applyFont="1" applyFill="1" applyBorder="1"/>
    <xf numFmtId="0" fontId="4" fillId="2" borderId="0" xfId="0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0" fillId="3" borderId="9" xfId="0" applyNumberFormat="1" applyFill="1" applyBorder="1"/>
    <xf numFmtId="167" fontId="0" fillId="3" borderId="13" xfId="0" applyNumberFormat="1" applyFill="1" applyBorder="1"/>
    <xf numFmtId="0" fontId="0" fillId="2" borderId="0" xfId="0" applyFill="1" applyBorder="1" applyAlignment="1">
      <alignment horizontal="right" wrapText="1"/>
    </xf>
    <xf numFmtId="0" fontId="4" fillId="0" borderId="0" xfId="0" applyFont="1"/>
    <xf numFmtId="14" fontId="0" fillId="0" borderId="0" xfId="0" applyNumberFormat="1"/>
    <xf numFmtId="0" fontId="4" fillId="0" borderId="6" xfId="0" applyFont="1" applyBorder="1"/>
    <xf numFmtId="0" fontId="4" fillId="0" borderId="2" xfId="0" applyFont="1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24" xfId="0" applyNumberFormat="1" applyBorder="1"/>
    <xf numFmtId="2" fontId="0" fillId="0" borderId="25" xfId="0" applyNumberFormat="1" applyBorder="1"/>
    <xf numFmtId="0" fontId="2" fillId="2" borderId="0" xfId="0" applyFont="1" applyFill="1" applyBorder="1"/>
    <xf numFmtId="0" fontId="0" fillId="0" borderId="0" xfId="0" applyBorder="1"/>
    <xf numFmtId="0" fontId="2" fillId="2" borderId="23" xfId="0" applyFont="1" applyFill="1" applyBorder="1"/>
    <xf numFmtId="0" fontId="4" fillId="0" borderId="9" xfId="0" applyFont="1" applyBorder="1"/>
    <xf numFmtId="0" fontId="2" fillId="2" borderId="13" xfId="0" applyFon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23" xfId="0" applyFont="1" applyFill="1" applyBorder="1" applyAlignment="1">
      <alignment horizontal="center"/>
    </xf>
    <xf numFmtId="43" fontId="2" fillId="2" borderId="0" xfId="1" applyFont="1" applyFill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67" fontId="2" fillId="2" borderId="0" xfId="0" applyNumberFormat="1" applyFont="1" applyFill="1" applyBorder="1"/>
    <xf numFmtId="43" fontId="2" fillId="2" borderId="29" xfId="1" applyFont="1" applyFill="1" applyBorder="1" applyAlignment="1">
      <alignment horizontal="center" wrapText="1"/>
    </xf>
    <xf numFmtId="0" fontId="2" fillId="2" borderId="30" xfId="0" applyFont="1" applyFill="1" applyBorder="1"/>
    <xf numFmtId="1" fontId="2" fillId="2" borderId="31" xfId="0" applyNumberFormat="1" applyFont="1" applyFill="1" applyBorder="1" applyAlignment="1">
      <alignment horizontal="center" vertical="center"/>
    </xf>
    <xf numFmtId="0" fontId="3" fillId="2" borderId="22" xfId="0" applyFont="1" applyFill="1" applyBorder="1"/>
    <xf numFmtId="0" fontId="2" fillId="2" borderId="10" xfId="0" applyFont="1" applyFill="1" applyBorder="1"/>
    <xf numFmtId="43" fontId="2" fillId="2" borderId="10" xfId="1" applyFont="1" applyFill="1" applyBorder="1"/>
    <xf numFmtId="169" fontId="4" fillId="0" borderId="7" xfId="0" applyNumberFormat="1" applyFont="1" applyBorder="1" applyAlignment="1">
      <alignment horizontal="center"/>
    </xf>
    <xf numFmtId="169" fontId="4" fillId="0" borderId="8" xfId="0" applyNumberFormat="1" applyFont="1" applyBorder="1" applyAlignment="1">
      <alignment horizontal="center"/>
    </xf>
    <xf numFmtId="16" fontId="0" fillId="4" borderId="14" xfId="0" applyNumberFormat="1" applyFill="1" applyBorder="1" applyAlignment="1">
      <alignment horizontal="center"/>
    </xf>
    <xf numFmtId="16" fontId="0" fillId="4" borderId="12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6" fontId="0" fillId="4" borderId="11" xfId="0" applyNumberForma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169" fontId="4" fillId="0" borderId="22" xfId="0" applyNumberFormat="1" applyFont="1" applyBorder="1" applyAlignment="1">
      <alignment horizontal="center"/>
    </xf>
    <xf numFmtId="169" fontId="4" fillId="0" borderId="10" xfId="0" applyNumberFormat="1" applyFont="1" applyBorder="1" applyAlignment="1">
      <alignment horizontal="center"/>
    </xf>
    <xf numFmtId="169" fontId="4" fillId="0" borderId="23" xfId="0" applyNumberFormat="1" applyFont="1" applyBorder="1" applyAlignment="1">
      <alignment horizontal="center"/>
    </xf>
    <xf numFmtId="43" fontId="5" fillId="2" borderId="26" xfId="1" applyFont="1" applyFill="1" applyBorder="1" applyAlignment="1">
      <alignment horizontal="center" wrapText="1"/>
    </xf>
    <xf numFmtId="43" fontId="5" fillId="2" borderId="27" xfId="1" applyFont="1" applyFill="1" applyBorder="1" applyAlignment="1">
      <alignment horizontal="center" wrapText="1"/>
    </xf>
    <xf numFmtId="43" fontId="5" fillId="2" borderId="28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27" sqref="D26:D27"/>
    </sheetView>
  </sheetViews>
  <sheetFormatPr defaultRowHeight="13.2" x14ac:dyDescent="0.25"/>
  <cols>
    <col min="1" max="1" width="16.6640625" bestFit="1" customWidth="1"/>
    <col min="10" max="10" width="11.6640625" customWidth="1"/>
  </cols>
  <sheetData>
    <row r="1" spans="1:10" x14ac:dyDescent="0.25">
      <c r="A1" s="73" t="s">
        <v>73</v>
      </c>
      <c r="I1" t="s">
        <v>74</v>
      </c>
      <c r="J1" s="74">
        <v>37242</v>
      </c>
    </row>
    <row r="2" spans="1:10" x14ac:dyDescent="0.25">
      <c r="I2" t="s">
        <v>75</v>
      </c>
      <c r="J2" s="74">
        <v>37239</v>
      </c>
    </row>
    <row r="3" spans="1:10" x14ac:dyDescent="0.25">
      <c r="D3" s="74"/>
    </row>
    <row r="4" spans="1:10" x14ac:dyDescent="0.25">
      <c r="A4" s="75"/>
      <c r="B4" s="116">
        <v>37226</v>
      </c>
      <c r="C4" s="116"/>
      <c r="D4" s="116"/>
      <c r="E4" s="116">
        <v>37257</v>
      </c>
      <c r="F4" s="116"/>
      <c r="G4" s="116"/>
      <c r="H4" s="116">
        <v>37288</v>
      </c>
      <c r="I4" s="116"/>
      <c r="J4" s="117"/>
    </row>
    <row r="5" spans="1:10" x14ac:dyDescent="0.25">
      <c r="A5" s="76"/>
      <c r="B5" s="77" t="s">
        <v>76</v>
      </c>
      <c r="C5" s="77" t="s">
        <v>77</v>
      </c>
      <c r="D5" s="77" t="s">
        <v>78</v>
      </c>
      <c r="E5" s="77" t="s">
        <v>76</v>
      </c>
      <c r="F5" s="77" t="s">
        <v>77</v>
      </c>
      <c r="G5" s="77" t="s">
        <v>78</v>
      </c>
      <c r="H5" s="77" t="s">
        <v>76</v>
      </c>
      <c r="I5" s="77" t="s">
        <v>77</v>
      </c>
      <c r="J5" s="78" t="s">
        <v>78</v>
      </c>
    </row>
    <row r="6" spans="1:10" x14ac:dyDescent="0.25">
      <c r="A6" s="79" t="s">
        <v>79</v>
      </c>
      <c r="B6" s="80" t="s">
        <v>80</v>
      </c>
      <c r="C6" s="80" t="s">
        <v>80</v>
      </c>
      <c r="D6" s="80" t="s">
        <v>80</v>
      </c>
      <c r="E6" s="80" t="s">
        <v>80</v>
      </c>
      <c r="F6" s="80" t="s">
        <v>80</v>
      </c>
      <c r="G6" s="80" t="s">
        <v>80</v>
      </c>
      <c r="H6" s="80" t="s">
        <v>80</v>
      </c>
      <c r="I6" s="80" t="s">
        <v>80</v>
      </c>
      <c r="J6" s="81" t="s">
        <v>80</v>
      </c>
    </row>
    <row r="7" spans="1:10" x14ac:dyDescent="0.25">
      <c r="A7" s="82"/>
      <c r="B7" s="83"/>
      <c r="C7" s="83"/>
      <c r="D7" s="83"/>
      <c r="E7" s="83"/>
      <c r="F7" s="83"/>
      <c r="G7" s="83"/>
      <c r="H7" s="83"/>
      <c r="I7" s="83"/>
      <c r="J7" s="84"/>
    </row>
    <row r="8" spans="1:10" x14ac:dyDescent="0.25">
      <c r="A8" s="85" t="s">
        <v>8</v>
      </c>
      <c r="B8" s="86">
        <f t="shared" ref="B8:B13" si="0">0.57*C8+0.43*D8</f>
        <v>23.13</v>
      </c>
      <c r="C8" s="86">
        <v>27</v>
      </c>
      <c r="D8" s="86">
        <v>18</v>
      </c>
      <c r="E8" s="86">
        <v>23.47</v>
      </c>
      <c r="F8" s="86">
        <v>27</v>
      </c>
      <c r="G8" s="86">
        <v>19</v>
      </c>
      <c r="H8" s="86">
        <v>22.79</v>
      </c>
      <c r="I8" s="86">
        <v>26</v>
      </c>
      <c r="J8" s="87">
        <v>18.5</v>
      </c>
    </row>
    <row r="9" spans="1:10" x14ac:dyDescent="0.25">
      <c r="A9" s="85" t="s">
        <v>81</v>
      </c>
      <c r="B9" s="86">
        <f t="shared" si="0"/>
        <v>23.914999999999999</v>
      </c>
      <c r="C9" s="86">
        <v>28</v>
      </c>
      <c r="D9" s="86">
        <v>18.5</v>
      </c>
      <c r="E9" s="86">
        <v>23.77</v>
      </c>
      <c r="F9" s="86">
        <v>28</v>
      </c>
      <c r="G9" s="86">
        <v>19</v>
      </c>
      <c r="H9" s="86">
        <v>24.25</v>
      </c>
      <c r="I9" s="86">
        <v>27.25</v>
      </c>
      <c r="J9" s="87">
        <v>19.13</v>
      </c>
    </row>
    <row r="10" spans="1:10" x14ac:dyDescent="0.25">
      <c r="A10" s="85" t="s">
        <v>82</v>
      </c>
      <c r="B10" s="86">
        <f t="shared" si="0"/>
        <v>24.419999999999998</v>
      </c>
      <c r="C10" s="86">
        <v>27</v>
      </c>
      <c r="D10" s="86">
        <v>21</v>
      </c>
      <c r="E10" s="86">
        <v>24.35</v>
      </c>
      <c r="F10" s="86">
        <v>27</v>
      </c>
      <c r="G10" s="86">
        <v>21</v>
      </c>
      <c r="H10" s="86">
        <v>24.14</v>
      </c>
      <c r="I10" s="86">
        <v>26.5</v>
      </c>
      <c r="J10" s="87">
        <v>21</v>
      </c>
    </row>
    <row r="11" spans="1:10" x14ac:dyDescent="0.25">
      <c r="A11" s="85" t="s">
        <v>83</v>
      </c>
      <c r="B11" s="86">
        <f t="shared" si="0"/>
        <v>24.99</v>
      </c>
      <c r="C11" s="86">
        <v>28</v>
      </c>
      <c r="D11" s="86">
        <v>21</v>
      </c>
      <c r="E11" s="86">
        <v>24.63</v>
      </c>
      <c r="F11" s="86">
        <v>27.5</v>
      </c>
      <c r="G11" s="86">
        <v>21</v>
      </c>
      <c r="H11" s="86">
        <v>24.43</v>
      </c>
      <c r="I11" s="86">
        <v>27</v>
      </c>
      <c r="J11" s="87">
        <v>21</v>
      </c>
    </row>
    <row r="12" spans="1:10" x14ac:dyDescent="0.25">
      <c r="A12" s="85" t="s">
        <v>84</v>
      </c>
      <c r="B12" s="86">
        <f t="shared" si="0"/>
        <v>29.847499999999997</v>
      </c>
      <c r="C12" s="86">
        <v>32.75</v>
      </c>
      <c r="D12" s="86">
        <v>26</v>
      </c>
      <c r="E12" s="86">
        <v>25.99</v>
      </c>
      <c r="F12" s="86">
        <v>28.75</v>
      </c>
      <c r="G12" s="86">
        <v>22.5</v>
      </c>
      <c r="H12" s="86">
        <v>25.14</v>
      </c>
      <c r="I12" s="86">
        <v>27.5</v>
      </c>
      <c r="J12" s="87">
        <v>22</v>
      </c>
    </row>
    <row r="13" spans="1:10" x14ac:dyDescent="0.25">
      <c r="A13" s="88" t="s">
        <v>85</v>
      </c>
      <c r="B13" s="89">
        <f t="shared" si="0"/>
        <v>26.958999999999996</v>
      </c>
      <c r="C13" s="89">
        <v>30.7</v>
      </c>
      <c r="D13" s="89">
        <v>22</v>
      </c>
      <c r="E13" s="89">
        <v>24.8</v>
      </c>
      <c r="F13" s="89">
        <v>28</v>
      </c>
      <c r="G13" s="89">
        <v>20.75</v>
      </c>
      <c r="H13" s="89">
        <v>24.36</v>
      </c>
      <c r="I13" s="89">
        <v>27.25</v>
      </c>
      <c r="J13" s="90">
        <v>20.5</v>
      </c>
    </row>
  </sheetData>
  <mergeCells count="3">
    <mergeCell ref="B4:D4"/>
    <mergeCell ref="E4:G4"/>
    <mergeCell ref="H4:J4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41"/>
  <sheetViews>
    <sheetView tabSelected="1" zoomScale="75" workbookViewId="0">
      <selection activeCell="I42" sqref="I42"/>
    </sheetView>
  </sheetViews>
  <sheetFormatPr defaultColWidth="9.109375" defaultRowHeight="13.2" x14ac:dyDescent="0.25"/>
  <cols>
    <col min="1" max="1" width="2.44140625" style="3" customWidth="1"/>
    <col min="2" max="2" width="8.44140625" style="2" hidden="1" customWidth="1"/>
    <col min="3" max="3" width="10.88671875" style="3" customWidth="1"/>
    <col min="4" max="4" width="10.33203125" style="3" bestFit="1" customWidth="1"/>
    <col min="5" max="5" width="11.33203125" style="3" bestFit="1" customWidth="1"/>
    <col min="6" max="6" width="10.33203125" style="3" bestFit="1" customWidth="1"/>
    <col min="7" max="7" width="11.33203125" style="3" bestFit="1" customWidth="1"/>
    <col min="8" max="8" width="10.33203125" style="3" bestFit="1" customWidth="1"/>
    <col min="9" max="9" width="11.33203125" style="3" bestFit="1" customWidth="1"/>
    <col min="10" max="10" width="10.33203125" style="3" bestFit="1" customWidth="1"/>
    <col min="11" max="11" width="11.33203125" style="3" bestFit="1" customWidth="1"/>
    <col min="12" max="23" width="10.33203125" style="3" bestFit="1" customWidth="1"/>
    <col min="24" max="24" width="8.6640625" style="3" bestFit="1" customWidth="1"/>
    <col min="25" max="25" width="10.33203125" style="3" bestFit="1" customWidth="1"/>
    <col min="26" max="26" width="8.6640625" style="3" bestFit="1" customWidth="1"/>
    <col min="27" max="27" width="10.33203125" style="3" bestFit="1" customWidth="1"/>
    <col min="28" max="28" width="8.6640625" style="3" bestFit="1" customWidth="1"/>
    <col min="29" max="29" width="10.33203125" style="3" customWidth="1"/>
    <col min="30" max="16384" width="9.109375" style="3"/>
  </cols>
  <sheetData>
    <row r="2" spans="2:29" ht="17.399999999999999" x14ac:dyDescent="0.3">
      <c r="C2" s="48" t="s">
        <v>66</v>
      </c>
    </row>
    <row r="4" spans="2:29" ht="13.8" thickBot="1" x14ac:dyDescent="0.3"/>
    <row r="5" spans="2:29" x14ac:dyDescent="0.25">
      <c r="B5" s="39"/>
      <c r="C5" s="68" t="s">
        <v>71</v>
      </c>
      <c r="D5" s="123" t="s">
        <v>59</v>
      </c>
      <c r="E5" s="121"/>
      <c r="F5" s="120" t="s">
        <v>53</v>
      </c>
      <c r="G5" s="121"/>
      <c r="H5" s="120" t="s">
        <v>54</v>
      </c>
      <c r="I5" s="121"/>
      <c r="J5" s="120" t="s">
        <v>55</v>
      </c>
      <c r="K5" s="121"/>
      <c r="L5" s="120" t="s">
        <v>56</v>
      </c>
      <c r="M5" s="121"/>
      <c r="N5" s="120" t="s">
        <v>57</v>
      </c>
      <c r="O5" s="121"/>
      <c r="P5" s="120" t="s">
        <v>58</v>
      </c>
      <c r="Q5" s="121"/>
      <c r="R5" s="120" t="s">
        <v>59</v>
      </c>
      <c r="S5" s="121"/>
      <c r="T5" s="120" t="s">
        <v>53</v>
      </c>
      <c r="U5" s="121"/>
      <c r="V5" s="120" t="s">
        <v>54</v>
      </c>
      <c r="W5" s="121"/>
      <c r="X5" s="120" t="s">
        <v>55</v>
      </c>
      <c r="Y5" s="121"/>
      <c r="Z5" s="120" t="s">
        <v>56</v>
      </c>
      <c r="AA5" s="121"/>
      <c r="AB5" s="120" t="s">
        <v>57</v>
      </c>
      <c r="AC5" s="121"/>
    </row>
    <row r="6" spans="2:29" ht="13.8" thickBot="1" x14ac:dyDescent="0.3">
      <c r="B6" s="3"/>
      <c r="C6" s="69" t="s">
        <v>70</v>
      </c>
      <c r="D6" s="122">
        <v>37243</v>
      </c>
      <c r="E6" s="119"/>
      <c r="F6" s="118">
        <v>37244</v>
      </c>
      <c r="G6" s="119"/>
      <c r="H6" s="118">
        <v>37245</v>
      </c>
      <c r="I6" s="119"/>
      <c r="J6" s="118">
        <v>37246</v>
      </c>
      <c r="K6" s="119"/>
      <c r="L6" s="118">
        <v>37247</v>
      </c>
      <c r="M6" s="119"/>
      <c r="N6" s="118">
        <v>37248</v>
      </c>
      <c r="O6" s="119"/>
      <c r="P6" s="118">
        <v>37249</v>
      </c>
      <c r="Q6" s="119"/>
      <c r="R6" s="118">
        <v>37250</v>
      </c>
      <c r="S6" s="119"/>
      <c r="T6" s="118">
        <v>37251</v>
      </c>
      <c r="U6" s="119"/>
      <c r="V6" s="118">
        <v>37252</v>
      </c>
      <c r="W6" s="119"/>
      <c r="X6" s="118">
        <v>37253</v>
      </c>
      <c r="Y6" s="119"/>
      <c r="Z6" s="118">
        <v>37254</v>
      </c>
      <c r="AA6" s="119"/>
      <c r="AB6" s="118">
        <v>37255</v>
      </c>
      <c r="AC6" s="119"/>
    </row>
    <row r="7" spans="2:29" s="4" customFormat="1" ht="27" thickBot="1" x14ac:dyDescent="0.3">
      <c r="B7" s="47"/>
      <c r="C7" s="72" t="s">
        <v>72</v>
      </c>
      <c r="D7" s="40" t="s">
        <v>64</v>
      </c>
      <c r="E7" s="41" t="s">
        <v>65</v>
      </c>
      <c r="F7" s="40" t="s">
        <v>64</v>
      </c>
      <c r="G7" s="41" t="s">
        <v>65</v>
      </c>
      <c r="H7" s="40" t="s">
        <v>64</v>
      </c>
      <c r="I7" s="41" t="s">
        <v>65</v>
      </c>
      <c r="J7" s="40" t="s">
        <v>64</v>
      </c>
      <c r="K7" s="41" t="s">
        <v>65</v>
      </c>
      <c r="L7" s="40" t="s">
        <v>64</v>
      </c>
      <c r="M7" s="41" t="s">
        <v>65</v>
      </c>
      <c r="N7" s="40" t="s">
        <v>64</v>
      </c>
      <c r="O7" s="41" t="s">
        <v>65</v>
      </c>
      <c r="P7" s="40" t="s">
        <v>64</v>
      </c>
      <c r="Q7" s="41" t="s">
        <v>65</v>
      </c>
      <c r="R7" s="40" t="s">
        <v>64</v>
      </c>
      <c r="S7" s="41" t="s">
        <v>65</v>
      </c>
      <c r="T7" s="40" t="s">
        <v>64</v>
      </c>
      <c r="U7" s="41" t="s">
        <v>65</v>
      </c>
      <c r="V7" s="40" t="s">
        <v>64</v>
      </c>
      <c r="W7" s="41" t="s">
        <v>65</v>
      </c>
      <c r="X7" s="40" t="s">
        <v>64</v>
      </c>
      <c r="Y7" s="41" t="s">
        <v>65</v>
      </c>
      <c r="Z7" s="40" t="s">
        <v>64</v>
      </c>
      <c r="AA7" s="41" t="s">
        <v>65</v>
      </c>
      <c r="AB7" s="40" t="s">
        <v>64</v>
      </c>
      <c r="AC7" s="41" t="s">
        <v>65</v>
      </c>
    </row>
    <row r="8" spans="2:29" x14ac:dyDescent="0.25">
      <c r="B8" s="2">
        <f>Deals!M5</f>
        <v>124400</v>
      </c>
      <c r="C8" s="3">
        <v>1</v>
      </c>
      <c r="D8" s="42">
        <f>'Deal Cash'!H5</f>
        <v>132000</v>
      </c>
      <c r="E8" s="43">
        <f>'Deal Cash'!I5-D8</f>
        <v>1112000</v>
      </c>
      <c r="F8" s="42">
        <f>'Deal Cash'!J5</f>
        <v>118800</v>
      </c>
      <c r="G8" s="43">
        <f>'Deal Cash'!K5-F8</f>
        <v>1000800</v>
      </c>
      <c r="H8" s="42">
        <f>'Deal Cash'!L5</f>
        <v>105600</v>
      </c>
      <c r="I8" s="43">
        <f>'Deal Cash'!M5-H8</f>
        <v>889600</v>
      </c>
      <c r="J8" s="42">
        <f>'Deal Cash'!N5</f>
        <v>92400</v>
      </c>
      <c r="K8" s="43">
        <f>'Deal Cash'!O5-J8</f>
        <v>778400</v>
      </c>
      <c r="L8" s="42">
        <f>'Deal Cash'!P5</f>
        <v>79200</v>
      </c>
      <c r="M8" s="43">
        <f>'Deal Cash'!Q5-L8</f>
        <v>667200</v>
      </c>
      <c r="N8" s="42">
        <f>'Deal Cash'!R5</f>
        <v>79200</v>
      </c>
      <c r="O8" s="43">
        <f>'Deal Cash'!S5-N8</f>
        <v>667200</v>
      </c>
      <c r="P8" s="42">
        <f>'Deal Cash'!T5</f>
        <v>66000</v>
      </c>
      <c r="Q8" s="43">
        <f>'Deal Cash'!U5-P8</f>
        <v>556000</v>
      </c>
      <c r="R8" s="42">
        <f>'Deal Cash'!V5</f>
        <v>66000</v>
      </c>
      <c r="S8" s="43">
        <f>'Deal Cash'!W5-R8</f>
        <v>556000</v>
      </c>
      <c r="T8" s="42">
        <f>'Deal Cash'!X5</f>
        <v>52800</v>
      </c>
      <c r="U8" s="43">
        <f>'Deal Cash'!Y5-T8</f>
        <v>444800</v>
      </c>
      <c r="V8" s="42">
        <f>'Deal Cash'!Z5</f>
        <v>39600</v>
      </c>
      <c r="W8" s="43">
        <f>'Deal Cash'!AA5-V8</f>
        <v>333600</v>
      </c>
      <c r="X8" s="42">
        <f>'Deal Cash'!AB5</f>
        <v>26400</v>
      </c>
      <c r="Y8" s="43">
        <f>'Deal Cash'!AC5-X8</f>
        <v>222400</v>
      </c>
      <c r="Z8" s="42">
        <f>'Deal Cash'!AD5</f>
        <v>13200</v>
      </c>
      <c r="AA8" s="43">
        <f>'Deal Cash'!AE5-Z8</f>
        <v>111200</v>
      </c>
      <c r="AB8" s="42">
        <f>'Deal Cash'!AF5</f>
        <v>13200</v>
      </c>
      <c r="AC8" s="43">
        <f>'Deal Cash'!AG5-AB8</f>
        <v>111200</v>
      </c>
    </row>
    <row r="9" spans="2:29" x14ac:dyDescent="0.25">
      <c r="B9" s="2">
        <f>Deals!M6</f>
        <v>120000</v>
      </c>
      <c r="C9" s="3">
        <v>2</v>
      </c>
      <c r="D9" s="42">
        <f>SUM('Deal Cash'!H$5:H6)*IF($B9&gt;0,1,0)</f>
        <v>341085</v>
      </c>
      <c r="E9" s="43">
        <f>SUM('Deal Cash'!I$5:I6)*IF($B9&gt;0,1,0)-D9</f>
        <v>2102915</v>
      </c>
      <c r="F9" s="42">
        <f>SUM('Deal Cash'!J$5:J6)*IF($B9&gt;0,1,0)</f>
        <v>306976.5</v>
      </c>
      <c r="G9" s="43">
        <f>SUM('Deal Cash'!K$5:K6)*IF($B9&gt;0,1,0)-F9</f>
        <v>1892623.5</v>
      </c>
      <c r="H9" s="42">
        <f>SUM('Deal Cash'!L$5:L6)*IF($B9&gt;0,1,0)</f>
        <v>272868</v>
      </c>
      <c r="I9" s="43">
        <f>SUM('Deal Cash'!M$5:M6)*IF($B9&gt;0,1,0)-H9</f>
        <v>1682332</v>
      </c>
      <c r="J9" s="42">
        <f>SUM('Deal Cash'!N$5:N6)*IF($B9&gt;0,1,0)</f>
        <v>238759.49999999997</v>
      </c>
      <c r="K9" s="43">
        <f>SUM('Deal Cash'!O$5:O6)*IF($B9&gt;0,1,0)-J9</f>
        <v>1472040.5</v>
      </c>
      <c r="L9" s="42">
        <f>SUM('Deal Cash'!P$5:P6)*IF($B9&gt;0,1,0)</f>
        <v>204651</v>
      </c>
      <c r="M9" s="43">
        <f>SUM('Deal Cash'!Q$5:Q6)*IF($B9&gt;0,1,0)-L9</f>
        <v>1261749</v>
      </c>
      <c r="N9" s="42">
        <f>SUM('Deal Cash'!R$5:R6)*IF($B9&gt;0,1,0)</f>
        <v>204651</v>
      </c>
      <c r="O9" s="43">
        <f>SUM('Deal Cash'!S$5:S6)*IF($B9&gt;0,1,0)-N9</f>
        <v>1261749</v>
      </c>
      <c r="P9" s="42">
        <f>SUM('Deal Cash'!T$5:T6)*IF($B9&gt;0,1,0)</f>
        <v>170542.5</v>
      </c>
      <c r="Q9" s="43">
        <f>SUM('Deal Cash'!U$5:U6)*IF($B9&gt;0,1,0)-P9</f>
        <v>1051457.5</v>
      </c>
      <c r="R9" s="42">
        <f>SUM('Deal Cash'!V$5:V6)*IF($B9&gt;0,1,0)</f>
        <v>170542.5</v>
      </c>
      <c r="S9" s="43">
        <f>SUM('Deal Cash'!W$5:W6)*IF($B9&gt;0,1,0)-R9</f>
        <v>1051457.5</v>
      </c>
      <c r="T9" s="42">
        <f>SUM('Deal Cash'!X$5:X6)*IF($B9&gt;0,1,0)</f>
        <v>136434</v>
      </c>
      <c r="U9" s="43">
        <f>SUM('Deal Cash'!Y$5:Y6)*IF($B9&gt;0,1,0)-T9</f>
        <v>841166</v>
      </c>
      <c r="V9" s="42">
        <f>SUM('Deal Cash'!Z$5:Z6)*IF($B9&gt;0,1,0)</f>
        <v>102325.49999999999</v>
      </c>
      <c r="W9" s="43">
        <f>SUM('Deal Cash'!AA$5:AA6)*IF($B9&gt;0,1,0)-V9</f>
        <v>630874.5</v>
      </c>
      <c r="X9" s="42">
        <f>SUM('Deal Cash'!AB$5:AB6)*IF($B9&gt;0,1,0)</f>
        <v>68217</v>
      </c>
      <c r="Y9" s="43">
        <f>SUM('Deal Cash'!AC$5:AC6)*IF($B9&gt;0,1,0)-X9</f>
        <v>420583</v>
      </c>
      <c r="Z9" s="42">
        <f>SUM('Deal Cash'!AD$5:AD6)*IF($B9&gt;0,1,0)</f>
        <v>34108.5</v>
      </c>
      <c r="AA9" s="43">
        <f>SUM('Deal Cash'!AE$5:AE6)*IF($B9&gt;0,1,0)-Z9</f>
        <v>210291.5</v>
      </c>
      <c r="AB9" s="42">
        <f>SUM('Deal Cash'!AF$5:AF6)*IF($B9&gt;0,1,0)</f>
        <v>34108.5</v>
      </c>
      <c r="AC9" s="43">
        <f>SUM('Deal Cash'!AG$5:AG6)*IF($B9&gt;0,1,0)-AB9</f>
        <v>210291.5</v>
      </c>
    </row>
    <row r="10" spans="2:29" x14ac:dyDescent="0.25">
      <c r="B10" s="2">
        <f>Deals!M7</f>
        <v>31500</v>
      </c>
      <c r="C10" s="3">
        <v>3</v>
      </c>
      <c r="D10" s="42">
        <f>SUM('Deal Cash'!H$5:H7)*IF($B10&gt;0,1,0)</f>
        <v>399628.79999999999</v>
      </c>
      <c r="E10" s="43">
        <f>SUM('Deal Cash'!I$5:I7)*IF($B10&gt;0,1,0)-D10</f>
        <v>2359371.2000000002</v>
      </c>
      <c r="F10" s="42">
        <f>SUM('Deal Cash'!J$5:J7)*IF($B10&gt;0,1,0)</f>
        <v>359665.91999999998</v>
      </c>
      <c r="G10" s="43">
        <f>SUM('Deal Cash'!K$5:K7)*IF($B10&gt;0,1,0)-F10</f>
        <v>2123434.08</v>
      </c>
      <c r="H10" s="42">
        <f>SUM('Deal Cash'!L$5:L7)*IF($B10&gt;0,1,0)</f>
        <v>319703.03999999998</v>
      </c>
      <c r="I10" s="43">
        <f>SUM('Deal Cash'!M$5:M7)*IF($B10&gt;0,1,0)-H10</f>
        <v>1887496.96</v>
      </c>
      <c r="J10" s="42">
        <f>SUM('Deal Cash'!N$5:N7)*IF($B10&gt;0,1,0)</f>
        <v>279740.15999999997</v>
      </c>
      <c r="K10" s="43">
        <f>SUM('Deal Cash'!O$5:O7)*IF($B10&gt;0,1,0)-J10</f>
        <v>1651559.84</v>
      </c>
      <c r="L10" s="42">
        <f>SUM('Deal Cash'!P$5:P7)*IF($B10&gt;0,1,0)</f>
        <v>239777.28</v>
      </c>
      <c r="M10" s="43">
        <f>SUM('Deal Cash'!Q$5:Q7)*IF($B10&gt;0,1,0)-L10</f>
        <v>1415622.72</v>
      </c>
      <c r="N10" s="42">
        <f>SUM('Deal Cash'!R$5:R7)*IF($B10&gt;0,1,0)</f>
        <v>239777.28</v>
      </c>
      <c r="O10" s="43">
        <f>SUM('Deal Cash'!S$5:S7)*IF($B10&gt;0,1,0)-N10</f>
        <v>1415622.72</v>
      </c>
      <c r="P10" s="42">
        <f>SUM('Deal Cash'!T$5:T7)*IF($B10&gt;0,1,0)</f>
        <v>199814.39999999999</v>
      </c>
      <c r="Q10" s="43">
        <f>SUM('Deal Cash'!U$5:U7)*IF($B10&gt;0,1,0)-P10</f>
        <v>1179685.6000000001</v>
      </c>
      <c r="R10" s="42">
        <f>SUM('Deal Cash'!V$5:V7)*IF($B10&gt;0,1,0)</f>
        <v>199814.39999999999</v>
      </c>
      <c r="S10" s="43">
        <f>SUM('Deal Cash'!W$5:W7)*IF($B10&gt;0,1,0)-R10</f>
        <v>1179685.6000000001</v>
      </c>
      <c r="T10" s="42">
        <f>SUM('Deal Cash'!X$5:X7)*IF($B10&gt;0,1,0)</f>
        <v>159851.51999999999</v>
      </c>
      <c r="U10" s="43">
        <f>SUM('Deal Cash'!Y$5:Y7)*IF($B10&gt;0,1,0)-T10</f>
        <v>943748.48</v>
      </c>
      <c r="V10" s="42">
        <f>SUM('Deal Cash'!Z$5:Z7)*IF($B10&gt;0,1,0)</f>
        <v>119888.63999999998</v>
      </c>
      <c r="W10" s="43">
        <f>SUM('Deal Cash'!AA$5:AA7)*IF($B10&gt;0,1,0)-V10</f>
        <v>707811.36</v>
      </c>
      <c r="X10" s="42">
        <f>SUM('Deal Cash'!AB$5:AB7)*IF($B10&gt;0,1,0)</f>
        <v>79925.759999999995</v>
      </c>
      <c r="Y10" s="43">
        <f>SUM('Deal Cash'!AC$5:AC7)*IF($B10&gt;0,1,0)-X10</f>
        <v>471874.24</v>
      </c>
      <c r="Z10" s="42">
        <f>SUM('Deal Cash'!AD$5:AD7)*IF($B10&gt;0,1,0)</f>
        <v>39962.879999999997</v>
      </c>
      <c r="AA10" s="43">
        <f>SUM('Deal Cash'!AE$5:AE7)*IF($B10&gt;0,1,0)-Z10</f>
        <v>235937.12</v>
      </c>
      <c r="AB10" s="42">
        <f>SUM('Deal Cash'!AF$5:AF7)*IF($B10&gt;0,1,0)</f>
        <v>39962.879999999997</v>
      </c>
      <c r="AC10" s="43">
        <f>SUM('Deal Cash'!AG$5:AG7)*IF($B10&gt;0,1,0)-AB10</f>
        <v>235937.12</v>
      </c>
    </row>
    <row r="11" spans="2:29" x14ac:dyDescent="0.25">
      <c r="B11" s="2">
        <f>Deals!M8</f>
        <v>72000</v>
      </c>
      <c r="C11" s="3">
        <v>4</v>
      </c>
      <c r="D11" s="42">
        <f>SUM('Deal Cash'!H$5:H8)*IF($B11&gt;0,1,0)</f>
        <v>527628.80000000005</v>
      </c>
      <c r="E11" s="43">
        <f>SUM('Deal Cash'!I$5:I8)*IF($B11&gt;0,1,0)-D11</f>
        <v>2951371.2</v>
      </c>
      <c r="F11" s="42">
        <f>SUM('Deal Cash'!J$5:J8)*IF($B11&gt;0,1,0)</f>
        <v>474865.91999999998</v>
      </c>
      <c r="G11" s="43">
        <f>SUM('Deal Cash'!K$5:K8)*IF($B11&gt;0,1,0)-F11</f>
        <v>2656234.08</v>
      </c>
      <c r="H11" s="42">
        <f>SUM('Deal Cash'!L$5:L8)*IF($B11&gt;0,1,0)</f>
        <v>422103.03999999998</v>
      </c>
      <c r="I11" s="43">
        <f>SUM('Deal Cash'!M$5:M8)*IF($B11&gt;0,1,0)-H11</f>
        <v>2361096.96</v>
      </c>
      <c r="J11" s="42">
        <f>SUM('Deal Cash'!N$5:N8)*IF($B11&gt;0,1,0)</f>
        <v>369340.15999999997</v>
      </c>
      <c r="K11" s="43">
        <f>SUM('Deal Cash'!O$5:O8)*IF($B11&gt;0,1,0)-J11</f>
        <v>2065959.84</v>
      </c>
      <c r="L11" s="42">
        <f>SUM('Deal Cash'!P$5:P8)*IF($B11&gt;0,1,0)</f>
        <v>316577.28000000003</v>
      </c>
      <c r="M11" s="43">
        <f>SUM('Deal Cash'!Q$5:Q8)*IF($B11&gt;0,1,0)-L11</f>
        <v>1770822.72</v>
      </c>
      <c r="N11" s="42">
        <f>SUM('Deal Cash'!R$5:R8)*IF($B11&gt;0,1,0)</f>
        <v>316577.28000000003</v>
      </c>
      <c r="O11" s="43">
        <f>SUM('Deal Cash'!S$5:S8)*IF($B11&gt;0,1,0)-N11</f>
        <v>1770822.72</v>
      </c>
      <c r="P11" s="42">
        <f>SUM('Deal Cash'!T$5:T8)*IF($B11&gt;0,1,0)</f>
        <v>263814.40000000002</v>
      </c>
      <c r="Q11" s="43">
        <f>SUM('Deal Cash'!U$5:U8)*IF($B11&gt;0,1,0)-P11</f>
        <v>1475685.6</v>
      </c>
      <c r="R11" s="42">
        <f>SUM('Deal Cash'!V$5:V8)*IF($B11&gt;0,1,0)</f>
        <v>263814.40000000002</v>
      </c>
      <c r="S11" s="43">
        <f>SUM('Deal Cash'!W$5:W8)*IF($B11&gt;0,1,0)-R11</f>
        <v>1475685.6</v>
      </c>
      <c r="T11" s="42">
        <f>SUM('Deal Cash'!X$5:X8)*IF($B11&gt;0,1,0)</f>
        <v>211051.51999999999</v>
      </c>
      <c r="U11" s="43">
        <f>SUM('Deal Cash'!Y$5:Y8)*IF($B11&gt;0,1,0)-T11</f>
        <v>1180548.48</v>
      </c>
      <c r="V11" s="42">
        <f>SUM('Deal Cash'!Z$5:Z8)*IF($B11&gt;0,1,0)</f>
        <v>158288.63999999998</v>
      </c>
      <c r="W11" s="43">
        <f>SUM('Deal Cash'!AA$5:AA8)*IF($B11&gt;0,1,0)-V11</f>
        <v>885411.36</v>
      </c>
      <c r="X11" s="42">
        <f>SUM('Deal Cash'!AB$5:AB8)*IF($B11&gt;0,1,0)</f>
        <v>105525.75999999999</v>
      </c>
      <c r="Y11" s="43">
        <f>SUM('Deal Cash'!AC$5:AC8)*IF($B11&gt;0,1,0)-X11</f>
        <v>590274.24</v>
      </c>
      <c r="Z11" s="42">
        <f>SUM('Deal Cash'!AD$5:AD8)*IF($B11&gt;0,1,0)</f>
        <v>52762.879999999997</v>
      </c>
      <c r="AA11" s="43">
        <f>SUM('Deal Cash'!AE$5:AE8)*IF($B11&gt;0,1,0)-Z11</f>
        <v>295137.12</v>
      </c>
      <c r="AB11" s="42">
        <f>SUM('Deal Cash'!AF$5:AF8)*IF($B11&gt;0,1,0)</f>
        <v>52762.879999999997</v>
      </c>
      <c r="AC11" s="43">
        <f>SUM('Deal Cash'!AG$5:AG8)*IF($B11&gt;0,1,0)-AB11</f>
        <v>295137.12</v>
      </c>
    </row>
    <row r="12" spans="2:29" x14ac:dyDescent="0.25">
      <c r="B12" s="2">
        <f>Deals!M9</f>
        <v>233988.00000000003</v>
      </c>
      <c r="C12" s="3">
        <v>5</v>
      </c>
      <c r="D12" s="42">
        <f>SUM('Deal Cash'!H$5:H9)*IF($B12&gt;0,1,0)</f>
        <v>1041028.8</v>
      </c>
      <c r="E12" s="43">
        <f>SUM('Deal Cash'!I$5:I9)*IF($B12&gt;0,1,0)-D12</f>
        <v>4777851.2</v>
      </c>
      <c r="F12" s="42">
        <f>SUM('Deal Cash'!J$5:J9)*IF($B12&gt;0,1,0)</f>
        <v>936925.91999999993</v>
      </c>
      <c r="G12" s="43">
        <f>SUM('Deal Cash'!K$5:K9)*IF($B12&gt;0,1,0)-F12</f>
        <v>4300066.08</v>
      </c>
      <c r="H12" s="42">
        <f>SUM('Deal Cash'!L$5:L9)*IF($B12&gt;0,1,0)</f>
        <v>832823.04</v>
      </c>
      <c r="I12" s="43">
        <f>SUM('Deal Cash'!M$5:M9)*IF($B12&gt;0,1,0)-H12</f>
        <v>3822280.96</v>
      </c>
      <c r="J12" s="42">
        <f>SUM('Deal Cash'!N$5:N9)*IF($B12&gt;0,1,0)</f>
        <v>728720.15999999992</v>
      </c>
      <c r="K12" s="43">
        <f>SUM('Deal Cash'!O$5:O9)*IF($B12&gt;0,1,0)-J12</f>
        <v>3344495.84</v>
      </c>
      <c r="L12" s="42">
        <f>SUM('Deal Cash'!P$5:P9)*IF($B12&gt;0,1,0)</f>
        <v>624617.28</v>
      </c>
      <c r="M12" s="43">
        <f>SUM('Deal Cash'!Q$5:Q9)*IF($B12&gt;0,1,0)-L12</f>
        <v>2866710.7199999997</v>
      </c>
      <c r="N12" s="42">
        <f>SUM('Deal Cash'!R$5:R9)*IF($B12&gt;0,1,0)</f>
        <v>624617.28</v>
      </c>
      <c r="O12" s="43">
        <f>SUM('Deal Cash'!S$5:S9)*IF($B12&gt;0,1,0)-N12</f>
        <v>2866710.7199999997</v>
      </c>
      <c r="P12" s="42">
        <f>SUM('Deal Cash'!T$5:T9)*IF($B12&gt;0,1,0)</f>
        <v>520514.4</v>
      </c>
      <c r="Q12" s="43">
        <f>SUM('Deal Cash'!U$5:U9)*IF($B12&gt;0,1,0)-P12</f>
        <v>2388925.6</v>
      </c>
      <c r="R12" s="42">
        <f>SUM('Deal Cash'!V$5:V9)*IF($B12&gt;0,1,0)</f>
        <v>520514.4</v>
      </c>
      <c r="S12" s="43">
        <f>SUM('Deal Cash'!W$5:W9)*IF($B12&gt;0,1,0)-R12</f>
        <v>2388925.6</v>
      </c>
      <c r="T12" s="42">
        <f>SUM('Deal Cash'!X$5:X9)*IF($B12&gt;0,1,0)</f>
        <v>416411.52</v>
      </c>
      <c r="U12" s="43">
        <f>SUM('Deal Cash'!Y$5:Y9)*IF($B12&gt;0,1,0)-T12</f>
        <v>1911140.48</v>
      </c>
      <c r="V12" s="42">
        <f>SUM('Deal Cash'!Z$5:Z9)*IF($B12&gt;0,1,0)</f>
        <v>312308.64</v>
      </c>
      <c r="W12" s="43">
        <f>SUM('Deal Cash'!AA$5:AA9)*IF($B12&gt;0,1,0)-V12</f>
        <v>1433355.3599999999</v>
      </c>
      <c r="X12" s="42">
        <f>SUM('Deal Cash'!AB$5:AB9)*IF($B12&gt;0,1,0)</f>
        <v>208205.76</v>
      </c>
      <c r="Y12" s="43">
        <f>SUM('Deal Cash'!AC$5:AC9)*IF($B12&gt;0,1,0)-X12</f>
        <v>955570.24</v>
      </c>
      <c r="Z12" s="42">
        <f>SUM('Deal Cash'!AD$5:AD9)*IF($B12&gt;0,1,0)</f>
        <v>104102.88</v>
      </c>
      <c r="AA12" s="43">
        <f>SUM('Deal Cash'!AE$5:AE9)*IF($B12&gt;0,1,0)-Z12</f>
        <v>477785.12</v>
      </c>
      <c r="AB12" s="42">
        <f>SUM('Deal Cash'!AF$5:AF9)*IF($B12&gt;0,1,0)</f>
        <v>104102.88</v>
      </c>
      <c r="AC12" s="43">
        <f>SUM('Deal Cash'!AG$5:AG9)*IF($B12&gt;0,1,0)-AB12</f>
        <v>477785.12</v>
      </c>
    </row>
    <row r="13" spans="2:29" x14ac:dyDescent="0.25">
      <c r="B13" s="2">
        <f>Deals!M10</f>
        <v>62000</v>
      </c>
      <c r="C13" s="3">
        <v>6</v>
      </c>
      <c r="D13" s="42">
        <f>SUM('Deal Cash'!H$5:H10)*IF($B13&gt;0,1,0)</f>
        <v>1169028.8</v>
      </c>
      <c r="E13" s="43">
        <f>SUM('Deal Cash'!I$5:I10)*IF($B13&gt;0,1,0)-D13</f>
        <v>5269851.2</v>
      </c>
      <c r="F13" s="42">
        <f>SUM('Deal Cash'!J$5:J10)*IF($B13&gt;0,1,0)</f>
        <v>1052125.92</v>
      </c>
      <c r="G13" s="43">
        <f>SUM('Deal Cash'!K$5:K10)*IF($B13&gt;0,1,0)-F13</f>
        <v>4742866.08</v>
      </c>
      <c r="H13" s="42">
        <f>SUM('Deal Cash'!L$5:L10)*IF($B13&gt;0,1,0)</f>
        <v>935223.04</v>
      </c>
      <c r="I13" s="43">
        <f>SUM('Deal Cash'!M$5:M10)*IF($B13&gt;0,1,0)-H13</f>
        <v>4215880.96</v>
      </c>
      <c r="J13" s="42">
        <f>SUM('Deal Cash'!N$5:N10)*IF($B13&gt;0,1,0)</f>
        <v>818320.15999999992</v>
      </c>
      <c r="K13" s="43">
        <f>SUM('Deal Cash'!O$5:O10)*IF($B13&gt;0,1,0)-J13</f>
        <v>3688895.84</v>
      </c>
      <c r="L13" s="42">
        <f>SUM('Deal Cash'!P$5:P10)*IF($B13&gt;0,1,0)</f>
        <v>701417.28</v>
      </c>
      <c r="M13" s="43">
        <f>SUM('Deal Cash'!Q$5:Q10)*IF($B13&gt;0,1,0)-L13</f>
        <v>3161910.7199999997</v>
      </c>
      <c r="N13" s="42">
        <f>SUM('Deal Cash'!R$5:R10)*IF($B13&gt;0,1,0)</f>
        <v>701417.28</v>
      </c>
      <c r="O13" s="43">
        <f>SUM('Deal Cash'!S$5:S10)*IF($B13&gt;0,1,0)-N13</f>
        <v>3161910.7199999997</v>
      </c>
      <c r="P13" s="42">
        <f>SUM('Deal Cash'!T$5:T10)*IF($B13&gt;0,1,0)</f>
        <v>584514.4</v>
      </c>
      <c r="Q13" s="43">
        <f>SUM('Deal Cash'!U$5:U10)*IF($B13&gt;0,1,0)-P13</f>
        <v>2634925.6</v>
      </c>
      <c r="R13" s="42">
        <f>SUM('Deal Cash'!V$5:V10)*IF($B13&gt;0,1,0)</f>
        <v>584514.4</v>
      </c>
      <c r="S13" s="43">
        <f>SUM('Deal Cash'!W$5:W10)*IF($B13&gt;0,1,0)-R13</f>
        <v>2634925.6</v>
      </c>
      <c r="T13" s="42">
        <f>SUM('Deal Cash'!X$5:X10)*IF($B13&gt;0,1,0)</f>
        <v>467611.52</v>
      </c>
      <c r="U13" s="43">
        <f>SUM('Deal Cash'!Y$5:Y10)*IF($B13&gt;0,1,0)-T13</f>
        <v>2107940.48</v>
      </c>
      <c r="V13" s="42">
        <f>SUM('Deal Cash'!Z$5:Z10)*IF($B13&gt;0,1,0)</f>
        <v>350708.64</v>
      </c>
      <c r="W13" s="43">
        <f>SUM('Deal Cash'!AA$5:AA10)*IF($B13&gt;0,1,0)-V13</f>
        <v>1580955.3599999999</v>
      </c>
      <c r="X13" s="42">
        <f>SUM('Deal Cash'!AB$5:AB10)*IF($B13&gt;0,1,0)</f>
        <v>233805.76</v>
      </c>
      <c r="Y13" s="43">
        <f>SUM('Deal Cash'!AC$5:AC10)*IF($B13&gt;0,1,0)-X13</f>
        <v>1053970.24</v>
      </c>
      <c r="Z13" s="42">
        <f>SUM('Deal Cash'!AD$5:AD10)*IF($B13&gt;0,1,0)</f>
        <v>116902.88</v>
      </c>
      <c r="AA13" s="43">
        <f>SUM('Deal Cash'!AE$5:AE10)*IF($B13&gt;0,1,0)-Z13</f>
        <v>526985.12</v>
      </c>
      <c r="AB13" s="42">
        <f>SUM('Deal Cash'!AF$5:AF10)*IF($B13&gt;0,1,0)</f>
        <v>116902.88</v>
      </c>
      <c r="AC13" s="43">
        <f>SUM('Deal Cash'!AG$5:AG10)*IF($B13&gt;0,1,0)-AB13</f>
        <v>526985.12</v>
      </c>
    </row>
    <row r="14" spans="2:29" x14ac:dyDescent="0.25">
      <c r="B14" s="2">
        <f>Deals!M11</f>
        <v>48311.999999999993</v>
      </c>
      <c r="C14" s="3">
        <v>7</v>
      </c>
      <c r="D14" s="42">
        <f>SUM('Deal Cash'!H$5:H11)*IF($B14&gt;0,1,0)</f>
        <v>1280628.8</v>
      </c>
      <c r="E14" s="43">
        <f>SUM('Deal Cash'!I$5:I11)*IF($B14&gt;0,1,0)-D14</f>
        <v>5641371.2000000002</v>
      </c>
      <c r="F14" s="42">
        <f>SUM('Deal Cash'!J$5:J11)*IF($B14&gt;0,1,0)</f>
        <v>1152565.92</v>
      </c>
      <c r="G14" s="43">
        <f>SUM('Deal Cash'!K$5:K11)*IF($B14&gt;0,1,0)-F14</f>
        <v>5077234.08</v>
      </c>
      <c r="H14" s="42">
        <f>SUM('Deal Cash'!L$5:L11)*IF($B14&gt;0,1,0)</f>
        <v>1024503.04</v>
      </c>
      <c r="I14" s="43">
        <f>SUM('Deal Cash'!M$5:M11)*IF($B14&gt;0,1,0)-H14</f>
        <v>4513096.96</v>
      </c>
      <c r="J14" s="42">
        <f>SUM('Deal Cash'!N$5:N11)*IF($B14&gt;0,1,0)</f>
        <v>896440.15999999992</v>
      </c>
      <c r="K14" s="43">
        <f>SUM('Deal Cash'!O$5:O11)*IF($B14&gt;0,1,0)-J14</f>
        <v>3948959.84</v>
      </c>
      <c r="L14" s="42">
        <f>SUM('Deal Cash'!P$5:P11)*IF($B14&gt;0,1,0)</f>
        <v>768377.28</v>
      </c>
      <c r="M14" s="43">
        <f>SUM('Deal Cash'!Q$5:Q11)*IF($B14&gt;0,1,0)-L14</f>
        <v>3384822.7199999997</v>
      </c>
      <c r="N14" s="42">
        <f>SUM('Deal Cash'!R$5:R11)*IF($B14&gt;0,1,0)</f>
        <v>768377.28</v>
      </c>
      <c r="O14" s="43">
        <f>SUM('Deal Cash'!S$5:S11)*IF($B14&gt;0,1,0)-N14</f>
        <v>3384822.7199999997</v>
      </c>
      <c r="P14" s="42">
        <f>SUM('Deal Cash'!T$5:T11)*IF($B14&gt;0,1,0)</f>
        <v>640314.4</v>
      </c>
      <c r="Q14" s="43">
        <f>SUM('Deal Cash'!U$5:U11)*IF($B14&gt;0,1,0)-P14</f>
        <v>2820685.6</v>
      </c>
      <c r="R14" s="42">
        <f>SUM('Deal Cash'!V$5:V11)*IF($B14&gt;0,1,0)</f>
        <v>640314.4</v>
      </c>
      <c r="S14" s="43">
        <f>SUM('Deal Cash'!W$5:W11)*IF($B14&gt;0,1,0)-R14</f>
        <v>2820685.6</v>
      </c>
      <c r="T14" s="42">
        <f>SUM('Deal Cash'!X$5:X11)*IF($B14&gt;0,1,0)</f>
        <v>512251.52</v>
      </c>
      <c r="U14" s="43">
        <f>SUM('Deal Cash'!Y$5:Y11)*IF($B14&gt;0,1,0)-T14</f>
        <v>2256548.48</v>
      </c>
      <c r="V14" s="42">
        <f>SUM('Deal Cash'!Z$5:Z11)*IF($B14&gt;0,1,0)</f>
        <v>384188.64</v>
      </c>
      <c r="W14" s="43">
        <f>SUM('Deal Cash'!AA$5:AA11)*IF($B14&gt;0,1,0)-V14</f>
        <v>1692411.3599999999</v>
      </c>
      <c r="X14" s="42">
        <f>SUM('Deal Cash'!AB$5:AB11)*IF($B14&gt;0,1,0)</f>
        <v>256125.76</v>
      </c>
      <c r="Y14" s="43">
        <f>SUM('Deal Cash'!AC$5:AC11)*IF($B14&gt;0,1,0)-X14</f>
        <v>1128274.24</v>
      </c>
      <c r="Z14" s="42">
        <f>SUM('Deal Cash'!AD$5:AD11)*IF($B14&gt;0,1,0)</f>
        <v>128062.88</v>
      </c>
      <c r="AA14" s="43">
        <f>SUM('Deal Cash'!AE$5:AE11)*IF($B14&gt;0,1,0)-Z14</f>
        <v>564137.12</v>
      </c>
      <c r="AB14" s="42">
        <f>SUM('Deal Cash'!AF$5:AF11)*IF($B14&gt;0,1,0)</f>
        <v>128062.88</v>
      </c>
      <c r="AC14" s="43">
        <f>SUM('Deal Cash'!AG$5:AG11)*IF($B14&gt;0,1,0)-AB14</f>
        <v>564137.12</v>
      </c>
    </row>
    <row r="15" spans="2:29" x14ac:dyDescent="0.25">
      <c r="B15" s="2">
        <f>Deals!M12</f>
        <v>242000</v>
      </c>
      <c r="C15" s="3">
        <v>8</v>
      </c>
      <c r="D15" s="42">
        <f>SUM('Deal Cash'!H$5:H12)*IF($B15&gt;0,1,0)</f>
        <v>1920628.8</v>
      </c>
      <c r="E15" s="43">
        <f>SUM('Deal Cash'!I$5:I12)*IF($B15&gt;0,1,0)-D15</f>
        <v>7421371.2000000002</v>
      </c>
      <c r="F15" s="42">
        <f>SUM('Deal Cash'!J$5:J12)*IF($B15&gt;0,1,0)</f>
        <v>1728565.92</v>
      </c>
      <c r="G15" s="43">
        <f>SUM('Deal Cash'!K$5:K12)*IF($B15&gt;0,1,0)-F15</f>
        <v>6679234.0800000001</v>
      </c>
      <c r="H15" s="42">
        <f>SUM('Deal Cash'!L$5:L12)*IF($B15&gt;0,1,0)</f>
        <v>1536503.04</v>
      </c>
      <c r="I15" s="43">
        <f>SUM('Deal Cash'!M$5:M12)*IF($B15&gt;0,1,0)-H15</f>
        <v>5937096.96</v>
      </c>
      <c r="J15" s="42">
        <f>SUM('Deal Cash'!N$5:N12)*IF($B15&gt;0,1,0)</f>
        <v>1344440.16</v>
      </c>
      <c r="K15" s="43">
        <f>SUM('Deal Cash'!O$5:O12)*IF($B15&gt;0,1,0)-J15</f>
        <v>5194959.84</v>
      </c>
      <c r="L15" s="42">
        <f>SUM('Deal Cash'!P$5:P12)*IF($B15&gt;0,1,0)</f>
        <v>1152377.28</v>
      </c>
      <c r="M15" s="43">
        <f>SUM('Deal Cash'!Q$5:Q12)*IF($B15&gt;0,1,0)-L15</f>
        <v>4452822.72</v>
      </c>
      <c r="N15" s="42">
        <f>SUM('Deal Cash'!R$5:R12)*IF($B15&gt;0,1,0)</f>
        <v>1152377.28</v>
      </c>
      <c r="O15" s="43">
        <f>SUM('Deal Cash'!S$5:S12)*IF($B15&gt;0,1,0)-N15</f>
        <v>4452822.72</v>
      </c>
      <c r="P15" s="42">
        <f>SUM('Deal Cash'!T$5:T12)*IF($B15&gt;0,1,0)</f>
        <v>960314.4</v>
      </c>
      <c r="Q15" s="43">
        <f>SUM('Deal Cash'!U$5:U12)*IF($B15&gt;0,1,0)-P15</f>
        <v>3710685.6</v>
      </c>
      <c r="R15" s="42">
        <f>SUM('Deal Cash'!V$5:V12)*IF($B15&gt;0,1,0)</f>
        <v>960314.4</v>
      </c>
      <c r="S15" s="43">
        <f>SUM('Deal Cash'!W$5:W12)*IF($B15&gt;0,1,0)-R15</f>
        <v>3710685.6</v>
      </c>
      <c r="T15" s="42">
        <f>SUM('Deal Cash'!X$5:X12)*IF($B15&gt;0,1,0)</f>
        <v>768251.52</v>
      </c>
      <c r="U15" s="43">
        <f>SUM('Deal Cash'!Y$5:Y12)*IF($B15&gt;0,1,0)-T15</f>
        <v>2968548.48</v>
      </c>
      <c r="V15" s="42">
        <f>SUM('Deal Cash'!Z$5:Z12)*IF($B15&gt;0,1,0)</f>
        <v>576188.64</v>
      </c>
      <c r="W15" s="43">
        <f>SUM('Deal Cash'!AA$5:AA12)*IF($B15&gt;0,1,0)-V15</f>
        <v>2226411.36</v>
      </c>
      <c r="X15" s="42">
        <f>SUM('Deal Cash'!AB$5:AB12)*IF($B15&gt;0,1,0)</f>
        <v>384125.76</v>
      </c>
      <c r="Y15" s="43">
        <f>SUM('Deal Cash'!AC$5:AC12)*IF($B15&gt;0,1,0)-X15</f>
        <v>1484274.24</v>
      </c>
      <c r="Z15" s="42">
        <f>SUM('Deal Cash'!AD$5:AD12)*IF($B15&gt;0,1,0)</f>
        <v>192062.88</v>
      </c>
      <c r="AA15" s="43">
        <f>SUM('Deal Cash'!AE$5:AE12)*IF($B15&gt;0,1,0)-Z15</f>
        <v>742137.12</v>
      </c>
      <c r="AB15" s="42">
        <f>SUM('Deal Cash'!AF$5:AF12)*IF($B15&gt;0,1,0)</f>
        <v>192062.88</v>
      </c>
      <c r="AC15" s="43">
        <f>SUM('Deal Cash'!AG$5:AG12)*IF($B15&gt;0,1,0)-AB15</f>
        <v>742137.12</v>
      </c>
    </row>
    <row r="16" spans="2:29" x14ac:dyDescent="0.25">
      <c r="B16" s="2">
        <f>Deals!M13</f>
        <v>86000</v>
      </c>
      <c r="C16" s="3">
        <v>9</v>
      </c>
      <c r="D16" s="42">
        <f>SUM('Deal Cash'!H$5:H13)*IF($B16&gt;0,1,0)</f>
        <v>2150628.7999999998</v>
      </c>
      <c r="E16" s="43">
        <f>SUM('Deal Cash'!I$5:I13)*IF($B16&gt;0,1,0)-D16</f>
        <v>8051371.2000000002</v>
      </c>
      <c r="F16" s="42">
        <f>SUM('Deal Cash'!J$5:J13)*IF($B16&gt;0,1,0)</f>
        <v>1935565.92</v>
      </c>
      <c r="G16" s="43">
        <f>SUM('Deal Cash'!K$5:K13)*IF($B16&gt;0,1,0)-F16</f>
        <v>7246234.0800000001</v>
      </c>
      <c r="H16" s="42">
        <f>SUM('Deal Cash'!L$5:L13)*IF($B16&gt;0,1,0)</f>
        <v>1720503.04</v>
      </c>
      <c r="I16" s="43">
        <f>SUM('Deal Cash'!M$5:M13)*IF($B16&gt;0,1,0)-H16</f>
        <v>6441096.96</v>
      </c>
      <c r="J16" s="42">
        <f>SUM('Deal Cash'!N$5:N13)*IF($B16&gt;0,1,0)</f>
        <v>1505440.16</v>
      </c>
      <c r="K16" s="43">
        <f>SUM('Deal Cash'!O$5:O13)*IF($B16&gt;0,1,0)-J16</f>
        <v>5635959.8399999999</v>
      </c>
      <c r="L16" s="42">
        <f>SUM('Deal Cash'!P$5:P13)*IF($B16&gt;0,1,0)</f>
        <v>1290377.28</v>
      </c>
      <c r="M16" s="43">
        <f>SUM('Deal Cash'!Q$5:Q13)*IF($B16&gt;0,1,0)-L16</f>
        <v>4830822.72</v>
      </c>
      <c r="N16" s="42">
        <f>SUM('Deal Cash'!R$5:R13)*IF($B16&gt;0,1,0)</f>
        <v>1290377.28</v>
      </c>
      <c r="O16" s="43">
        <f>SUM('Deal Cash'!S$5:S13)*IF($B16&gt;0,1,0)-N16</f>
        <v>4830822.72</v>
      </c>
      <c r="P16" s="42">
        <f>SUM('Deal Cash'!T$5:T13)*IF($B16&gt;0,1,0)</f>
        <v>1075314.3999999999</v>
      </c>
      <c r="Q16" s="43">
        <f>SUM('Deal Cash'!U$5:U13)*IF($B16&gt;0,1,0)-P16</f>
        <v>4025685.6</v>
      </c>
      <c r="R16" s="42">
        <f>SUM('Deal Cash'!V$5:V13)*IF($B16&gt;0,1,0)</f>
        <v>1075314.3999999999</v>
      </c>
      <c r="S16" s="43">
        <f>SUM('Deal Cash'!W$5:W13)*IF($B16&gt;0,1,0)-R16</f>
        <v>4025685.6</v>
      </c>
      <c r="T16" s="42">
        <f>SUM('Deal Cash'!X$5:X13)*IF($B16&gt;0,1,0)</f>
        <v>860251.52</v>
      </c>
      <c r="U16" s="43">
        <f>SUM('Deal Cash'!Y$5:Y13)*IF($B16&gt;0,1,0)-T16</f>
        <v>3220548.48</v>
      </c>
      <c r="V16" s="42">
        <f>SUM('Deal Cash'!Z$5:Z13)*IF($B16&gt;0,1,0)</f>
        <v>645188.64</v>
      </c>
      <c r="W16" s="43">
        <f>SUM('Deal Cash'!AA$5:AA13)*IF($B16&gt;0,1,0)-V16</f>
        <v>2415411.36</v>
      </c>
      <c r="X16" s="42">
        <f>SUM('Deal Cash'!AB$5:AB13)*IF($B16&gt;0,1,0)</f>
        <v>430125.76</v>
      </c>
      <c r="Y16" s="43">
        <f>SUM('Deal Cash'!AC$5:AC13)*IF($B16&gt;0,1,0)-X16</f>
        <v>1610274.24</v>
      </c>
      <c r="Z16" s="42">
        <f>SUM('Deal Cash'!AD$5:AD13)*IF($B16&gt;0,1,0)</f>
        <v>215062.88</v>
      </c>
      <c r="AA16" s="43">
        <f>SUM('Deal Cash'!AE$5:AE13)*IF($B16&gt;0,1,0)-Z16</f>
        <v>805137.12</v>
      </c>
      <c r="AB16" s="42">
        <f>SUM('Deal Cash'!AF$5:AF13)*IF($B16&gt;0,1,0)</f>
        <v>215062.88</v>
      </c>
      <c r="AC16" s="43">
        <f>SUM('Deal Cash'!AG$5:AG13)*IF($B16&gt;0,1,0)-AB16</f>
        <v>805137.12</v>
      </c>
    </row>
    <row r="17" spans="2:29" x14ac:dyDescent="0.25">
      <c r="B17" s="2">
        <f>Deals!M14</f>
        <v>295200</v>
      </c>
      <c r="C17" s="3">
        <v>10</v>
      </c>
      <c r="D17" s="42">
        <f>SUM('Deal Cash'!H$5:H14)*IF($B17&gt;0,1,0)</f>
        <v>3191568.8</v>
      </c>
      <c r="E17" s="43">
        <f>SUM('Deal Cash'!I$5:I14)*IF($B17&gt;0,1,0)-D17</f>
        <v>9962431.1999999993</v>
      </c>
      <c r="F17" s="42">
        <f>SUM('Deal Cash'!J$5:J14)*IF($B17&gt;0,1,0)</f>
        <v>2872411.92</v>
      </c>
      <c r="G17" s="43">
        <f>SUM('Deal Cash'!K$5:K14)*IF($B17&gt;0,1,0)-F17</f>
        <v>8966188.0800000001</v>
      </c>
      <c r="H17" s="42">
        <f>SUM('Deal Cash'!L$5:L14)*IF($B17&gt;0,1,0)</f>
        <v>2553255.04</v>
      </c>
      <c r="I17" s="43">
        <f>SUM('Deal Cash'!M$5:M14)*IF($B17&gt;0,1,0)-H17</f>
        <v>7969944.96</v>
      </c>
      <c r="J17" s="42">
        <f>SUM('Deal Cash'!N$5:N14)*IF($B17&gt;0,1,0)</f>
        <v>2234098.16</v>
      </c>
      <c r="K17" s="43">
        <f>SUM('Deal Cash'!O$5:O14)*IF($B17&gt;0,1,0)-J17</f>
        <v>6973701.8399999999</v>
      </c>
      <c r="L17" s="42">
        <f>SUM('Deal Cash'!P$5:P14)*IF($B17&gt;0,1,0)</f>
        <v>1914941.28</v>
      </c>
      <c r="M17" s="43">
        <f>SUM('Deal Cash'!Q$5:Q14)*IF($B17&gt;0,1,0)-L17</f>
        <v>5977458.7199999997</v>
      </c>
      <c r="N17" s="42">
        <f>SUM('Deal Cash'!R$5:R14)*IF($B17&gt;0,1,0)</f>
        <v>1914941.28</v>
      </c>
      <c r="O17" s="43">
        <f>SUM('Deal Cash'!S$5:S14)*IF($B17&gt;0,1,0)-N17</f>
        <v>5977458.7199999997</v>
      </c>
      <c r="P17" s="42">
        <f>SUM('Deal Cash'!T$5:T14)*IF($B17&gt;0,1,0)</f>
        <v>1595784.4</v>
      </c>
      <c r="Q17" s="43">
        <f>SUM('Deal Cash'!U$5:U14)*IF($B17&gt;0,1,0)-P17</f>
        <v>4981215.5999999996</v>
      </c>
      <c r="R17" s="42">
        <f>SUM('Deal Cash'!V$5:V14)*IF($B17&gt;0,1,0)</f>
        <v>1595784.4</v>
      </c>
      <c r="S17" s="43">
        <f>SUM('Deal Cash'!W$5:W14)*IF($B17&gt;0,1,0)-R17</f>
        <v>4981215.5999999996</v>
      </c>
      <c r="T17" s="42">
        <f>SUM('Deal Cash'!X$5:X14)*IF($B17&gt;0,1,0)</f>
        <v>1276627.52</v>
      </c>
      <c r="U17" s="43">
        <f>SUM('Deal Cash'!Y$5:Y14)*IF($B17&gt;0,1,0)-T17</f>
        <v>3984972.48</v>
      </c>
      <c r="V17" s="42">
        <f>SUM('Deal Cash'!Z$5:Z14)*IF($B17&gt;0,1,0)</f>
        <v>957470.64</v>
      </c>
      <c r="W17" s="43">
        <f>SUM('Deal Cash'!AA$5:AA14)*IF($B17&gt;0,1,0)-V17</f>
        <v>2988729.36</v>
      </c>
      <c r="X17" s="42">
        <f>SUM('Deal Cash'!AB$5:AB14)*IF($B17&gt;0,1,0)</f>
        <v>638313.76</v>
      </c>
      <c r="Y17" s="43">
        <f>SUM('Deal Cash'!AC$5:AC14)*IF($B17&gt;0,1,0)-X17</f>
        <v>1992486.24</v>
      </c>
      <c r="Z17" s="42">
        <f>SUM('Deal Cash'!AD$5:AD14)*IF($B17&gt;0,1,0)</f>
        <v>319156.88</v>
      </c>
      <c r="AA17" s="43">
        <f>SUM('Deal Cash'!AE$5:AE14)*IF($B17&gt;0,1,0)-Z17</f>
        <v>996243.12</v>
      </c>
      <c r="AB17" s="42">
        <f>SUM('Deal Cash'!AF$5:AF14)*IF($B17&gt;0,1,0)</f>
        <v>319156.88</v>
      </c>
      <c r="AC17" s="43">
        <f>SUM('Deal Cash'!AG$5:AG14)*IF($B17&gt;0,1,0)-AB17</f>
        <v>996243.12</v>
      </c>
    </row>
    <row r="18" spans="2:29" x14ac:dyDescent="0.25">
      <c r="B18" s="2">
        <f>Deals!M15</f>
        <v>54000</v>
      </c>
      <c r="C18" s="3">
        <v>11</v>
      </c>
      <c r="D18" s="42">
        <f>SUM('Deal Cash'!H$5:H15)*IF($B18&gt;0,1,0)</f>
        <v>3379568.8</v>
      </c>
      <c r="E18" s="43">
        <f>SUM('Deal Cash'!I$5:I15)*IF($B18&gt;0,1,0)-D18</f>
        <v>10314431.199999999</v>
      </c>
      <c r="F18" s="42">
        <f>SUM('Deal Cash'!J$5:J15)*IF($B18&gt;0,1,0)</f>
        <v>3041611.92</v>
      </c>
      <c r="G18" s="43">
        <f>SUM('Deal Cash'!K$5:K15)*IF($B18&gt;0,1,0)-F18</f>
        <v>9282988.0800000001</v>
      </c>
      <c r="H18" s="42">
        <f>SUM('Deal Cash'!L$5:L15)*IF($B18&gt;0,1,0)</f>
        <v>2703655.04</v>
      </c>
      <c r="I18" s="43">
        <f>SUM('Deal Cash'!M$5:M15)*IF($B18&gt;0,1,0)-H18</f>
        <v>8251544.96</v>
      </c>
      <c r="J18" s="42">
        <f>SUM('Deal Cash'!N$5:N15)*IF($B18&gt;0,1,0)</f>
        <v>2365698.16</v>
      </c>
      <c r="K18" s="43">
        <f>SUM('Deal Cash'!O$5:O15)*IF($B18&gt;0,1,0)-J18</f>
        <v>7220101.8399999999</v>
      </c>
      <c r="L18" s="42">
        <f>SUM('Deal Cash'!P$5:P15)*IF($B18&gt;0,1,0)</f>
        <v>2027741.28</v>
      </c>
      <c r="M18" s="43">
        <f>SUM('Deal Cash'!Q$5:Q15)*IF($B18&gt;0,1,0)-L18</f>
        <v>6188658.7199999997</v>
      </c>
      <c r="N18" s="42">
        <f>SUM('Deal Cash'!R$5:R15)*IF($B18&gt;0,1,0)</f>
        <v>2027741.28</v>
      </c>
      <c r="O18" s="43">
        <f>SUM('Deal Cash'!S$5:S15)*IF($B18&gt;0,1,0)-N18</f>
        <v>6188658.7199999997</v>
      </c>
      <c r="P18" s="42">
        <f>SUM('Deal Cash'!T$5:T15)*IF($B18&gt;0,1,0)</f>
        <v>1689784.4</v>
      </c>
      <c r="Q18" s="43">
        <f>SUM('Deal Cash'!U$5:U15)*IF($B18&gt;0,1,0)-P18</f>
        <v>5157215.5999999996</v>
      </c>
      <c r="R18" s="42">
        <f>SUM('Deal Cash'!V$5:V15)*IF($B18&gt;0,1,0)</f>
        <v>1689784.4</v>
      </c>
      <c r="S18" s="43">
        <f>SUM('Deal Cash'!W$5:W15)*IF($B18&gt;0,1,0)-R18</f>
        <v>5157215.5999999996</v>
      </c>
      <c r="T18" s="42">
        <f>SUM('Deal Cash'!X$5:X15)*IF($B18&gt;0,1,0)</f>
        <v>1351827.52</v>
      </c>
      <c r="U18" s="43">
        <f>SUM('Deal Cash'!Y$5:Y15)*IF($B18&gt;0,1,0)-T18</f>
        <v>4125772.48</v>
      </c>
      <c r="V18" s="42">
        <f>SUM('Deal Cash'!Z$5:Z15)*IF($B18&gt;0,1,0)</f>
        <v>1013870.64</v>
      </c>
      <c r="W18" s="43">
        <f>SUM('Deal Cash'!AA$5:AA15)*IF($B18&gt;0,1,0)-V18</f>
        <v>3094329.36</v>
      </c>
      <c r="X18" s="42">
        <f>SUM('Deal Cash'!AB$5:AB15)*IF($B18&gt;0,1,0)</f>
        <v>675913.76</v>
      </c>
      <c r="Y18" s="43">
        <f>SUM('Deal Cash'!AC$5:AC15)*IF($B18&gt;0,1,0)-X18</f>
        <v>2062886.24</v>
      </c>
      <c r="Z18" s="42">
        <f>SUM('Deal Cash'!AD$5:AD15)*IF($B18&gt;0,1,0)</f>
        <v>337956.88</v>
      </c>
      <c r="AA18" s="43">
        <f>SUM('Deal Cash'!AE$5:AE15)*IF($B18&gt;0,1,0)-Z18</f>
        <v>1031443.12</v>
      </c>
      <c r="AB18" s="42">
        <f>SUM('Deal Cash'!AF$5:AF15)*IF($B18&gt;0,1,0)</f>
        <v>337956.88</v>
      </c>
      <c r="AC18" s="43">
        <f>SUM('Deal Cash'!AG$5:AG15)*IF($B18&gt;0,1,0)-AB18</f>
        <v>1031443.12</v>
      </c>
    </row>
    <row r="19" spans="2:29" x14ac:dyDescent="0.25">
      <c r="B19" s="2">
        <f>Deals!M16</f>
        <v>10240</v>
      </c>
      <c r="C19" s="3">
        <v>12</v>
      </c>
      <c r="D19" s="42">
        <f>SUM('Deal Cash'!H$5:H16)*IF($B19&gt;0,1,0)</f>
        <v>3430768.8</v>
      </c>
      <c r="E19" s="43">
        <f>SUM('Deal Cash'!I$5:I16)*IF($B19&gt;0,1,0)-D19</f>
        <v>10365631.199999999</v>
      </c>
      <c r="F19" s="42">
        <f>SUM('Deal Cash'!J$5:J16)*IF($B19&gt;0,1,0)</f>
        <v>3087691.92</v>
      </c>
      <c r="G19" s="43">
        <f>SUM('Deal Cash'!K$5:K16)*IF($B19&gt;0,1,0)-F19</f>
        <v>9329068.0800000001</v>
      </c>
      <c r="H19" s="42">
        <f>SUM('Deal Cash'!L$5:L16)*IF($B19&gt;0,1,0)</f>
        <v>2744615.04</v>
      </c>
      <c r="I19" s="43">
        <f>SUM('Deal Cash'!M$5:M16)*IF($B19&gt;0,1,0)-H19</f>
        <v>8292504.96</v>
      </c>
      <c r="J19" s="42">
        <f>SUM('Deal Cash'!N$5:N16)*IF($B19&gt;0,1,0)</f>
        <v>2401538.16</v>
      </c>
      <c r="K19" s="43">
        <f>SUM('Deal Cash'!O$5:O16)*IF($B19&gt;0,1,0)-J19</f>
        <v>7255941.8399999999</v>
      </c>
      <c r="L19" s="42">
        <f>SUM('Deal Cash'!P$5:P16)*IF($B19&gt;0,1,0)</f>
        <v>2058461.28</v>
      </c>
      <c r="M19" s="43">
        <f>SUM('Deal Cash'!Q$5:Q16)*IF($B19&gt;0,1,0)-L19</f>
        <v>6219378.7199999997</v>
      </c>
      <c r="N19" s="42">
        <f>SUM('Deal Cash'!R$5:R16)*IF($B19&gt;0,1,0)</f>
        <v>2058461.28</v>
      </c>
      <c r="O19" s="43">
        <f>SUM('Deal Cash'!S$5:S16)*IF($B19&gt;0,1,0)-N19</f>
        <v>6219378.7199999997</v>
      </c>
      <c r="P19" s="42">
        <f>SUM('Deal Cash'!T$5:T16)*IF($B19&gt;0,1,0)</f>
        <v>1715384.4</v>
      </c>
      <c r="Q19" s="43">
        <f>SUM('Deal Cash'!U$5:U16)*IF($B19&gt;0,1,0)-P19</f>
        <v>5182815.5999999996</v>
      </c>
      <c r="R19" s="42">
        <f>SUM('Deal Cash'!V$5:V16)*IF($B19&gt;0,1,0)</f>
        <v>1715384.4</v>
      </c>
      <c r="S19" s="43">
        <f>SUM('Deal Cash'!W$5:W16)*IF($B19&gt;0,1,0)-R19</f>
        <v>5182815.5999999996</v>
      </c>
      <c r="T19" s="42">
        <f>SUM('Deal Cash'!X$5:X16)*IF($B19&gt;0,1,0)</f>
        <v>1372307.52</v>
      </c>
      <c r="U19" s="43">
        <f>SUM('Deal Cash'!Y$5:Y16)*IF($B19&gt;0,1,0)-T19</f>
        <v>4146252.48</v>
      </c>
      <c r="V19" s="42">
        <f>SUM('Deal Cash'!Z$5:Z16)*IF($B19&gt;0,1,0)</f>
        <v>1029230.64</v>
      </c>
      <c r="W19" s="43">
        <f>SUM('Deal Cash'!AA$5:AA16)*IF($B19&gt;0,1,0)-V19</f>
        <v>3109689.36</v>
      </c>
      <c r="X19" s="42">
        <f>SUM('Deal Cash'!AB$5:AB16)*IF($B19&gt;0,1,0)</f>
        <v>686153.76</v>
      </c>
      <c r="Y19" s="43">
        <f>SUM('Deal Cash'!AC$5:AC16)*IF($B19&gt;0,1,0)-X19</f>
        <v>2073126.24</v>
      </c>
      <c r="Z19" s="42">
        <f>SUM('Deal Cash'!AD$5:AD16)*IF($B19&gt;0,1,0)</f>
        <v>343076.88</v>
      </c>
      <c r="AA19" s="43">
        <f>SUM('Deal Cash'!AE$5:AE16)*IF($B19&gt;0,1,0)-Z19</f>
        <v>1036563.12</v>
      </c>
      <c r="AB19" s="42">
        <f>SUM('Deal Cash'!AF$5:AF16)*IF($B19&gt;0,1,0)</f>
        <v>343076.88</v>
      </c>
      <c r="AC19" s="43">
        <f>SUM('Deal Cash'!AG$5:AG16)*IF($B19&gt;0,1,0)-AB19</f>
        <v>1036563.12</v>
      </c>
    </row>
    <row r="20" spans="2:29" x14ac:dyDescent="0.25">
      <c r="B20" s="2">
        <f>Deals!M17</f>
        <v>46400</v>
      </c>
      <c r="C20" s="3">
        <v>13</v>
      </c>
      <c r="D20" s="42">
        <f>SUM('Deal Cash'!H$5:H17)*IF($B20&gt;0,1,0)</f>
        <v>3686768.8</v>
      </c>
      <c r="E20" s="43">
        <f>SUM('Deal Cash'!I$5:I17)*IF($B20&gt;0,1,0)-D20</f>
        <v>10573631.199999999</v>
      </c>
      <c r="F20" s="42">
        <f>SUM('Deal Cash'!J$5:J17)*IF($B20&gt;0,1,0)</f>
        <v>3318091.92</v>
      </c>
      <c r="G20" s="43">
        <f>SUM('Deal Cash'!K$5:K17)*IF($B20&gt;0,1,0)-F20</f>
        <v>9516268.0800000001</v>
      </c>
      <c r="H20" s="42">
        <f>SUM('Deal Cash'!L$5:L17)*IF($B20&gt;0,1,0)</f>
        <v>2949415.04</v>
      </c>
      <c r="I20" s="43">
        <f>SUM('Deal Cash'!M$5:M17)*IF($B20&gt;0,1,0)-H20</f>
        <v>8458904.9600000009</v>
      </c>
      <c r="J20" s="42">
        <f>SUM('Deal Cash'!N$5:N17)*IF($B20&gt;0,1,0)</f>
        <v>2580738.16</v>
      </c>
      <c r="K20" s="43">
        <f>SUM('Deal Cash'!O$5:O17)*IF($B20&gt;0,1,0)-J20</f>
        <v>7401541.8399999999</v>
      </c>
      <c r="L20" s="42">
        <f>SUM('Deal Cash'!P$5:P17)*IF($B20&gt;0,1,0)</f>
        <v>2212061.2800000003</v>
      </c>
      <c r="M20" s="43">
        <f>SUM('Deal Cash'!Q$5:Q17)*IF($B20&gt;0,1,0)-L20</f>
        <v>6344178.7199999997</v>
      </c>
      <c r="N20" s="42">
        <f>SUM('Deal Cash'!R$5:R17)*IF($B20&gt;0,1,0)</f>
        <v>2212061.2800000003</v>
      </c>
      <c r="O20" s="43">
        <f>SUM('Deal Cash'!S$5:S17)*IF($B20&gt;0,1,0)-N20</f>
        <v>6344178.7199999997</v>
      </c>
      <c r="P20" s="42">
        <f>SUM('Deal Cash'!T$5:T17)*IF($B20&gt;0,1,0)</f>
        <v>1843384.4</v>
      </c>
      <c r="Q20" s="43">
        <f>SUM('Deal Cash'!U$5:U17)*IF($B20&gt;0,1,0)-P20</f>
        <v>5286815.5999999996</v>
      </c>
      <c r="R20" s="42">
        <f>SUM('Deal Cash'!V$5:V17)*IF($B20&gt;0,1,0)</f>
        <v>1843384.4</v>
      </c>
      <c r="S20" s="43">
        <f>SUM('Deal Cash'!W$5:W17)*IF($B20&gt;0,1,0)-R20</f>
        <v>5286815.5999999996</v>
      </c>
      <c r="T20" s="42">
        <f>SUM('Deal Cash'!X$5:X17)*IF($B20&gt;0,1,0)</f>
        <v>1474707.52</v>
      </c>
      <c r="U20" s="43">
        <f>SUM('Deal Cash'!Y$5:Y17)*IF($B20&gt;0,1,0)-T20</f>
        <v>4229452.4800000004</v>
      </c>
      <c r="V20" s="42">
        <f>SUM('Deal Cash'!Z$5:Z17)*IF($B20&gt;0,1,0)</f>
        <v>1106030.6400000001</v>
      </c>
      <c r="W20" s="43">
        <f>SUM('Deal Cash'!AA$5:AA17)*IF($B20&gt;0,1,0)-V20</f>
        <v>3172089.36</v>
      </c>
      <c r="X20" s="42">
        <f>SUM('Deal Cash'!AB$5:AB17)*IF($B20&gt;0,1,0)</f>
        <v>737353.76</v>
      </c>
      <c r="Y20" s="43">
        <f>SUM('Deal Cash'!AC$5:AC17)*IF($B20&gt;0,1,0)-X20</f>
        <v>2114726.2400000002</v>
      </c>
      <c r="Z20" s="42">
        <f>SUM('Deal Cash'!AD$5:AD17)*IF($B20&gt;0,1,0)</f>
        <v>368676.88</v>
      </c>
      <c r="AA20" s="43">
        <f>SUM('Deal Cash'!AE$5:AE17)*IF($B20&gt;0,1,0)-Z20</f>
        <v>1057363.1200000001</v>
      </c>
      <c r="AB20" s="42">
        <f>SUM('Deal Cash'!AF$5:AF17)*IF($B20&gt;0,1,0)</f>
        <v>368676.88</v>
      </c>
      <c r="AC20" s="43">
        <f>SUM('Deal Cash'!AG$5:AG17)*IF($B20&gt;0,1,0)-AB20</f>
        <v>1057363.1200000001</v>
      </c>
    </row>
    <row r="21" spans="2:29" x14ac:dyDescent="0.25">
      <c r="B21" s="2">
        <f>Deals!M18</f>
        <v>8600</v>
      </c>
      <c r="C21" s="3">
        <v>14</v>
      </c>
      <c r="D21" s="42">
        <f>SUM('Deal Cash'!H$5:H18)*IF($B21&gt;0,1,0)</f>
        <v>3738768.8</v>
      </c>
      <c r="E21" s="43">
        <f>SUM('Deal Cash'!I$5:I18)*IF($B21&gt;0,1,0)-D21</f>
        <v>10607631.199999999</v>
      </c>
      <c r="F21" s="42">
        <f>SUM('Deal Cash'!J$5:J18)*IF($B21&gt;0,1,0)</f>
        <v>3364891.92</v>
      </c>
      <c r="G21" s="43">
        <f>SUM('Deal Cash'!K$5:K18)*IF($B21&gt;0,1,0)-F21</f>
        <v>9546868.0800000001</v>
      </c>
      <c r="H21" s="42">
        <f>SUM('Deal Cash'!L$5:L18)*IF($B21&gt;0,1,0)</f>
        <v>2991015.04</v>
      </c>
      <c r="I21" s="43">
        <f>SUM('Deal Cash'!M$5:M18)*IF($B21&gt;0,1,0)-H21</f>
        <v>8486104.9600000009</v>
      </c>
      <c r="J21" s="42">
        <f>SUM('Deal Cash'!N$5:N18)*IF($B21&gt;0,1,0)</f>
        <v>2617138.16</v>
      </c>
      <c r="K21" s="43">
        <f>SUM('Deal Cash'!O$5:O18)*IF($B21&gt;0,1,0)-J21</f>
        <v>7425341.8399999999</v>
      </c>
      <c r="L21" s="42">
        <f>SUM('Deal Cash'!P$5:P18)*IF($B21&gt;0,1,0)</f>
        <v>2243261.2800000003</v>
      </c>
      <c r="M21" s="43">
        <f>SUM('Deal Cash'!Q$5:Q18)*IF($B21&gt;0,1,0)-L21</f>
        <v>6364578.7199999997</v>
      </c>
      <c r="N21" s="42">
        <f>SUM('Deal Cash'!R$5:R18)*IF($B21&gt;0,1,0)</f>
        <v>2243261.2800000003</v>
      </c>
      <c r="O21" s="43">
        <f>SUM('Deal Cash'!S$5:S18)*IF($B21&gt;0,1,0)-N21</f>
        <v>6364578.7199999997</v>
      </c>
      <c r="P21" s="42">
        <f>SUM('Deal Cash'!T$5:T18)*IF($B21&gt;0,1,0)</f>
        <v>1869384.4</v>
      </c>
      <c r="Q21" s="43">
        <f>SUM('Deal Cash'!U$5:U18)*IF($B21&gt;0,1,0)-P21</f>
        <v>5303815.5999999996</v>
      </c>
      <c r="R21" s="42">
        <f>SUM('Deal Cash'!V$5:V18)*IF($B21&gt;0,1,0)</f>
        <v>1869384.4</v>
      </c>
      <c r="S21" s="43">
        <f>SUM('Deal Cash'!W$5:W18)*IF($B21&gt;0,1,0)-R21</f>
        <v>5303815.5999999996</v>
      </c>
      <c r="T21" s="42">
        <f>SUM('Deal Cash'!X$5:X18)*IF($B21&gt;0,1,0)</f>
        <v>1495507.52</v>
      </c>
      <c r="U21" s="43">
        <f>SUM('Deal Cash'!Y$5:Y18)*IF($B21&gt;0,1,0)-T21</f>
        <v>4243052.4800000004</v>
      </c>
      <c r="V21" s="42">
        <f>SUM('Deal Cash'!Z$5:Z18)*IF($B21&gt;0,1,0)</f>
        <v>1121630.6400000001</v>
      </c>
      <c r="W21" s="43">
        <f>SUM('Deal Cash'!AA$5:AA18)*IF($B21&gt;0,1,0)-V21</f>
        <v>3182289.36</v>
      </c>
      <c r="X21" s="42">
        <f>SUM('Deal Cash'!AB$5:AB18)*IF($B21&gt;0,1,0)</f>
        <v>747753.76</v>
      </c>
      <c r="Y21" s="43">
        <f>SUM('Deal Cash'!AC$5:AC18)*IF($B21&gt;0,1,0)-X21</f>
        <v>2121526.2400000002</v>
      </c>
      <c r="Z21" s="42">
        <f>SUM('Deal Cash'!AD$5:AD18)*IF($B21&gt;0,1,0)</f>
        <v>373876.88</v>
      </c>
      <c r="AA21" s="43">
        <f>SUM('Deal Cash'!AE$5:AE18)*IF($B21&gt;0,1,0)-Z21</f>
        <v>1060763.1200000001</v>
      </c>
      <c r="AB21" s="42">
        <f>SUM('Deal Cash'!AF$5:AF18)*IF($B21&gt;0,1,0)</f>
        <v>373876.88</v>
      </c>
      <c r="AC21" s="43">
        <f>SUM('Deal Cash'!AG$5:AG18)*IF($B21&gt;0,1,0)-AB21</f>
        <v>1060763.1200000001</v>
      </c>
    </row>
    <row r="22" spans="2:29" x14ac:dyDescent="0.25">
      <c r="B22" s="2">
        <f>Deals!M19</f>
        <v>8600</v>
      </c>
      <c r="C22" s="3">
        <v>15</v>
      </c>
      <c r="D22" s="42">
        <f>SUM('Deal Cash'!H$5:H19)*IF($B22&gt;0,1,0)</f>
        <v>3790768.8</v>
      </c>
      <c r="E22" s="43">
        <f>SUM('Deal Cash'!I$5:I19)*IF($B22&gt;0,1,0)-D22</f>
        <v>10641631.199999999</v>
      </c>
      <c r="F22" s="42">
        <f>SUM('Deal Cash'!J$5:J19)*IF($B22&gt;0,1,0)</f>
        <v>3411691.92</v>
      </c>
      <c r="G22" s="43">
        <f>SUM('Deal Cash'!K$5:K19)*IF($B22&gt;0,1,0)-F22</f>
        <v>9577468.0800000001</v>
      </c>
      <c r="H22" s="42">
        <f>SUM('Deal Cash'!L$5:L19)*IF($B22&gt;0,1,0)</f>
        <v>3032615.04</v>
      </c>
      <c r="I22" s="43">
        <f>SUM('Deal Cash'!M$5:M19)*IF($B22&gt;0,1,0)-H22</f>
        <v>8513304.9600000009</v>
      </c>
      <c r="J22" s="42">
        <f>SUM('Deal Cash'!N$5:N19)*IF($B22&gt;0,1,0)</f>
        <v>2653538.16</v>
      </c>
      <c r="K22" s="43">
        <f>SUM('Deal Cash'!O$5:O19)*IF($B22&gt;0,1,0)-J22</f>
        <v>7449141.8399999999</v>
      </c>
      <c r="L22" s="42">
        <f>SUM('Deal Cash'!P$5:P19)*IF($B22&gt;0,1,0)</f>
        <v>2274461.2800000003</v>
      </c>
      <c r="M22" s="43">
        <f>SUM('Deal Cash'!Q$5:Q19)*IF($B22&gt;0,1,0)-L22</f>
        <v>6384978.7199999997</v>
      </c>
      <c r="N22" s="42">
        <f>SUM('Deal Cash'!R$5:R19)*IF($B22&gt;0,1,0)</f>
        <v>2274461.2800000003</v>
      </c>
      <c r="O22" s="43">
        <f>SUM('Deal Cash'!S$5:S19)*IF($B22&gt;0,1,0)-N22</f>
        <v>6384978.7199999997</v>
      </c>
      <c r="P22" s="42">
        <f>SUM('Deal Cash'!T$5:T19)*IF($B22&gt;0,1,0)</f>
        <v>1895384.4</v>
      </c>
      <c r="Q22" s="43">
        <f>SUM('Deal Cash'!U$5:U19)*IF($B22&gt;0,1,0)-P22</f>
        <v>5320815.5999999996</v>
      </c>
      <c r="R22" s="42">
        <f>SUM('Deal Cash'!V$5:V19)*IF($B22&gt;0,1,0)</f>
        <v>1895384.4</v>
      </c>
      <c r="S22" s="43">
        <f>SUM('Deal Cash'!W$5:W19)*IF($B22&gt;0,1,0)-R22</f>
        <v>5320815.5999999996</v>
      </c>
      <c r="T22" s="42">
        <f>SUM('Deal Cash'!X$5:X19)*IF($B22&gt;0,1,0)</f>
        <v>1516307.52</v>
      </c>
      <c r="U22" s="43">
        <f>SUM('Deal Cash'!Y$5:Y19)*IF($B22&gt;0,1,0)-T22</f>
        <v>4256652.4800000004</v>
      </c>
      <c r="V22" s="42">
        <f>SUM('Deal Cash'!Z$5:Z19)*IF($B22&gt;0,1,0)</f>
        <v>1137230.6400000001</v>
      </c>
      <c r="W22" s="43">
        <f>SUM('Deal Cash'!AA$5:AA19)*IF($B22&gt;0,1,0)-V22</f>
        <v>3192489.36</v>
      </c>
      <c r="X22" s="42">
        <f>SUM('Deal Cash'!AB$5:AB19)*IF($B22&gt;0,1,0)</f>
        <v>758153.76</v>
      </c>
      <c r="Y22" s="43">
        <f>SUM('Deal Cash'!AC$5:AC19)*IF($B22&gt;0,1,0)-X22</f>
        <v>2128326.2400000002</v>
      </c>
      <c r="Z22" s="42">
        <f>SUM('Deal Cash'!AD$5:AD19)*IF($B22&gt;0,1,0)</f>
        <v>379076.88</v>
      </c>
      <c r="AA22" s="43">
        <f>SUM('Deal Cash'!AE$5:AE19)*IF($B22&gt;0,1,0)-Z22</f>
        <v>1064163.1200000001</v>
      </c>
      <c r="AB22" s="42">
        <f>SUM('Deal Cash'!AF$5:AF19)*IF($B22&gt;0,1,0)</f>
        <v>379076.88</v>
      </c>
      <c r="AC22" s="43">
        <f>SUM('Deal Cash'!AG$5:AG19)*IF($B22&gt;0,1,0)-AB22</f>
        <v>1064163.1200000001</v>
      </c>
    </row>
    <row r="23" spans="2:29" x14ac:dyDescent="0.25">
      <c r="B23" s="2">
        <f>Deals!M20</f>
        <v>8550</v>
      </c>
      <c r="C23" s="3">
        <v>16</v>
      </c>
      <c r="D23" s="42">
        <f>SUM('Deal Cash'!H$5:H20)*IF($B23&gt;0,1,0)</f>
        <v>3842768.8</v>
      </c>
      <c r="E23" s="43">
        <f>SUM('Deal Cash'!I$5:I20)*IF($B23&gt;0,1,0)-D23</f>
        <v>10675131.199999999</v>
      </c>
      <c r="F23" s="42">
        <f>SUM('Deal Cash'!J$5:J20)*IF($B23&gt;0,1,0)</f>
        <v>3458491.92</v>
      </c>
      <c r="G23" s="43">
        <f>SUM('Deal Cash'!K$5:K20)*IF($B23&gt;0,1,0)-F23</f>
        <v>9607618.0800000001</v>
      </c>
      <c r="H23" s="42">
        <f>SUM('Deal Cash'!L$5:L20)*IF($B23&gt;0,1,0)</f>
        <v>3074215.04</v>
      </c>
      <c r="I23" s="43">
        <f>SUM('Deal Cash'!M$5:M20)*IF($B23&gt;0,1,0)-H23</f>
        <v>8540104.9600000009</v>
      </c>
      <c r="J23" s="42">
        <f>SUM('Deal Cash'!N$5:N20)*IF($B23&gt;0,1,0)</f>
        <v>2689938.16</v>
      </c>
      <c r="K23" s="43">
        <f>SUM('Deal Cash'!O$5:O20)*IF($B23&gt;0,1,0)-J23</f>
        <v>7472591.8399999999</v>
      </c>
      <c r="L23" s="42">
        <f>SUM('Deal Cash'!P$5:P20)*IF($B23&gt;0,1,0)</f>
        <v>2305661.2800000003</v>
      </c>
      <c r="M23" s="43">
        <f>SUM('Deal Cash'!Q$5:Q20)*IF($B23&gt;0,1,0)-L23</f>
        <v>6405078.7199999997</v>
      </c>
      <c r="N23" s="42">
        <f>SUM('Deal Cash'!R$5:R20)*IF($B23&gt;0,1,0)</f>
        <v>2305661.2800000003</v>
      </c>
      <c r="O23" s="43">
        <f>SUM('Deal Cash'!S$5:S20)*IF($B23&gt;0,1,0)-N23</f>
        <v>6405078.7199999997</v>
      </c>
      <c r="P23" s="42">
        <f>SUM('Deal Cash'!T$5:T20)*IF($B23&gt;0,1,0)</f>
        <v>1921384.4</v>
      </c>
      <c r="Q23" s="43">
        <f>SUM('Deal Cash'!U$5:U20)*IF($B23&gt;0,1,0)-P23</f>
        <v>5337565.5999999996</v>
      </c>
      <c r="R23" s="42">
        <f>SUM('Deal Cash'!V$5:V20)*IF($B23&gt;0,1,0)</f>
        <v>1921384.4</v>
      </c>
      <c r="S23" s="43">
        <f>SUM('Deal Cash'!W$5:W20)*IF($B23&gt;0,1,0)-R23</f>
        <v>5337565.5999999996</v>
      </c>
      <c r="T23" s="42">
        <f>SUM('Deal Cash'!X$5:X20)*IF($B23&gt;0,1,0)</f>
        <v>1537107.52</v>
      </c>
      <c r="U23" s="43">
        <f>SUM('Deal Cash'!Y$5:Y20)*IF($B23&gt;0,1,0)-T23</f>
        <v>4270052.4800000004</v>
      </c>
      <c r="V23" s="42">
        <f>SUM('Deal Cash'!Z$5:Z20)*IF($B23&gt;0,1,0)</f>
        <v>1152830.6400000001</v>
      </c>
      <c r="W23" s="43">
        <f>SUM('Deal Cash'!AA$5:AA20)*IF($B23&gt;0,1,0)-V23</f>
        <v>3202539.36</v>
      </c>
      <c r="X23" s="42">
        <f>SUM('Deal Cash'!AB$5:AB20)*IF($B23&gt;0,1,0)</f>
        <v>768553.76</v>
      </c>
      <c r="Y23" s="43">
        <f>SUM('Deal Cash'!AC$5:AC20)*IF($B23&gt;0,1,0)-X23</f>
        <v>2135026.2400000002</v>
      </c>
      <c r="Z23" s="42">
        <f>SUM('Deal Cash'!AD$5:AD20)*IF($B23&gt;0,1,0)</f>
        <v>384276.88</v>
      </c>
      <c r="AA23" s="43">
        <f>SUM('Deal Cash'!AE$5:AE20)*IF($B23&gt;0,1,0)-Z23</f>
        <v>1067513.1200000001</v>
      </c>
      <c r="AB23" s="42">
        <f>SUM('Deal Cash'!AF$5:AF20)*IF($B23&gt;0,1,0)</f>
        <v>384276.88</v>
      </c>
      <c r="AC23" s="43">
        <f>SUM('Deal Cash'!AG$5:AG20)*IF($B23&gt;0,1,0)-AB23</f>
        <v>1067513.1200000001</v>
      </c>
    </row>
    <row r="24" spans="2:29" x14ac:dyDescent="0.25">
      <c r="B24" s="2">
        <f>Deals!M21</f>
        <v>6364.8</v>
      </c>
      <c r="C24" s="3">
        <v>17</v>
      </c>
      <c r="D24" s="42">
        <f>SUM('Deal Cash'!H$5:H21)*IF($B24&gt;0,1,0)</f>
        <v>3885133.5999999996</v>
      </c>
      <c r="E24" s="43">
        <f>SUM('Deal Cash'!I$5:I21)*IF($B24&gt;0,1,0)-D24</f>
        <v>10696414.4</v>
      </c>
      <c r="F24" s="42">
        <f>SUM('Deal Cash'!J$5:J21)*IF($B24&gt;0,1,0)</f>
        <v>3496620.2399999998</v>
      </c>
      <c r="G24" s="43">
        <f>SUM('Deal Cash'!K$5:K21)*IF($B24&gt;0,1,0)-F24</f>
        <v>9626772.959999999</v>
      </c>
      <c r="H24" s="42">
        <f>SUM('Deal Cash'!L$5:L21)*IF($B24&gt;0,1,0)</f>
        <v>3108106.88</v>
      </c>
      <c r="I24" s="43">
        <f>SUM('Deal Cash'!M$5:M21)*IF($B24&gt;0,1,0)-H24</f>
        <v>8557131.5199999996</v>
      </c>
      <c r="J24" s="42">
        <f>SUM('Deal Cash'!N$5:N21)*IF($B24&gt;0,1,0)</f>
        <v>2719593.52</v>
      </c>
      <c r="K24" s="43">
        <f>SUM('Deal Cash'!O$5:O21)*IF($B24&gt;0,1,0)-J24</f>
        <v>7487490.0800000001</v>
      </c>
      <c r="L24" s="42">
        <f>SUM('Deal Cash'!P$5:P21)*IF($B24&gt;0,1,0)</f>
        <v>2331080.16</v>
      </c>
      <c r="M24" s="43">
        <f>SUM('Deal Cash'!Q$5:Q21)*IF($B24&gt;0,1,0)-L24</f>
        <v>6417848.6400000006</v>
      </c>
      <c r="N24" s="42">
        <f>SUM('Deal Cash'!R$5:R21)*IF($B24&gt;0,1,0)</f>
        <v>2331080.16</v>
      </c>
      <c r="O24" s="43">
        <f>SUM('Deal Cash'!S$5:S21)*IF($B24&gt;0,1,0)-N24</f>
        <v>6417848.6400000006</v>
      </c>
      <c r="P24" s="42">
        <f>SUM('Deal Cash'!T$5:T21)*IF($B24&gt;0,1,0)</f>
        <v>1942566.7999999998</v>
      </c>
      <c r="Q24" s="43">
        <f>SUM('Deal Cash'!U$5:U21)*IF($B24&gt;0,1,0)-P24</f>
        <v>5348207.2</v>
      </c>
      <c r="R24" s="42">
        <f>SUM('Deal Cash'!V$5:V21)*IF($B24&gt;0,1,0)</f>
        <v>1942566.7999999998</v>
      </c>
      <c r="S24" s="43">
        <f>SUM('Deal Cash'!W$5:W21)*IF($B24&gt;0,1,0)-R24</f>
        <v>5348207.2</v>
      </c>
      <c r="T24" s="42">
        <f>SUM('Deal Cash'!X$5:X21)*IF($B24&gt;0,1,0)</f>
        <v>1554053.44</v>
      </c>
      <c r="U24" s="43">
        <f>SUM('Deal Cash'!Y$5:Y21)*IF($B24&gt;0,1,0)-T24</f>
        <v>4278565.76</v>
      </c>
      <c r="V24" s="42">
        <f>SUM('Deal Cash'!Z$5:Z21)*IF($B24&gt;0,1,0)</f>
        <v>1165540.08</v>
      </c>
      <c r="W24" s="43">
        <f>SUM('Deal Cash'!AA$5:AA21)*IF($B24&gt;0,1,0)-V24</f>
        <v>3208924.3200000003</v>
      </c>
      <c r="X24" s="42">
        <f>SUM('Deal Cash'!AB$5:AB21)*IF($B24&gt;0,1,0)</f>
        <v>777026.72</v>
      </c>
      <c r="Y24" s="43">
        <f>SUM('Deal Cash'!AC$5:AC21)*IF($B24&gt;0,1,0)-X24</f>
        <v>2139282.88</v>
      </c>
      <c r="Z24" s="42">
        <f>SUM('Deal Cash'!AD$5:AD21)*IF($B24&gt;0,1,0)</f>
        <v>388513.36</v>
      </c>
      <c r="AA24" s="43">
        <f>SUM('Deal Cash'!AE$5:AE21)*IF($B24&gt;0,1,0)-Z24</f>
        <v>1069641.44</v>
      </c>
      <c r="AB24" s="42">
        <f>SUM('Deal Cash'!AF$5:AF21)*IF($B24&gt;0,1,0)</f>
        <v>388513.36</v>
      </c>
      <c r="AC24" s="43">
        <f>SUM('Deal Cash'!AG$5:AG21)*IF($B24&gt;0,1,0)-AB24</f>
        <v>1069641.44</v>
      </c>
    </row>
    <row r="25" spans="2:29" x14ac:dyDescent="0.25">
      <c r="B25" s="2">
        <f>Deals!M22</f>
        <v>58800</v>
      </c>
      <c r="C25" s="3">
        <v>18</v>
      </c>
      <c r="D25" s="42">
        <f>SUM('Deal Cash'!H$5:H22)*IF($B25&gt;0,1,0)</f>
        <v>4303303.5999999996</v>
      </c>
      <c r="E25" s="43">
        <f>SUM('Deal Cash'!I$5:I22)*IF($B25&gt;0,1,0)-D25</f>
        <v>10866244.4</v>
      </c>
      <c r="F25" s="42">
        <f>SUM('Deal Cash'!J$5:J22)*IF($B25&gt;0,1,0)</f>
        <v>3872973.2399999998</v>
      </c>
      <c r="G25" s="43">
        <f>SUM('Deal Cash'!K$5:K22)*IF($B25&gt;0,1,0)-F25</f>
        <v>9779619.959999999</v>
      </c>
      <c r="H25" s="42">
        <f>SUM('Deal Cash'!L$5:L22)*IF($B25&gt;0,1,0)</f>
        <v>3442642.88</v>
      </c>
      <c r="I25" s="43">
        <f>SUM('Deal Cash'!M$5:M22)*IF($B25&gt;0,1,0)-H25</f>
        <v>8692995.5199999996</v>
      </c>
      <c r="J25" s="42">
        <f>SUM('Deal Cash'!N$5:N22)*IF($B25&gt;0,1,0)</f>
        <v>3012312.52</v>
      </c>
      <c r="K25" s="43">
        <f>SUM('Deal Cash'!O$5:O22)*IF($B25&gt;0,1,0)-J25</f>
        <v>7606371.0800000001</v>
      </c>
      <c r="L25" s="42">
        <f>SUM('Deal Cash'!P$5:P22)*IF($B25&gt;0,1,0)</f>
        <v>2581982.16</v>
      </c>
      <c r="M25" s="43">
        <f>SUM('Deal Cash'!Q$5:Q22)*IF($B25&gt;0,1,0)-L25</f>
        <v>6519746.6400000006</v>
      </c>
      <c r="N25" s="42">
        <f>SUM('Deal Cash'!R$5:R22)*IF($B25&gt;0,1,0)</f>
        <v>2581982.16</v>
      </c>
      <c r="O25" s="43">
        <f>SUM('Deal Cash'!S$5:S22)*IF($B25&gt;0,1,0)-N25</f>
        <v>6519746.6400000006</v>
      </c>
      <c r="P25" s="42">
        <f>SUM('Deal Cash'!T$5:T22)*IF($B25&gt;0,1,0)</f>
        <v>2151651.7999999998</v>
      </c>
      <c r="Q25" s="43">
        <f>SUM('Deal Cash'!U$5:U22)*IF($B25&gt;0,1,0)-P25</f>
        <v>5433122.2000000002</v>
      </c>
      <c r="R25" s="42">
        <f>SUM('Deal Cash'!V$5:V22)*IF($B25&gt;0,1,0)</f>
        <v>2151651.7999999998</v>
      </c>
      <c r="S25" s="43">
        <f>SUM('Deal Cash'!W$5:W22)*IF($B25&gt;0,1,0)-R25</f>
        <v>5433122.2000000002</v>
      </c>
      <c r="T25" s="42">
        <f>SUM('Deal Cash'!X$5:X22)*IF($B25&gt;0,1,0)</f>
        <v>1721321.44</v>
      </c>
      <c r="U25" s="43">
        <f>SUM('Deal Cash'!Y$5:Y22)*IF($B25&gt;0,1,0)-T25</f>
        <v>4346497.76</v>
      </c>
      <c r="V25" s="42">
        <f>SUM('Deal Cash'!Z$5:Z22)*IF($B25&gt;0,1,0)</f>
        <v>1290991.08</v>
      </c>
      <c r="W25" s="43">
        <f>SUM('Deal Cash'!AA$5:AA22)*IF($B25&gt;0,1,0)-V25</f>
        <v>3259873.3200000003</v>
      </c>
      <c r="X25" s="42">
        <f>SUM('Deal Cash'!AB$5:AB22)*IF($B25&gt;0,1,0)</f>
        <v>860660.72</v>
      </c>
      <c r="Y25" s="43">
        <f>SUM('Deal Cash'!AC$5:AC22)*IF($B25&gt;0,1,0)-X25</f>
        <v>2173248.88</v>
      </c>
      <c r="Z25" s="42">
        <f>SUM('Deal Cash'!AD$5:AD22)*IF($B25&gt;0,1,0)</f>
        <v>430330.36</v>
      </c>
      <c r="AA25" s="43">
        <f>SUM('Deal Cash'!AE$5:AE22)*IF($B25&gt;0,1,0)-Z25</f>
        <v>1086624.44</v>
      </c>
      <c r="AB25" s="42">
        <f>SUM('Deal Cash'!AF$5:AF22)*IF($B25&gt;0,1,0)</f>
        <v>430330.36</v>
      </c>
      <c r="AC25" s="43">
        <f>SUM('Deal Cash'!AG$5:AG22)*IF($B25&gt;0,1,0)-AB25</f>
        <v>1086624.44</v>
      </c>
    </row>
    <row r="26" spans="2:29" x14ac:dyDescent="0.25">
      <c r="B26" s="2">
        <f>Deals!M23</f>
        <v>37720</v>
      </c>
      <c r="C26" s="3">
        <v>19</v>
      </c>
      <c r="D26" s="42">
        <f>SUM('Deal Cash'!H$5:H23)*IF($B26&gt;0,1,0)</f>
        <v>4567303.5999999996</v>
      </c>
      <c r="E26" s="43">
        <f>SUM('Deal Cash'!I$5:I23)*IF($B26&gt;0,1,0)-D26</f>
        <v>10979444.4</v>
      </c>
      <c r="F26" s="42">
        <f>SUM('Deal Cash'!J$5:J23)*IF($B26&gt;0,1,0)</f>
        <v>4110573.2399999998</v>
      </c>
      <c r="G26" s="43">
        <f>SUM('Deal Cash'!K$5:K23)*IF($B26&gt;0,1,0)-F26</f>
        <v>9881499.959999999</v>
      </c>
      <c r="H26" s="42">
        <f>SUM('Deal Cash'!L$5:L23)*IF($B26&gt;0,1,0)</f>
        <v>3653842.88</v>
      </c>
      <c r="I26" s="43">
        <f>SUM('Deal Cash'!M$5:M23)*IF($B26&gt;0,1,0)-H26</f>
        <v>8783555.5199999996</v>
      </c>
      <c r="J26" s="42">
        <f>SUM('Deal Cash'!N$5:N23)*IF($B26&gt;0,1,0)</f>
        <v>3197112.52</v>
      </c>
      <c r="K26" s="43">
        <f>SUM('Deal Cash'!O$5:O23)*IF($B26&gt;0,1,0)-J26</f>
        <v>7685611.0800000001</v>
      </c>
      <c r="L26" s="42">
        <f>SUM('Deal Cash'!P$5:P23)*IF($B26&gt;0,1,0)</f>
        <v>2740382.16</v>
      </c>
      <c r="M26" s="43">
        <f>SUM('Deal Cash'!Q$5:Q23)*IF($B26&gt;0,1,0)-L26</f>
        <v>6587666.6400000006</v>
      </c>
      <c r="N26" s="42">
        <f>SUM('Deal Cash'!R$5:R23)*IF($B26&gt;0,1,0)</f>
        <v>2740382.16</v>
      </c>
      <c r="O26" s="43">
        <f>SUM('Deal Cash'!S$5:S23)*IF($B26&gt;0,1,0)-N26</f>
        <v>6587666.6400000006</v>
      </c>
      <c r="P26" s="42">
        <f>SUM('Deal Cash'!T$5:T23)*IF($B26&gt;0,1,0)</f>
        <v>2283651.7999999998</v>
      </c>
      <c r="Q26" s="43">
        <f>SUM('Deal Cash'!U$5:U23)*IF($B26&gt;0,1,0)-P26</f>
        <v>5489722.2000000002</v>
      </c>
      <c r="R26" s="42">
        <f>SUM('Deal Cash'!V$5:V23)*IF($B26&gt;0,1,0)</f>
        <v>2283651.7999999998</v>
      </c>
      <c r="S26" s="43">
        <f>SUM('Deal Cash'!W$5:W23)*IF($B26&gt;0,1,0)-R26</f>
        <v>5489722.2000000002</v>
      </c>
      <c r="T26" s="42">
        <f>SUM('Deal Cash'!X$5:X23)*IF($B26&gt;0,1,0)</f>
        <v>1826921.44</v>
      </c>
      <c r="U26" s="43">
        <f>SUM('Deal Cash'!Y$5:Y23)*IF($B26&gt;0,1,0)-T26</f>
        <v>4391777.76</v>
      </c>
      <c r="V26" s="42">
        <f>SUM('Deal Cash'!Z$5:Z23)*IF($B26&gt;0,1,0)</f>
        <v>1370191.08</v>
      </c>
      <c r="W26" s="43">
        <f>SUM('Deal Cash'!AA$5:AA23)*IF($B26&gt;0,1,0)-V26</f>
        <v>3293833.3200000003</v>
      </c>
      <c r="X26" s="42">
        <f>SUM('Deal Cash'!AB$5:AB23)*IF($B26&gt;0,1,0)</f>
        <v>913460.72</v>
      </c>
      <c r="Y26" s="43">
        <f>SUM('Deal Cash'!AC$5:AC23)*IF($B26&gt;0,1,0)-X26</f>
        <v>2195888.88</v>
      </c>
      <c r="Z26" s="42">
        <f>SUM('Deal Cash'!AD$5:AD23)*IF($B26&gt;0,1,0)</f>
        <v>456730.36</v>
      </c>
      <c r="AA26" s="43">
        <f>SUM('Deal Cash'!AE$5:AE23)*IF($B26&gt;0,1,0)-Z26</f>
        <v>1097944.44</v>
      </c>
      <c r="AB26" s="42">
        <f>SUM('Deal Cash'!AF$5:AF23)*IF($B26&gt;0,1,0)</f>
        <v>456730.36</v>
      </c>
      <c r="AC26" s="43">
        <f>SUM('Deal Cash'!AG$5:AG23)*IF($B26&gt;0,1,0)-AB26</f>
        <v>1097944.44</v>
      </c>
    </row>
    <row r="27" spans="2:29" x14ac:dyDescent="0.25">
      <c r="B27" s="2">
        <f>Deals!M24</f>
        <v>27000</v>
      </c>
      <c r="C27" s="3">
        <v>20</v>
      </c>
      <c r="D27" s="42">
        <f>SUM('Deal Cash'!H$5:H24)*IF($B27&gt;0,1,0)</f>
        <v>4765303.5999999996</v>
      </c>
      <c r="E27" s="43">
        <f>SUM('Deal Cash'!I$5:I24)*IF($B27&gt;0,1,0)-D27</f>
        <v>11051444.4</v>
      </c>
      <c r="F27" s="42">
        <f>SUM('Deal Cash'!J$5:J24)*IF($B27&gt;0,1,0)</f>
        <v>4288773.24</v>
      </c>
      <c r="G27" s="43">
        <f>SUM('Deal Cash'!K$5:K24)*IF($B27&gt;0,1,0)-F27</f>
        <v>9946299.959999999</v>
      </c>
      <c r="H27" s="42">
        <f>SUM('Deal Cash'!L$5:L24)*IF($B27&gt;0,1,0)</f>
        <v>3812242.88</v>
      </c>
      <c r="I27" s="43">
        <f>SUM('Deal Cash'!M$5:M24)*IF($B27&gt;0,1,0)-H27</f>
        <v>8841155.5199999996</v>
      </c>
      <c r="J27" s="42">
        <f>SUM('Deal Cash'!N$5:N24)*IF($B27&gt;0,1,0)</f>
        <v>3335712.52</v>
      </c>
      <c r="K27" s="43">
        <f>SUM('Deal Cash'!O$5:O24)*IF($B27&gt;0,1,0)-J27</f>
        <v>7736011.0800000001</v>
      </c>
      <c r="L27" s="42">
        <f>SUM('Deal Cash'!P$5:P24)*IF($B27&gt;0,1,0)</f>
        <v>2859182.16</v>
      </c>
      <c r="M27" s="43">
        <f>SUM('Deal Cash'!Q$5:Q24)*IF($B27&gt;0,1,0)-L27</f>
        <v>6630866.6400000006</v>
      </c>
      <c r="N27" s="42">
        <f>SUM('Deal Cash'!R$5:R24)*IF($B27&gt;0,1,0)</f>
        <v>2859182.16</v>
      </c>
      <c r="O27" s="43">
        <f>SUM('Deal Cash'!S$5:S24)*IF($B27&gt;0,1,0)-N27</f>
        <v>6630866.6400000006</v>
      </c>
      <c r="P27" s="42">
        <f>SUM('Deal Cash'!T$5:T24)*IF($B27&gt;0,1,0)</f>
        <v>2382651.7999999998</v>
      </c>
      <c r="Q27" s="43">
        <f>SUM('Deal Cash'!U$5:U24)*IF($B27&gt;0,1,0)-P27</f>
        <v>5525722.2000000002</v>
      </c>
      <c r="R27" s="42">
        <f>SUM('Deal Cash'!V$5:V24)*IF($B27&gt;0,1,0)</f>
        <v>2382651.7999999998</v>
      </c>
      <c r="S27" s="43">
        <f>SUM('Deal Cash'!W$5:W24)*IF($B27&gt;0,1,0)-R27</f>
        <v>5525722.2000000002</v>
      </c>
      <c r="T27" s="42">
        <f>SUM('Deal Cash'!X$5:X24)*IF($B27&gt;0,1,0)</f>
        <v>1906121.44</v>
      </c>
      <c r="U27" s="43">
        <f>SUM('Deal Cash'!Y$5:Y24)*IF($B27&gt;0,1,0)-T27</f>
        <v>4420577.76</v>
      </c>
      <c r="V27" s="42">
        <f>SUM('Deal Cash'!Z$5:Z24)*IF($B27&gt;0,1,0)</f>
        <v>1429591.08</v>
      </c>
      <c r="W27" s="43">
        <f>SUM('Deal Cash'!AA$5:AA24)*IF($B27&gt;0,1,0)-V27</f>
        <v>3315433.3200000003</v>
      </c>
      <c r="X27" s="42">
        <f>SUM('Deal Cash'!AB$5:AB24)*IF($B27&gt;0,1,0)</f>
        <v>953060.72</v>
      </c>
      <c r="Y27" s="43">
        <f>SUM('Deal Cash'!AC$5:AC24)*IF($B27&gt;0,1,0)-X27</f>
        <v>2210288.88</v>
      </c>
      <c r="Z27" s="42">
        <f>SUM('Deal Cash'!AD$5:AD24)*IF($B27&gt;0,1,0)</f>
        <v>476530.36</v>
      </c>
      <c r="AA27" s="43">
        <f>SUM('Deal Cash'!AE$5:AE24)*IF($B27&gt;0,1,0)-Z27</f>
        <v>1105144.44</v>
      </c>
      <c r="AB27" s="42">
        <f>SUM('Deal Cash'!AF$5:AF24)*IF($B27&gt;0,1,0)</f>
        <v>476530.36</v>
      </c>
      <c r="AC27" s="43">
        <f>SUM('Deal Cash'!AG$5:AG24)*IF($B27&gt;0,1,0)-AB27</f>
        <v>1105144.44</v>
      </c>
    </row>
    <row r="28" spans="2:29" x14ac:dyDescent="0.25">
      <c r="B28" s="2">
        <f>Deals!M25</f>
        <v>37756.799999999996</v>
      </c>
      <c r="C28" s="3">
        <v>21</v>
      </c>
      <c r="D28" s="42">
        <f>SUM('Deal Cash'!H$5:H25)*IF($B28&gt;0,1,0)</f>
        <v>5042887.5999999996</v>
      </c>
      <c r="E28" s="43">
        <f>SUM('Deal Cash'!I$5:I25)*IF($B28&gt;0,1,0)-D28</f>
        <v>11151428.4</v>
      </c>
      <c r="F28" s="42">
        <f>SUM('Deal Cash'!J$5:J25)*IF($B28&gt;0,1,0)</f>
        <v>4538598.84</v>
      </c>
      <c r="G28" s="43">
        <f>SUM('Deal Cash'!K$5:K25)*IF($B28&gt;0,1,0)-F28</f>
        <v>10036285.559999999</v>
      </c>
      <c r="H28" s="42">
        <f>SUM('Deal Cash'!L$5:L25)*IF($B28&gt;0,1,0)</f>
        <v>4034310.08</v>
      </c>
      <c r="I28" s="43">
        <f>SUM('Deal Cash'!M$5:M25)*IF($B28&gt;0,1,0)-H28</f>
        <v>8921142.7200000007</v>
      </c>
      <c r="J28" s="42">
        <f>SUM('Deal Cash'!N$5:N25)*IF($B28&gt;0,1,0)</f>
        <v>3530021.32</v>
      </c>
      <c r="K28" s="43">
        <f>SUM('Deal Cash'!O$5:O25)*IF($B28&gt;0,1,0)-J28</f>
        <v>7805999.879999999</v>
      </c>
      <c r="L28" s="42">
        <f>SUM('Deal Cash'!P$5:P25)*IF($B28&gt;0,1,0)</f>
        <v>3025732.56</v>
      </c>
      <c r="M28" s="43">
        <f>SUM('Deal Cash'!Q$5:Q25)*IF($B28&gt;0,1,0)-L28</f>
        <v>6690857.040000001</v>
      </c>
      <c r="N28" s="42">
        <f>SUM('Deal Cash'!R$5:R25)*IF($B28&gt;0,1,0)</f>
        <v>3025732.56</v>
      </c>
      <c r="O28" s="43">
        <f>SUM('Deal Cash'!S$5:S25)*IF($B28&gt;0,1,0)-N28</f>
        <v>6690857.040000001</v>
      </c>
      <c r="P28" s="42">
        <f>SUM('Deal Cash'!T$5:T25)*IF($B28&gt;0,1,0)</f>
        <v>2521443.7999999998</v>
      </c>
      <c r="Q28" s="43">
        <f>SUM('Deal Cash'!U$5:U25)*IF($B28&gt;0,1,0)-P28</f>
        <v>5575714.2000000002</v>
      </c>
      <c r="R28" s="42">
        <f>SUM('Deal Cash'!V$5:V25)*IF($B28&gt;0,1,0)</f>
        <v>2521443.7999999998</v>
      </c>
      <c r="S28" s="43">
        <f>SUM('Deal Cash'!W$5:W25)*IF($B28&gt;0,1,0)-R28</f>
        <v>5575714.2000000002</v>
      </c>
      <c r="T28" s="42">
        <f>SUM('Deal Cash'!X$5:X25)*IF($B28&gt;0,1,0)</f>
        <v>2017155.04</v>
      </c>
      <c r="U28" s="43">
        <f>SUM('Deal Cash'!Y$5:Y25)*IF($B28&gt;0,1,0)-T28</f>
        <v>4460571.3600000003</v>
      </c>
      <c r="V28" s="42">
        <f>SUM('Deal Cash'!Z$5:Z25)*IF($B28&gt;0,1,0)</f>
        <v>1512866.28</v>
      </c>
      <c r="W28" s="43">
        <f>SUM('Deal Cash'!AA$5:AA25)*IF($B28&gt;0,1,0)-V28</f>
        <v>3345428.5200000005</v>
      </c>
      <c r="X28" s="42">
        <f>SUM('Deal Cash'!AB$5:AB25)*IF($B28&gt;0,1,0)</f>
        <v>1008577.52</v>
      </c>
      <c r="Y28" s="43">
        <f>SUM('Deal Cash'!AC$5:AC25)*IF($B28&gt;0,1,0)-X28</f>
        <v>2230285.6800000002</v>
      </c>
      <c r="Z28" s="42">
        <f>SUM('Deal Cash'!AD$5:AD25)*IF($B28&gt;0,1,0)</f>
        <v>504288.76</v>
      </c>
      <c r="AA28" s="43">
        <f>SUM('Deal Cash'!AE$5:AE25)*IF($B28&gt;0,1,0)-Z28</f>
        <v>1115142.8400000001</v>
      </c>
      <c r="AB28" s="42">
        <f>SUM('Deal Cash'!AF$5:AF25)*IF($B28&gt;0,1,0)</f>
        <v>504288.76</v>
      </c>
      <c r="AC28" s="43">
        <f>SUM('Deal Cash'!AG$5:AG25)*IF($B28&gt;0,1,0)-AB28</f>
        <v>1115142.8400000001</v>
      </c>
    </row>
    <row r="29" spans="2:29" x14ac:dyDescent="0.25">
      <c r="B29" s="2">
        <f>Deals!M26</f>
        <v>14860</v>
      </c>
      <c r="C29" s="3">
        <v>22</v>
      </c>
      <c r="D29" s="42">
        <f>SUM('Deal Cash'!H$5:H26)*IF($B29&gt;0,1,0)</f>
        <v>5170887.5999999996</v>
      </c>
      <c r="E29" s="43">
        <f>SUM('Deal Cash'!I$5:I26)*IF($B29&gt;0,1,0)-D29</f>
        <v>11172028.4</v>
      </c>
      <c r="F29" s="42">
        <f>SUM('Deal Cash'!J$5:J26)*IF($B29&gt;0,1,0)</f>
        <v>4653798.84</v>
      </c>
      <c r="G29" s="43">
        <f>SUM('Deal Cash'!K$5:K26)*IF($B29&gt;0,1,0)-F29</f>
        <v>10054825.559999999</v>
      </c>
      <c r="H29" s="70">
        <f>SUM('Deal Cash'!L$5:L26)*IF($B29&gt;0,1,0)</f>
        <v>4136710.08</v>
      </c>
      <c r="I29" s="71">
        <f>SUM('Deal Cash'!M$5:M26)*IF($B29&gt;0,1,0)-H29</f>
        <v>8937622.7200000007</v>
      </c>
      <c r="J29" s="42">
        <f>SUM('Deal Cash'!N$5:N26)*IF($B29&gt;0,1,0)</f>
        <v>3619621.32</v>
      </c>
      <c r="K29" s="43">
        <f>SUM('Deal Cash'!O$5:O26)*IF($B29&gt;0,1,0)-J29</f>
        <v>7820419.879999999</v>
      </c>
      <c r="L29" s="42">
        <f>SUM('Deal Cash'!P$5:P26)*IF($B29&gt;0,1,0)</f>
        <v>3102532.56</v>
      </c>
      <c r="M29" s="43">
        <f>SUM('Deal Cash'!Q$5:Q26)*IF($B29&gt;0,1,0)-L29</f>
        <v>6703217.040000001</v>
      </c>
      <c r="N29" s="42">
        <f>SUM('Deal Cash'!R$5:R26)*IF($B29&gt;0,1,0)</f>
        <v>3102532.56</v>
      </c>
      <c r="O29" s="43">
        <f>SUM('Deal Cash'!S$5:S26)*IF($B29&gt;0,1,0)-N29</f>
        <v>6703217.040000001</v>
      </c>
      <c r="P29" s="42">
        <f>SUM('Deal Cash'!T$5:T26)*IF($B29&gt;0,1,0)</f>
        <v>2585443.7999999998</v>
      </c>
      <c r="Q29" s="43">
        <f>SUM('Deal Cash'!U$5:U26)*IF($B29&gt;0,1,0)-P29</f>
        <v>5586014.2000000002</v>
      </c>
      <c r="R29" s="42">
        <f>SUM('Deal Cash'!V$5:V26)*IF($B29&gt;0,1,0)</f>
        <v>2585443.7999999998</v>
      </c>
      <c r="S29" s="43">
        <f>SUM('Deal Cash'!W$5:W26)*IF($B29&gt;0,1,0)-R29</f>
        <v>5586014.2000000002</v>
      </c>
      <c r="T29" s="42">
        <f>SUM('Deal Cash'!X$5:X26)*IF($B29&gt;0,1,0)</f>
        <v>2068355.04</v>
      </c>
      <c r="U29" s="43">
        <f>SUM('Deal Cash'!Y$5:Y26)*IF($B29&gt;0,1,0)-T29</f>
        <v>4468811.3600000003</v>
      </c>
      <c r="V29" s="42">
        <f>SUM('Deal Cash'!Z$5:Z26)*IF($B29&gt;0,1,0)</f>
        <v>1551266.28</v>
      </c>
      <c r="W29" s="43">
        <f>SUM('Deal Cash'!AA$5:AA26)*IF($B29&gt;0,1,0)-V29</f>
        <v>3351608.5200000005</v>
      </c>
      <c r="X29" s="42">
        <f>SUM('Deal Cash'!AB$5:AB26)*IF($B29&gt;0,1,0)</f>
        <v>1034177.52</v>
      </c>
      <c r="Y29" s="43">
        <f>SUM('Deal Cash'!AC$5:AC26)*IF($B29&gt;0,1,0)-X29</f>
        <v>2234405.6800000002</v>
      </c>
      <c r="Z29" s="42">
        <f>SUM('Deal Cash'!AD$5:AD26)*IF($B29&gt;0,1,0)</f>
        <v>517088.76</v>
      </c>
      <c r="AA29" s="43">
        <f>SUM('Deal Cash'!AE$5:AE26)*IF($B29&gt;0,1,0)-Z29</f>
        <v>1117202.8400000001</v>
      </c>
      <c r="AB29" s="42">
        <f>SUM('Deal Cash'!AF$5:AF26)*IF($B29&gt;0,1,0)</f>
        <v>517088.76</v>
      </c>
      <c r="AC29" s="43">
        <f>SUM('Deal Cash'!AG$5:AG26)*IF($B29&gt;0,1,0)-AB29</f>
        <v>1117202.8400000001</v>
      </c>
    </row>
    <row r="30" spans="2:29" x14ac:dyDescent="0.25">
      <c r="B30" s="2">
        <f>Deals!M27</f>
        <v>0</v>
      </c>
      <c r="C30" s="3">
        <v>23</v>
      </c>
      <c r="D30" s="42">
        <f>SUM('Deal Cash'!H$5:H27)*IF($B30&gt;0,1,0)</f>
        <v>0</v>
      </c>
      <c r="E30" s="43">
        <f>SUM('Deal Cash'!I$5:I27)*IF($B30&gt;0,1,0)-D30</f>
        <v>0</v>
      </c>
      <c r="F30" s="42">
        <f>SUM('Deal Cash'!J$5:J27)*IF($B30&gt;0,1,0)</f>
        <v>0</v>
      </c>
      <c r="G30" s="43">
        <f>SUM('Deal Cash'!K$5:K27)*IF($B30&gt;0,1,0)-F30</f>
        <v>0</v>
      </c>
      <c r="H30" s="42">
        <f>SUM('Deal Cash'!L$5:L27)*IF($B30&gt;0,1,0)</f>
        <v>0</v>
      </c>
      <c r="I30" s="43">
        <f>SUM('Deal Cash'!M$5:M27)*IF($B30&gt;0,1,0)-H30</f>
        <v>0</v>
      </c>
      <c r="J30" s="42">
        <f>SUM('Deal Cash'!N$5:N27)*IF($B30&gt;0,1,0)</f>
        <v>0</v>
      </c>
      <c r="K30" s="43">
        <f>SUM('Deal Cash'!O$5:O27)*IF($B30&gt;0,1,0)-J30</f>
        <v>0</v>
      </c>
      <c r="L30" s="42">
        <f>SUM('Deal Cash'!P$5:P27)*IF($B30&gt;0,1,0)</f>
        <v>0</v>
      </c>
      <c r="M30" s="43">
        <f>SUM('Deal Cash'!Q$5:Q27)*IF($B30&gt;0,1,0)-L30</f>
        <v>0</v>
      </c>
      <c r="N30" s="42">
        <f>SUM('Deal Cash'!R$5:R27)*IF($B30&gt;0,1,0)</f>
        <v>0</v>
      </c>
      <c r="O30" s="43">
        <f>SUM('Deal Cash'!S$5:S27)*IF($B30&gt;0,1,0)-N30</f>
        <v>0</v>
      </c>
      <c r="P30" s="42">
        <f>SUM('Deal Cash'!T$5:T27)*IF($B30&gt;0,1,0)</f>
        <v>0</v>
      </c>
      <c r="Q30" s="43">
        <f>SUM('Deal Cash'!U$5:U27)*IF($B30&gt;0,1,0)-P30</f>
        <v>0</v>
      </c>
      <c r="R30" s="42">
        <f>SUM('Deal Cash'!V$5:V27)*IF($B30&gt;0,1,0)</f>
        <v>0</v>
      </c>
      <c r="S30" s="43">
        <f>SUM('Deal Cash'!W$5:W27)*IF($B30&gt;0,1,0)-R30</f>
        <v>0</v>
      </c>
      <c r="T30" s="42">
        <f>SUM('Deal Cash'!X$5:X27)*IF($B30&gt;0,1,0)</f>
        <v>0</v>
      </c>
      <c r="U30" s="43">
        <f>SUM('Deal Cash'!Y$5:Y27)*IF($B30&gt;0,1,0)-T30</f>
        <v>0</v>
      </c>
      <c r="V30" s="42">
        <f>SUM('Deal Cash'!Z$5:Z27)*IF($B30&gt;0,1,0)</f>
        <v>0</v>
      </c>
      <c r="W30" s="43">
        <f>SUM('Deal Cash'!AA$5:AA27)*IF($B30&gt;0,1,0)-V30</f>
        <v>0</v>
      </c>
      <c r="X30" s="42">
        <f>SUM('Deal Cash'!AB$5:AB27)*IF($B30&gt;0,1,0)</f>
        <v>0</v>
      </c>
      <c r="Y30" s="43">
        <f>SUM('Deal Cash'!AC$5:AC27)*IF($B30&gt;0,1,0)-X30</f>
        <v>0</v>
      </c>
      <c r="Z30" s="42">
        <f>SUM('Deal Cash'!AD$5:AD27)*IF($B30&gt;0,1,0)</f>
        <v>0</v>
      </c>
      <c r="AA30" s="43">
        <f>SUM('Deal Cash'!AE$5:AE27)*IF($B30&gt;0,1,0)-Z30</f>
        <v>0</v>
      </c>
      <c r="AB30" s="42">
        <f>SUM('Deal Cash'!AF$5:AF27)*IF($B30&gt;0,1,0)</f>
        <v>0</v>
      </c>
      <c r="AC30" s="43">
        <f>SUM('Deal Cash'!AG$5:AG27)*IF($B30&gt;0,1,0)-AB30</f>
        <v>0</v>
      </c>
    </row>
    <row r="31" spans="2:29" x14ac:dyDescent="0.25">
      <c r="B31" s="2">
        <f>Deals!M28</f>
        <v>0</v>
      </c>
      <c r="C31" s="3">
        <v>24</v>
      </c>
      <c r="D31" s="42">
        <f>SUM('Deal Cash'!H$5:H28)*IF($B31&gt;0,1,0)</f>
        <v>0</v>
      </c>
      <c r="E31" s="43">
        <f>SUM('Deal Cash'!I$5:I28)*IF($B31&gt;0,1,0)-D31</f>
        <v>0</v>
      </c>
      <c r="F31" s="42">
        <f>SUM('Deal Cash'!J$5:J28)*IF($B31&gt;0,1,0)</f>
        <v>0</v>
      </c>
      <c r="G31" s="43">
        <f>SUM('Deal Cash'!K$5:K28)*IF($B31&gt;0,1,0)-F31</f>
        <v>0</v>
      </c>
      <c r="H31" s="42">
        <f>SUM('Deal Cash'!L$5:L28)*IF($B31&gt;0,1,0)</f>
        <v>0</v>
      </c>
      <c r="I31" s="43">
        <f>SUM('Deal Cash'!M$5:M28)*IF($B31&gt;0,1,0)-H31</f>
        <v>0</v>
      </c>
      <c r="J31" s="42">
        <f>SUM('Deal Cash'!N$5:N28)*IF($B31&gt;0,1,0)</f>
        <v>0</v>
      </c>
      <c r="K31" s="43">
        <f>SUM('Deal Cash'!O$5:O28)*IF($B31&gt;0,1,0)-J31</f>
        <v>0</v>
      </c>
      <c r="L31" s="42">
        <f>SUM('Deal Cash'!P$5:P28)*IF($B31&gt;0,1,0)</f>
        <v>0</v>
      </c>
      <c r="M31" s="43">
        <f>SUM('Deal Cash'!Q$5:Q28)*IF($B31&gt;0,1,0)-L31</f>
        <v>0</v>
      </c>
      <c r="N31" s="42">
        <f>SUM('Deal Cash'!R$5:R28)*IF($B31&gt;0,1,0)</f>
        <v>0</v>
      </c>
      <c r="O31" s="43">
        <f>SUM('Deal Cash'!S$5:S28)*IF($B31&gt;0,1,0)-N31</f>
        <v>0</v>
      </c>
      <c r="P31" s="42">
        <f>SUM('Deal Cash'!T$5:T28)*IF($B31&gt;0,1,0)</f>
        <v>0</v>
      </c>
      <c r="Q31" s="43">
        <f>SUM('Deal Cash'!U$5:U28)*IF($B31&gt;0,1,0)-P31</f>
        <v>0</v>
      </c>
      <c r="R31" s="42">
        <f>SUM('Deal Cash'!V$5:V28)*IF($B31&gt;0,1,0)</f>
        <v>0</v>
      </c>
      <c r="S31" s="43">
        <f>SUM('Deal Cash'!W$5:W28)*IF($B31&gt;0,1,0)-R31</f>
        <v>0</v>
      </c>
      <c r="T31" s="42">
        <f>SUM('Deal Cash'!X$5:X28)*IF($B31&gt;0,1,0)</f>
        <v>0</v>
      </c>
      <c r="U31" s="43">
        <f>SUM('Deal Cash'!Y$5:Y28)*IF($B31&gt;0,1,0)-T31</f>
        <v>0</v>
      </c>
      <c r="V31" s="42">
        <f>SUM('Deal Cash'!Z$5:Z28)*IF($B31&gt;0,1,0)</f>
        <v>0</v>
      </c>
      <c r="W31" s="43">
        <f>SUM('Deal Cash'!AA$5:AA28)*IF($B31&gt;0,1,0)-V31</f>
        <v>0</v>
      </c>
      <c r="X31" s="42">
        <f>SUM('Deal Cash'!AB$5:AB28)*IF($B31&gt;0,1,0)</f>
        <v>0</v>
      </c>
      <c r="Y31" s="43">
        <f>SUM('Deal Cash'!AC$5:AC28)*IF($B31&gt;0,1,0)-X31</f>
        <v>0</v>
      </c>
      <c r="Z31" s="42">
        <f>SUM('Deal Cash'!AD$5:AD28)*IF($B31&gt;0,1,0)</f>
        <v>0</v>
      </c>
      <c r="AA31" s="43">
        <f>SUM('Deal Cash'!AE$5:AE28)*IF($B31&gt;0,1,0)-Z31</f>
        <v>0</v>
      </c>
      <c r="AB31" s="42">
        <f>SUM('Deal Cash'!AF$5:AF28)*IF($B31&gt;0,1,0)</f>
        <v>0</v>
      </c>
      <c r="AC31" s="43">
        <f>SUM('Deal Cash'!AG$5:AG28)*IF($B31&gt;0,1,0)-AB31</f>
        <v>0</v>
      </c>
    </row>
    <row r="32" spans="2:29" x14ac:dyDescent="0.25">
      <c r="B32" s="2">
        <f>Deals!M29</f>
        <v>0</v>
      </c>
      <c r="C32" s="3">
        <v>25</v>
      </c>
      <c r="D32" s="42">
        <f>SUM('Deal Cash'!H$5:H29)*IF($B32&gt;0,1,0)</f>
        <v>0</v>
      </c>
      <c r="E32" s="43">
        <f>SUM('Deal Cash'!I$5:I29)*IF($B32&gt;0,1,0)-D32</f>
        <v>0</v>
      </c>
      <c r="F32" s="42">
        <f>SUM('Deal Cash'!J$5:J29)*IF($B32&gt;0,1,0)</f>
        <v>0</v>
      </c>
      <c r="G32" s="43">
        <f>SUM('Deal Cash'!K$5:K29)*IF($B32&gt;0,1,0)-F32</f>
        <v>0</v>
      </c>
      <c r="H32" s="42">
        <f>SUM('Deal Cash'!L$5:L29)*IF($B32&gt;0,1,0)</f>
        <v>0</v>
      </c>
      <c r="I32" s="43">
        <f>SUM('Deal Cash'!M$5:M29)*IF($B32&gt;0,1,0)-H32</f>
        <v>0</v>
      </c>
      <c r="J32" s="42">
        <f>SUM('Deal Cash'!N$5:N29)*IF($B32&gt;0,1,0)</f>
        <v>0</v>
      </c>
      <c r="K32" s="43">
        <f>SUM('Deal Cash'!O$5:O29)*IF($B32&gt;0,1,0)-J32</f>
        <v>0</v>
      </c>
      <c r="L32" s="42">
        <f>SUM('Deal Cash'!P$5:P29)*IF($B32&gt;0,1,0)</f>
        <v>0</v>
      </c>
      <c r="M32" s="43">
        <f>SUM('Deal Cash'!Q$5:Q29)*IF($B32&gt;0,1,0)-L32</f>
        <v>0</v>
      </c>
      <c r="N32" s="42">
        <f>SUM('Deal Cash'!R$5:R29)*IF($B32&gt;0,1,0)</f>
        <v>0</v>
      </c>
      <c r="O32" s="43">
        <f>SUM('Deal Cash'!S$5:S29)*IF($B32&gt;0,1,0)-N32</f>
        <v>0</v>
      </c>
      <c r="P32" s="42">
        <f>SUM('Deal Cash'!T$5:T29)*IF($B32&gt;0,1,0)</f>
        <v>0</v>
      </c>
      <c r="Q32" s="43">
        <f>SUM('Deal Cash'!U$5:U29)*IF($B32&gt;0,1,0)-P32</f>
        <v>0</v>
      </c>
      <c r="R32" s="42">
        <f>SUM('Deal Cash'!V$5:V29)*IF($B32&gt;0,1,0)</f>
        <v>0</v>
      </c>
      <c r="S32" s="43">
        <f>SUM('Deal Cash'!W$5:W29)*IF($B32&gt;0,1,0)-R32</f>
        <v>0</v>
      </c>
      <c r="T32" s="42">
        <f>SUM('Deal Cash'!X$5:X29)*IF($B32&gt;0,1,0)</f>
        <v>0</v>
      </c>
      <c r="U32" s="43">
        <f>SUM('Deal Cash'!Y$5:Y29)*IF($B32&gt;0,1,0)-T32</f>
        <v>0</v>
      </c>
      <c r="V32" s="42">
        <f>SUM('Deal Cash'!Z$5:Z29)*IF($B32&gt;0,1,0)</f>
        <v>0</v>
      </c>
      <c r="W32" s="43">
        <f>SUM('Deal Cash'!AA$5:AA29)*IF($B32&gt;0,1,0)-V32</f>
        <v>0</v>
      </c>
      <c r="X32" s="42">
        <f>SUM('Deal Cash'!AB$5:AB29)*IF($B32&gt;0,1,0)</f>
        <v>0</v>
      </c>
      <c r="Y32" s="43">
        <f>SUM('Deal Cash'!AC$5:AC29)*IF($B32&gt;0,1,0)-X32</f>
        <v>0</v>
      </c>
      <c r="Z32" s="42">
        <f>SUM('Deal Cash'!AD$5:AD29)*IF($B32&gt;0,1,0)</f>
        <v>0</v>
      </c>
      <c r="AA32" s="43">
        <f>SUM('Deal Cash'!AE$5:AE29)*IF($B32&gt;0,1,0)-Z32</f>
        <v>0</v>
      </c>
      <c r="AB32" s="42">
        <f>SUM('Deal Cash'!AF$5:AF29)*IF($B32&gt;0,1,0)</f>
        <v>0</v>
      </c>
      <c r="AC32" s="43">
        <f>SUM('Deal Cash'!AG$5:AG29)*IF($B32&gt;0,1,0)-AB32</f>
        <v>0</v>
      </c>
    </row>
    <row r="33" spans="2:29" x14ac:dyDescent="0.25">
      <c r="B33" s="2">
        <f>Deals!M30</f>
        <v>0</v>
      </c>
      <c r="C33" s="3">
        <v>26</v>
      </c>
      <c r="D33" s="42">
        <f>SUM('Deal Cash'!H$5:H30)*IF($B33&gt;0,1,0)</f>
        <v>0</v>
      </c>
      <c r="E33" s="43">
        <f>SUM('Deal Cash'!I$5:I30)*IF($B33&gt;0,1,0)-D33</f>
        <v>0</v>
      </c>
      <c r="F33" s="42">
        <f>SUM('Deal Cash'!J$5:J30)*IF($B33&gt;0,1,0)</f>
        <v>0</v>
      </c>
      <c r="G33" s="43">
        <f>SUM('Deal Cash'!K$5:K30)*IF($B33&gt;0,1,0)-F33</f>
        <v>0</v>
      </c>
      <c r="H33" s="42">
        <f>SUM('Deal Cash'!L$5:L30)*IF($B33&gt;0,1,0)</f>
        <v>0</v>
      </c>
      <c r="I33" s="43">
        <f>SUM('Deal Cash'!M$5:M30)*IF($B33&gt;0,1,0)-H33</f>
        <v>0</v>
      </c>
      <c r="J33" s="42">
        <f>SUM('Deal Cash'!N$5:N30)*IF($B33&gt;0,1,0)</f>
        <v>0</v>
      </c>
      <c r="K33" s="43">
        <f>SUM('Deal Cash'!O$5:O30)*IF($B33&gt;0,1,0)-J33</f>
        <v>0</v>
      </c>
      <c r="L33" s="42">
        <f>SUM('Deal Cash'!P$5:P30)*IF($B33&gt;0,1,0)</f>
        <v>0</v>
      </c>
      <c r="M33" s="43">
        <f>SUM('Deal Cash'!Q$5:Q30)*IF($B33&gt;0,1,0)-L33</f>
        <v>0</v>
      </c>
      <c r="N33" s="42">
        <f>SUM('Deal Cash'!R$5:R30)*IF($B33&gt;0,1,0)</f>
        <v>0</v>
      </c>
      <c r="O33" s="43">
        <f>SUM('Deal Cash'!S$5:S30)*IF($B33&gt;0,1,0)-N33</f>
        <v>0</v>
      </c>
      <c r="P33" s="42">
        <f>SUM('Deal Cash'!T$5:T30)*IF($B33&gt;0,1,0)</f>
        <v>0</v>
      </c>
      <c r="Q33" s="43">
        <f>SUM('Deal Cash'!U$5:U30)*IF($B33&gt;0,1,0)-P33</f>
        <v>0</v>
      </c>
      <c r="R33" s="42">
        <f>SUM('Deal Cash'!V$5:V30)*IF($B33&gt;0,1,0)</f>
        <v>0</v>
      </c>
      <c r="S33" s="43">
        <f>SUM('Deal Cash'!W$5:W30)*IF($B33&gt;0,1,0)-R33</f>
        <v>0</v>
      </c>
      <c r="T33" s="42">
        <f>SUM('Deal Cash'!X$5:X30)*IF($B33&gt;0,1,0)</f>
        <v>0</v>
      </c>
      <c r="U33" s="43">
        <f>SUM('Deal Cash'!Y$5:Y30)*IF($B33&gt;0,1,0)-T33</f>
        <v>0</v>
      </c>
      <c r="V33" s="42">
        <f>SUM('Deal Cash'!Z$5:Z30)*IF($B33&gt;0,1,0)</f>
        <v>0</v>
      </c>
      <c r="W33" s="43">
        <f>SUM('Deal Cash'!AA$5:AA30)*IF($B33&gt;0,1,0)-V33</f>
        <v>0</v>
      </c>
      <c r="X33" s="42">
        <f>SUM('Deal Cash'!AB$5:AB30)*IF($B33&gt;0,1,0)</f>
        <v>0</v>
      </c>
      <c r="Y33" s="43">
        <f>SUM('Deal Cash'!AC$5:AC30)*IF($B33&gt;0,1,0)-X33</f>
        <v>0</v>
      </c>
      <c r="Z33" s="42">
        <f>SUM('Deal Cash'!AD$5:AD30)*IF($B33&gt;0,1,0)</f>
        <v>0</v>
      </c>
      <c r="AA33" s="43">
        <f>SUM('Deal Cash'!AE$5:AE30)*IF($B33&gt;0,1,0)-Z33</f>
        <v>0</v>
      </c>
      <c r="AB33" s="42">
        <f>SUM('Deal Cash'!AF$5:AF30)*IF($B33&gt;0,1,0)</f>
        <v>0</v>
      </c>
      <c r="AC33" s="43">
        <f>SUM('Deal Cash'!AG$5:AG30)*IF($B33&gt;0,1,0)-AB33</f>
        <v>0</v>
      </c>
    </row>
    <row r="34" spans="2:29" x14ac:dyDescent="0.25">
      <c r="B34" s="2">
        <f>Deals!M31</f>
        <v>0</v>
      </c>
      <c r="C34" s="3">
        <v>27</v>
      </c>
      <c r="D34" s="42">
        <f>SUM('Deal Cash'!H$5:H31)*IF($B34&gt;0,1,0)</f>
        <v>0</v>
      </c>
      <c r="E34" s="43">
        <f>SUM('Deal Cash'!I$5:I31)*IF($B34&gt;0,1,0)-D34</f>
        <v>0</v>
      </c>
      <c r="F34" s="42">
        <f>SUM('Deal Cash'!J$5:J31)*IF($B34&gt;0,1,0)</f>
        <v>0</v>
      </c>
      <c r="G34" s="43">
        <f>SUM('Deal Cash'!K$5:K31)*IF($B34&gt;0,1,0)-F34</f>
        <v>0</v>
      </c>
      <c r="H34" s="42">
        <f>SUM('Deal Cash'!L$5:L31)*IF($B34&gt;0,1,0)</f>
        <v>0</v>
      </c>
      <c r="I34" s="43">
        <f>SUM('Deal Cash'!M$5:M31)*IF($B34&gt;0,1,0)-H34</f>
        <v>0</v>
      </c>
      <c r="J34" s="42">
        <f>SUM('Deal Cash'!N$5:N31)*IF($B34&gt;0,1,0)</f>
        <v>0</v>
      </c>
      <c r="K34" s="43">
        <f>SUM('Deal Cash'!O$5:O31)*IF($B34&gt;0,1,0)-J34</f>
        <v>0</v>
      </c>
      <c r="L34" s="42">
        <f>SUM('Deal Cash'!P$5:P31)*IF($B34&gt;0,1,0)</f>
        <v>0</v>
      </c>
      <c r="M34" s="43">
        <f>SUM('Deal Cash'!Q$5:Q31)*IF($B34&gt;0,1,0)-L34</f>
        <v>0</v>
      </c>
      <c r="N34" s="42">
        <f>SUM('Deal Cash'!R$5:R31)*IF($B34&gt;0,1,0)</f>
        <v>0</v>
      </c>
      <c r="O34" s="43">
        <f>SUM('Deal Cash'!S$5:S31)*IF($B34&gt;0,1,0)-N34</f>
        <v>0</v>
      </c>
      <c r="P34" s="42">
        <f>SUM('Deal Cash'!T$5:T31)*IF($B34&gt;0,1,0)</f>
        <v>0</v>
      </c>
      <c r="Q34" s="43">
        <f>SUM('Deal Cash'!U$5:U31)*IF($B34&gt;0,1,0)-P34</f>
        <v>0</v>
      </c>
      <c r="R34" s="42">
        <f>SUM('Deal Cash'!V$5:V31)*IF($B34&gt;0,1,0)</f>
        <v>0</v>
      </c>
      <c r="S34" s="43">
        <f>SUM('Deal Cash'!W$5:W31)*IF($B34&gt;0,1,0)-R34</f>
        <v>0</v>
      </c>
      <c r="T34" s="42">
        <f>SUM('Deal Cash'!X$5:X31)*IF($B34&gt;0,1,0)</f>
        <v>0</v>
      </c>
      <c r="U34" s="43">
        <f>SUM('Deal Cash'!Y$5:Y31)*IF($B34&gt;0,1,0)-T34</f>
        <v>0</v>
      </c>
      <c r="V34" s="42">
        <f>SUM('Deal Cash'!Z$5:Z31)*IF($B34&gt;0,1,0)</f>
        <v>0</v>
      </c>
      <c r="W34" s="43">
        <f>SUM('Deal Cash'!AA$5:AA31)*IF($B34&gt;0,1,0)-V34</f>
        <v>0</v>
      </c>
      <c r="X34" s="42">
        <f>SUM('Deal Cash'!AB$5:AB31)*IF($B34&gt;0,1,0)</f>
        <v>0</v>
      </c>
      <c r="Y34" s="43">
        <f>SUM('Deal Cash'!AC$5:AC31)*IF($B34&gt;0,1,0)-X34</f>
        <v>0</v>
      </c>
      <c r="Z34" s="42">
        <f>SUM('Deal Cash'!AD$5:AD31)*IF($B34&gt;0,1,0)</f>
        <v>0</v>
      </c>
      <c r="AA34" s="43">
        <f>SUM('Deal Cash'!AE$5:AE31)*IF($B34&gt;0,1,0)-Z34</f>
        <v>0</v>
      </c>
      <c r="AB34" s="42">
        <f>SUM('Deal Cash'!AF$5:AF31)*IF($B34&gt;0,1,0)</f>
        <v>0</v>
      </c>
      <c r="AC34" s="43">
        <f>SUM('Deal Cash'!AG$5:AG31)*IF($B34&gt;0,1,0)-AB34</f>
        <v>0</v>
      </c>
    </row>
    <row r="35" spans="2:29" x14ac:dyDescent="0.25">
      <c r="B35" s="2">
        <f>Deals!M32</f>
        <v>0</v>
      </c>
      <c r="C35" s="3">
        <v>28</v>
      </c>
      <c r="D35" s="42">
        <f>SUM('Deal Cash'!H$5:H32)*IF($B35&gt;0,1,0)</f>
        <v>0</v>
      </c>
      <c r="E35" s="43">
        <f>SUM('Deal Cash'!I$5:I32)*IF($B35&gt;0,1,0)-D35</f>
        <v>0</v>
      </c>
      <c r="F35" s="42">
        <f>SUM('Deal Cash'!J$5:J32)*IF($B35&gt;0,1,0)</f>
        <v>0</v>
      </c>
      <c r="G35" s="43">
        <f>SUM('Deal Cash'!K$5:K32)*IF($B35&gt;0,1,0)-F35</f>
        <v>0</v>
      </c>
      <c r="H35" s="42">
        <f>SUM('Deal Cash'!L$5:L32)*IF($B35&gt;0,1,0)</f>
        <v>0</v>
      </c>
      <c r="I35" s="43">
        <f>SUM('Deal Cash'!M$5:M32)*IF($B35&gt;0,1,0)-H35</f>
        <v>0</v>
      </c>
      <c r="J35" s="42">
        <f>SUM('Deal Cash'!N$5:N32)*IF($B35&gt;0,1,0)</f>
        <v>0</v>
      </c>
      <c r="K35" s="43">
        <f>SUM('Deal Cash'!O$5:O32)*IF($B35&gt;0,1,0)-J35</f>
        <v>0</v>
      </c>
      <c r="L35" s="42">
        <f>SUM('Deal Cash'!P$5:P32)*IF($B35&gt;0,1,0)</f>
        <v>0</v>
      </c>
      <c r="M35" s="43">
        <f>SUM('Deal Cash'!Q$5:Q32)*IF($B35&gt;0,1,0)-L35</f>
        <v>0</v>
      </c>
      <c r="N35" s="42">
        <f>SUM('Deal Cash'!R$5:R32)*IF($B35&gt;0,1,0)</f>
        <v>0</v>
      </c>
      <c r="O35" s="43">
        <f>SUM('Deal Cash'!S$5:S32)*IF($B35&gt;0,1,0)-N35</f>
        <v>0</v>
      </c>
      <c r="P35" s="42">
        <f>SUM('Deal Cash'!T$5:T32)*IF($B35&gt;0,1,0)</f>
        <v>0</v>
      </c>
      <c r="Q35" s="43">
        <f>SUM('Deal Cash'!U$5:U32)*IF($B35&gt;0,1,0)-P35</f>
        <v>0</v>
      </c>
      <c r="R35" s="42">
        <f>SUM('Deal Cash'!V$5:V32)*IF($B35&gt;0,1,0)</f>
        <v>0</v>
      </c>
      <c r="S35" s="43">
        <f>SUM('Deal Cash'!W$5:W32)*IF($B35&gt;0,1,0)-R35</f>
        <v>0</v>
      </c>
      <c r="T35" s="42">
        <f>SUM('Deal Cash'!X$5:X32)*IF($B35&gt;0,1,0)</f>
        <v>0</v>
      </c>
      <c r="U35" s="43">
        <f>SUM('Deal Cash'!Y$5:Y32)*IF($B35&gt;0,1,0)-T35</f>
        <v>0</v>
      </c>
      <c r="V35" s="42">
        <f>SUM('Deal Cash'!Z$5:Z32)*IF($B35&gt;0,1,0)</f>
        <v>0</v>
      </c>
      <c r="W35" s="43">
        <f>SUM('Deal Cash'!AA$5:AA32)*IF($B35&gt;0,1,0)-V35</f>
        <v>0</v>
      </c>
      <c r="X35" s="42">
        <f>SUM('Deal Cash'!AB$5:AB32)*IF($B35&gt;0,1,0)</f>
        <v>0</v>
      </c>
      <c r="Y35" s="43">
        <f>SUM('Deal Cash'!AC$5:AC32)*IF($B35&gt;0,1,0)-X35</f>
        <v>0</v>
      </c>
      <c r="Z35" s="42">
        <f>SUM('Deal Cash'!AD$5:AD32)*IF($B35&gt;0,1,0)</f>
        <v>0</v>
      </c>
      <c r="AA35" s="43">
        <f>SUM('Deal Cash'!AE$5:AE32)*IF($B35&gt;0,1,0)-Z35</f>
        <v>0</v>
      </c>
      <c r="AB35" s="42">
        <f>SUM('Deal Cash'!AF$5:AF32)*IF($B35&gt;0,1,0)</f>
        <v>0</v>
      </c>
      <c r="AC35" s="43">
        <f>SUM('Deal Cash'!AG$5:AG32)*IF($B35&gt;0,1,0)-AB35</f>
        <v>0</v>
      </c>
    </row>
    <row r="36" spans="2:29" x14ac:dyDescent="0.25">
      <c r="B36" s="2">
        <f>Deals!M33</f>
        <v>0</v>
      </c>
      <c r="C36" s="3">
        <v>29</v>
      </c>
      <c r="D36" s="42">
        <f>SUM('Deal Cash'!H$5:H33)*IF($B36&gt;0,1,0)</f>
        <v>0</v>
      </c>
      <c r="E36" s="43">
        <f>SUM('Deal Cash'!I$5:I33)*IF($B36&gt;0,1,0)-D36</f>
        <v>0</v>
      </c>
      <c r="F36" s="42">
        <f>SUM('Deal Cash'!J$5:J33)*IF($B36&gt;0,1,0)</f>
        <v>0</v>
      </c>
      <c r="G36" s="43">
        <f>SUM('Deal Cash'!K$5:K33)*IF($B36&gt;0,1,0)-F36</f>
        <v>0</v>
      </c>
      <c r="H36" s="42">
        <f>SUM('Deal Cash'!L$5:L33)*IF($B36&gt;0,1,0)</f>
        <v>0</v>
      </c>
      <c r="I36" s="43">
        <f>SUM('Deal Cash'!M$5:M33)*IF($B36&gt;0,1,0)-H36</f>
        <v>0</v>
      </c>
      <c r="J36" s="42">
        <f>SUM('Deal Cash'!N$5:N33)*IF($B36&gt;0,1,0)</f>
        <v>0</v>
      </c>
      <c r="K36" s="43">
        <f>SUM('Deal Cash'!O$5:O33)*IF($B36&gt;0,1,0)-J36</f>
        <v>0</v>
      </c>
      <c r="L36" s="42">
        <f>SUM('Deal Cash'!P$5:P33)*IF($B36&gt;0,1,0)</f>
        <v>0</v>
      </c>
      <c r="M36" s="43">
        <f>SUM('Deal Cash'!Q$5:Q33)*IF($B36&gt;0,1,0)-L36</f>
        <v>0</v>
      </c>
      <c r="N36" s="42">
        <f>SUM('Deal Cash'!R$5:R33)*IF($B36&gt;0,1,0)</f>
        <v>0</v>
      </c>
      <c r="O36" s="43">
        <f>SUM('Deal Cash'!S$5:S33)*IF($B36&gt;0,1,0)-N36</f>
        <v>0</v>
      </c>
      <c r="P36" s="42">
        <f>SUM('Deal Cash'!T$5:T33)*IF($B36&gt;0,1,0)</f>
        <v>0</v>
      </c>
      <c r="Q36" s="43">
        <f>SUM('Deal Cash'!U$5:U33)*IF($B36&gt;0,1,0)-P36</f>
        <v>0</v>
      </c>
      <c r="R36" s="42">
        <f>SUM('Deal Cash'!V$5:V33)*IF($B36&gt;0,1,0)</f>
        <v>0</v>
      </c>
      <c r="S36" s="43">
        <f>SUM('Deal Cash'!W$5:W33)*IF($B36&gt;0,1,0)-R36</f>
        <v>0</v>
      </c>
      <c r="T36" s="42">
        <f>SUM('Deal Cash'!X$5:X33)*IF($B36&gt;0,1,0)</f>
        <v>0</v>
      </c>
      <c r="U36" s="43">
        <f>SUM('Deal Cash'!Y$5:Y33)*IF($B36&gt;0,1,0)-T36</f>
        <v>0</v>
      </c>
      <c r="V36" s="42">
        <f>SUM('Deal Cash'!Z$5:Z33)*IF($B36&gt;0,1,0)</f>
        <v>0</v>
      </c>
      <c r="W36" s="43">
        <f>SUM('Deal Cash'!AA$5:AA33)*IF($B36&gt;0,1,0)-V36</f>
        <v>0</v>
      </c>
      <c r="X36" s="42">
        <f>SUM('Deal Cash'!AB$5:AB33)*IF($B36&gt;0,1,0)</f>
        <v>0</v>
      </c>
      <c r="Y36" s="43">
        <f>SUM('Deal Cash'!AC$5:AC33)*IF($B36&gt;0,1,0)-X36</f>
        <v>0</v>
      </c>
      <c r="Z36" s="42">
        <f>SUM('Deal Cash'!AD$5:AD33)*IF($B36&gt;0,1,0)</f>
        <v>0</v>
      </c>
      <c r="AA36" s="43">
        <f>SUM('Deal Cash'!AE$5:AE33)*IF($B36&gt;0,1,0)-Z36</f>
        <v>0</v>
      </c>
      <c r="AB36" s="42">
        <f>SUM('Deal Cash'!AF$5:AF33)*IF($B36&gt;0,1,0)</f>
        <v>0</v>
      </c>
      <c r="AC36" s="43">
        <f>SUM('Deal Cash'!AG$5:AG33)*IF($B36&gt;0,1,0)-AB36</f>
        <v>0</v>
      </c>
    </row>
    <row r="37" spans="2:29" x14ac:dyDescent="0.25">
      <c r="B37" s="2">
        <f>Deals!M34</f>
        <v>0</v>
      </c>
      <c r="C37" s="3">
        <v>30</v>
      </c>
      <c r="D37" s="42">
        <f>SUM('Deal Cash'!H$5:H34)*IF($B37&gt;0,1,0)</f>
        <v>0</v>
      </c>
      <c r="E37" s="43">
        <f>SUM('Deal Cash'!I$5:I34)*IF($B37&gt;0,1,0)-D37</f>
        <v>0</v>
      </c>
      <c r="F37" s="42">
        <f>SUM('Deal Cash'!J$5:J34)*IF($B37&gt;0,1,0)</f>
        <v>0</v>
      </c>
      <c r="G37" s="43">
        <f>SUM('Deal Cash'!K$5:K34)*IF($B37&gt;0,1,0)-F37</f>
        <v>0</v>
      </c>
      <c r="H37" s="42">
        <f>SUM('Deal Cash'!L$5:L34)*IF($B37&gt;0,1,0)</f>
        <v>0</v>
      </c>
      <c r="I37" s="43">
        <f>SUM('Deal Cash'!M$5:M34)*IF($B37&gt;0,1,0)-H37</f>
        <v>0</v>
      </c>
      <c r="J37" s="42">
        <f>SUM('Deal Cash'!N$5:N34)*IF($B37&gt;0,1,0)</f>
        <v>0</v>
      </c>
      <c r="K37" s="43">
        <f>SUM('Deal Cash'!O$5:O34)*IF($B37&gt;0,1,0)-J37</f>
        <v>0</v>
      </c>
      <c r="L37" s="42">
        <f>SUM('Deal Cash'!P$5:P34)*IF($B37&gt;0,1,0)</f>
        <v>0</v>
      </c>
      <c r="M37" s="43">
        <f>SUM('Deal Cash'!Q$5:Q34)*IF($B37&gt;0,1,0)-L37</f>
        <v>0</v>
      </c>
      <c r="N37" s="42">
        <f>SUM('Deal Cash'!R$5:R34)*IF($B37&gt;0,1,0)</f>
        <v>0</v>
      </c>
      <c r="O37" s="43">
        <f>SUM('Deal Cash'!S$5:S34)*IF($B37&gt;0,1,0)-N37</f>
        <v>0</v>
      </c>
      <c r="P37" s="42">
        <f>SUM('Deal Cash'!T$5:T34)*IF($B37&gt;0,1,0)</f>
        <v>0</v>
      </c>
      <c r="Q37" s="43">
        <f>SUM('Deal Cash'!U$5:U34)*IF($B37&gt;0,1,0)-P37</f>
        <v>0</v>
      </c>
      <c r="R37" s="42">
        <f>SUM('Deal Cash'!V$5:V34)*IF($B37&gt;0,1,0)</f>
        <v>0</v>
      </c>
      <c r="S37" s="43">
        <f>SUM('Deal Cash'!W$5:W34)*IF($B37&gt;0,1,0)-R37</f>
        <v>0</v>
      </c>
      <c r="T37" s="42">
        <f>SUM('Deal Cash'!X$5:X34)*IF($B37&gt;0,1,0)</f>
        <v>0</v>
      </c>
      <c r="U37" s="43">
        <f>SUM('Deal Cash'!Y$5:Y34)*IF($B37&gt;0,1,0)-T37</f>
        <v>0</v>
      </c>
      <c r="V37" s="42">
        <f>SUM('Deal Cash'!Z$5:Z34)*IF($B37&gt;0,1,0)</f>
        <v>0</v>
      </c>
      <c r="W37" s="43">
        <f>SUM('Deal Cash'!AA$5:AA34)*IF($B37&gt;0,1,0)-V37</f>
        <v>0</v>
      </c>
      <c r="X37" s="42">
        <f>SUM('Deal Cash'!AB$5:AB34)*IF($B37&gt;0,1,0)</f>
        <v>0</v>
      </c>
      <c r="Y37" s="43">
        <f>SUM('Deal Cash'!AC$5:AC34)*IF($B37&gt;0,1,0)-X37</f>
        <v>0</v>
      </c>
      <c r="Z37" s="42">
        <f>SUM('Deal Cash'!AD$5:AD34)*IF($B37&gt;0,1,0)</f>
        <v>0</v>
      </c>
      <c r="AA37" s="43">
        <f>SUM('Deal Cash'!AE$5:AE34)*IF($B37&gt;0,1,0)-Z37</f>
        <v>0</v>
      </c>
      <c r="AB37" s="42">
        <f>SUM('Deal Cash'!AF$5:AF34)*IF($B37&gt;0,1,0)</f>
        <v>0</v>
      </c>
      <c r="AC37" s="43">
        <f>SUM('Deal Cash'!AG$5:AG34)*IF($B37&gt;0,1,0)-AB37</f>
        <v>0</v>
      </c>
    </row>
    <row r="38" spans="2:29" ht="13.8" thickBot="1" x14ac:dyDescent="0.3">
      <c r="B38" s="44">
        <f>Deals!M35</f>
        <v>0</v>
      </c>
      <c r="C38" s="3">
        <v>31</v>
      </c>
      <c r="D38" s="45">
        <f>SUM('Deal Cash'!H$5:H35)*IF($B38&gt;0,1,0)</f>
        <v>0</v>
      </c>
      <c r="E38" s="46">
        <f>SUM('Deal Cash'!I$5:I35)*IF($B38&gt;0,1,0)-D38</f>
        <v>0</v>
      </c>
      <c r="F38" s="45">
        <f>SUM('Deal Cash'!J$5:J35)*IF($B38&gt;0,1,0)</f>
        <v>0</v>
      </c>
      <c r="G38" s="46">
        <f>SUM('Deal Cash'!K$5:K35)*IF($B38&gt;0,1,0)-F38</f>
        <v>0</v>
      </c>
      <c r="H38" s="45">
        <f>SUM('Deal Cash'!L$5:L35)*IF($B38&gt;0,1,0)</f>
        <v>0</v>
      </c>
      <c r="I38" s="46">
        <f>SUM('Deal Cash'!M$5:M35)*IF($B38&gt;0,1,0)-H38</f>
        <v>0</v>
      </c>
      <c r="J38" s="45">
        <f>SUM('Deal Cash'!N$5:N35)*IF($B38&gt;0,1,0)</f>
        <v>0</v>
      </c>
      <c r="K38" s="46">
        <f>SUM('Deal Cash'!O$5:O35)*IF($B38&gt;0,1,0)-J38</f>
        <v>0</v>
      </c>
      <c r="L38" s="45">
        <f>SUM('Deal Cash'!P$5:P35)*IF($B38&gt;0,1,0)</f>
        <v>0</v>
      </c>
      <c r="M38" s="46">
        <f>SUM('Deal Cash'!Q$5:Q35)*IF($B38&gt;0,1,0)-L38</f>
        <v>0</v>
      </c>
      <c r="N38" s="45">
        <f>SUM('Deal Cash'!R$5:R35)*IF($B38&gt;0,1,0)</f>
        <v>0</v>
      </c>
      <c r="O38" s="46">
        <f>SUM('Deal Cash'!S$5:S35)*IF($B38&gt;0,1,0)-N38</f>
        <v>0</v>
      </c>
      <c r="P38" s="45">
        <f>SUM('Deal Cash'!T$5:T35)*IF($B38&gt;0,1,0)</f>
        <v>0</v>
      </c>
      <c r="Q38" s="46">
        <f>SUM('Deal Cash'!U$5:U35)*IF($B38&gt;0,1,0)-P38</f>
        <v>0</v>
      </c>
      <c r="R38" s="45">
        <f>SUM('Deal Cash'!V$5:V35)*IF($B38&gt;0,1,0)</f>
        <v>0</v>
      </c>
      <c r="S38" s="46">
        <f>SUM('Deal Cash'!W$5:W35)*IF($B38&gt;0,1,0)-R38</f>
        <v>0</v>
      </c>
      <c r="T38" s="45">
        <f>SUM('Deal Cash'!X$5:X35)*IF($B38&gt;0,1,0)</f>
        <v>0</v>
      </c>
      <c r="U38" s="46">
        <f>SUM('Deal Cash'!Y$5:Y35)*IF($B38&gt;0,1,0)-T38</f>
        <v>0</v>
      </c>
      <c r="V38" s="45">
        <f>SUM('Deal Cash'!Z$5:Z35)*IF($B38&gt;0,1,0)</f>
        <v>0</v>
      </c>
      <c r="W38" s="46">
        <f>SUM('Deal Cash'!AA$5:AA35)*IF($B38&gt;0,1,0)-V38</f>
        <v>0</v>
      </c>
      <c r="X38" s="45">
        <f>SUM('Deal Cash'!AB$5:AB35)*IF($B38&gt;0,1,0)</f>
        <v>0</v>
      </c>
      <c r="Y38" s="46">
        <f>SUM('Deal Cash'!AC$5:AC35)*IF($B38&gt;0,1,0)-X38</f>
        <v>0</v>
      </c>
      <c r="Z38" s="45">
        <f>SUM('Deal Cash'!AD$5:AD35)*IF($B38&gt;0,1,0)</f>
        <v>0</v>
      </c>
      <c r="AA38" s="46">
        <f>SUM('Deal Cash'!AE$5:AE35)*IF($B38&gt;0,1,0)-Z38</f>
        <v>0</v>
      </c>
      <c r="AB38" s="45">
        <f>SUM('Deal Cash'!AF$5:AF35)*IF($B38&gt;0,1,0)</f>
        <v>0</v>
      </c>
      <c r="AC38" s="46">
        <f>SUM('Deal Cash'!AG$5:AG35)*IF($B38&gt;0,1,0)-AB38</f>
        <v>0</v>
      </c>
    </row>
    <row r="40" spans="2:29" x14ac:dyDescent="0.25">
      <c r="D40" s="3" t="s">
        <v>68</v>
      </c>
    </row>
    <row r="41" spans="2:29" x14ac:dyDescent="0.25">
      <c r="D41" s="3" t="s">
        <v>69</v>
      </c>
    </row>
  </sheetData>
  <mergeCells count="26">
    <mergeCell ref="V5:W5"/>
    <mergeCell ref="L6:M6"/>
    <mergeCell ref="D5:E5"/>
    <mergeCell ref="F5:G5"/>
    <mergeCell ref="H5:I5"/>
    <mergeCell ref="J5:K5"/>
    <mergeCell ref="D6:E6"/>
    <mergeCell ref="F6:G6"/>
    <mergeCell ref="H6:I6"/>
    <mergeCell ref="J6:K6"/>
    <mergeCell ref="L5:M5"/>
    <mergeCell ref="T6:U6"/>
    <mergeCell ref="N5:O5"/>
    <mergeCell ref="P5:Q5"/>
    <mergeCell ref="R5:S5"/>
    <mergeCell ref="T5:U5"/>
    <mergeCell ref="Z6:AA6"/>
    <mergeCell ref="AB6:AC6"/>
    <mergeCell ref="X5:Y5"/>
    <mergeCell ref="Z5:AA5"/>
    <mergeCell ref="AB5:AC5"/>
    <mergeCell ref="N6:O6"/>
    <mergeCell ref="P6:Q6"/>
    <mergeCell ref="R6:S6"/>
    <mergeCell ref="V6:W6"/>
    <mergeCell ref="X6:Y6"/>
  </mergeCells>
  <phoneticPr fontId="0" type="noConversion"/>
  <pageMargins left="0.75" right="0.75" top="1" bottom="1" header="0.5" footer="0.5"/>
  <pageSetup scale="86" fitToWidth="2" orientation="landscape" horizontalDpi="355" verticalDpi="46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52"/>
  <sheetViews>
    <sheetView view="pageBreakPreview" zoomScale="60" zoomScaleNormal="75" workbookViewId="0">
      <selection activeCell="M44" sqref="M44"/>
    </sheetView>
  </sheetViews>
  <sheetFormatPr defaultColWidth="9.109375" defaultRowHeight="13.8" x14ac:dyDescent="0.25"/>
  <cols>
    <col min="1" max="1" width="3.109375" style="7" customWidth="1"/>
    <col min="2" max="2" width="21.33203125" style="7" customWidth="1"/>
    <col min="3" max="3" width="16.44140625" style="7" customWidth="1"/>
    <col min="4" max="5" width="9.44140625" style="7" customWidth="1"/>
    <col min="6" max="6" width="10.44140625" style="9" customWidth="1"/>
    <col min="7" max="7" width="14.6640625" style="12" customWidth="1"/>
    <col min="8" max="8" width="11.44140625" style="10" bestFit="1" customWidth="1"/>
    <col min="9" max="9" width="9.5546875" style="10" customWidth="1"/>
    <col min="10" max="10" width="10" style="7" customWidth="1"/>
    <col min="11" max="11" width="11.33203125" style="11" bestFit="1" customWidth="1"/>
    <col min="12" max="12" width="11.33203125" style="7" customWidth="1"/>
    <col min="13" max="13" width="14.109375" style="7" customWidth="1"/>
    <col min="14" max="14" width="5.5546875" style="7" customWidth="1"/>
    <col min="15" max="15" width="11" style="7" customWidth="1"/>
    <col min="16" max="16" width="8.6640625" style="9" customWidth="1"/>
    <col min="17" max="17" width="11" style="9" customWidth="1"/>
    <col min="18" max="18" width="11.6640625" style="9" customWidth="1"/>
    <col min="19" max="19" width="9.109375" style="9" customWidth="1"/>
    <col min="20" max="20" width="11.33203125" style="9" customWidth="1"/>
    <col min="21" max="21" width="10.5546875" style="9" bestFit="1" customWidth="1"/>
    <col min="22" max="16384" width="9.109375" style="7"/>
  </cols>
  <sheetData>
    <row r="1" spans="2:21" s="5" customFormat="1" ht="13.5" customHeight="1" thickBot="1" x14ac:dyDescent="0.3">
      <c r="F1" s="6"/>
      <c r="G1" s="27"/>
      <c r="P1" s="6"/>
      <c r="Q1" s="6"/>
      <c r="R1" s="6"/>
      <c r="S1" s="6"/>
      <c r="T1" s="6"/>
      <c r="U1" s="6"/>
    </row>
    <row r="2" spans="2:21" ht="30" customHeight="1" x14ac:dyDescent="0.3">
      <c r="B2" s="113" t="s">
        <v>67</v>
      </c>
      <c r="C2" s="114"/>
      <c r="D2" s="114"/>
      <c r="E2" s="114"/>
      <c r="F2" s="114"/>
      <c r="G2" s="114"/>
      <c r="H2" s="114"/>
      <c r="I2" s="114" t="s">
        <v>63</v>
      </c>
      <c r="J2" s="114"/>
      <c r="K2" s="115">
        <v>5</v>
      </c>
      <c r="L2" s="114"/>
      <c r="M2" s="93"/>
      <c r="O2" s="110" t="s">
        <v>88</v>
      </c>
      <c r="P2" s="102" t="s">
        <v>33</v>
      </c>
      <c r="Q2" s="103" t="s">
        <v>41</v>
      </c>
      <c r="R2" s="103" t="s">
        <v>23</v>
      </c>
      <c r="S2" s="103" t="s">
        <v>30</v>
      </c>
      <c r="T2" s="103" t="s">
        <v>8</v>
      </c>
      <c r="U2" s="100" t="s">
        <v>9</v>
      </c>
    </row>
    <row r="3" spans="2:21" ht="14.4" thickBot="1" x14ac:dyDescent="0.3">
      <c r="B3" s="58"/>
      <c r="C3" s="98"/>
      <c r="D3" s="98"/>
      <c r="E3" s="98"/>
      <c r="F3" s="98"/>
      <c r="G3" s="98"/>
      <c r="H3" s="98"/>
      <c r="I3" s="98"/>
      <c r="J3" s="98"/>
      <c r="K3" s="98"/>
      <c r="L3" s="98"/>
      <c r="M3" s="99"/>
      <c r="O3" s="111"/>
      <c r="P3" s="104"/>
      <c r="Q3" s="16"/>
      <c r="R3" s="16"/>
      <c r="S3" s="16"/>
      <c r="T3" s="16"/>
      <c r="U3" s="105"/>
    </row>
    <row r="4" spans="2:21" ht="42" thickBot="1" x14ac:dyDescent="0.3">
      <c r="B4" s="49" t="s">
        <v>0</v>
      </c>
      <c r="C4" s="50" t="s">
        <v>1</v>
      </c>
      <c r="D4" s="51" t="s">
        <v>12</v>
      </c>
      <c r="E4" s="51" t="s">
        <v>14</v>
      </c>
      <c r="F4" s="51" t="s">
        <v>46</v>
      </c>
      <c r="G4" s="52" t="s">
        <v>19</v>
      </c>
      <c r="H4" s="53" t="s">
        <v>52</v>
      </c>
      <c r="I4" s="53" t="s">
        <v>47</v>
      </c>
      <c r="J4" s="51" t="s">
        <v>48</v>
      </c>
      <c r="K4" s="54" t="s">
        <v>49</v>
      </c>
      <c r="L4" s="55" t="s">
        <v>50</v>
      </c>
      <c r="M4" s="56" t="s">
        <v>51</v>
      </c>
      <c r="N4" s="13"/>
      <c r="O4" s="112">
        <f>SUM(P4:U4)</f>
        <v>1043</v>
      </c>
      <c r="P4" s="106">
        <f t="shared" ref="P4:U4" si="0">SUM(P5:P35)</f>
        <v>41</v>
      </c>
      <c r="Q4" s="107">
        <f t="shared" si="0"/>
        <v>150</v>
      </c>
      <c r="R4" s="107">
        <f t="shared" si="0"/>
        <v>212</v>
      </c>
      <c r="S4" s="107">
        <f t="shared" si="0"/>
        <v>25</v>
      </c>
      <c r="T4" s="107">
        <f t="shared" si="0"/>
        <v>325</v>
      </c>
      <c r="U4" s="108">
        <f t="shared" si="0"/>
        <v>290</v>
      </c>
    </row>
    <row r="5" spans="2:21" x14ac:dyDescent="0.25">
      <c r="B5" s="37" t="s">
        <v>5</v>
      </c>
      <c r="C5" s="25" t="s">
        <v>41</v>
      </c>
      <c r="D5" s="30">
        <v>25</v>
      </c>
      <c r="E5" s="31" t="s">
        <v>15</v>
      </c>
      <c r="F5" s="31">
        <f>IF(E5="HLH",16,IF(E5="RTC",24,8))*D5</f>
        <v>400</v>
      </c>
      <c r="G5" s="32" t="s">
        <v>20</v>
      </c>
      <c r="H5" s="33">
        <v>311</v>
      </c>
      <c r="I5" s="33">
        <v>33</v>
      </c>
      <c r="J5" s="34">
        <f>IF((H5-I5)&gt;$K$2,H5-I5,0)</f>
        <v>278</v>
      </c>
      <c r="K5" s="35">
        <f>J5*F5</f>
        <v>111200</v>
      </c>
      <c r="L5" s="14">
        <f>F5*I5*(IF(J5&gt;0,1,0))</f>
        <v>13200</v>
      </c>
      <c r="M5" s="57">
        <f>F5*H5*IF(J5&gt;0,1,0)</f>
        <v>124400</v>
      </c>
      <c r="N5" s="109"/>
      <c r="P5" s="101">
        <f t="shared" ref="P5:U14" si="1">IF($J5&gt;0,IF($C5=P$2,$D5,0),0)</f>
        <v>0</v>
      </c>
      <c r="Q5" s="101">
        <f t="shared" si="1"/>
        <v>25</v>
      </c>
      <c r="R5" s="101">
        <f t="shared" si="1"/>
        <v>0</v>
      </c>
      <c r="S5" s="101">
        <f t="shared" si="1"/>
        <v>0</v>
      </c>
      <c r="T5" s="101">
        <f t="shared" si="1"/>
        <v>0</v>
      </c>
      <c r="U5" s="101">
        <f t="shared" si="1"/>
        <v>0</v>
      </c>
    </row>
    <row r="6" spans="2:21" x14ac:dyDescent="0.25">
      <c r="B6" s="37" t="s">
        <v>22</v>
      </c>
      <c r="C6" s="25" t="s">
        <v>23</v>
      </c>
      <c r="D6" s="36">
        <v>25</v>
      </c>
      <c r="E6" s="16" t="s">
        <v>16</v>
      </c>
      <c r="F6" s="16">
        <f t="shared" ref="F6:F35" si="2">IF(E6="HLH",16,IF(E6="RTC",24,8))*D6</f>
        <v>600</v>
      </c>
      <c r="G6" s="21" t="s">
        <v>20</v>
      </c>
      <c r="H6" s="17">
        <v>200</v>
      </c>
      <c r="I6" s="17">
        <v>34.847499999999997</v>
      </c>
      <c r="J6" s="18">
        <f t="shared" ref="J6:J35" si="3">IF((H6-I6)&gt;$K$2,H6-I6,0)</f>
        <v>165.1525</v>
      </c>
      <c r="K6" s="19">
        <f t="shared" ref="K6:K35" si="4">J6*F6</f>
        <v>99091.5</v>
      </c>
      <c r="L6" s="14">
        <f t="shared" ref="L6:L35" si="5">F6*I6*(IF(J6&gt;0,1,0))</f>
        <v>20908.499999999996</v>
      </c>
      <c r="M6" s="57">
        <f t="shared" ref="M6:M35" si="6">F6*H6*IF(J6&gt;0,1,0)</f>
        <v>120000</v>
      </c>
      <c r="N6" s="109"/>
      <c r="P6" s="101">
        <f t="shared" si="1"/>
        <v>0</v>
      </c>
      <c r="Q6" s="101">
        <f t="shared" si="1"/>
        <v>0</v>
      </c>
      <c r="R6" s="101">
        <f t="shared" si="1"/>
        <v>25</v>
      </c>
      <c r="S6" s="101">
        <f t="shared" si="1"/>
        <v>0</v>
      </c>
      <c r="T6" s="101">
        <f t="shared" si="1"/>
        <v>0</v>
      </c>
      <c r="U6" s="101">
        <f t="shared" si="1"/>
        <v>0</v>
      </c>
    </row>
    <row r="7" spans="2:21" x14ac:dyDescent="0.25">
      <c r="B7" s="37" t="s">
        <v>25</v>
      </c>
      <c r="C7" s="25" t="s">
        <v>23</v>
      </c>
      <c r="D7" s="36">
        <v>7</v>
      </c>
      <c r="E7" s="16" t="s">
        <v>16</v>
      </c>
      <c r="F7" s="16">
        <f t="shared" si="2"/>
        <v>168</v>
      </c>
      <c r="G7" s="21" t="s">
        <v>20</v>
      </c>
      <c r="H7" s="17">
        <v>187.5</v>
      </c>
      <c r="I7" s="17">
        <v>34.847499999999997</v>
      </c>
      <c r="J7" s="18">
        <f t="shared" si="3"/>
        <v>152.6525</v>
      </c>
      <c r="K7" s="19">
        <f t="shared" si="4"/>
        <v>25645.62</v>
      </c>
      <c r="L7" s="14">
        <f t="shared" si="5"/>
        <v>5854.3799999999992</v>
      </c>
      <c r="M7" s="57">
        <f t="shared" si="6"/>
        <v>31500</v>
      </c>
      <c r="N7" s="109"/>
      <c r="P7" s="101">
        <f t="shared" si="1"/>
        <v>0</v>
      </c>
      <c r="Q7" s="101">
        <f t="shared" si="1"/>
        <v>0</v>
      </c>
      <c r="R7" s="101">
        <f t="shared" si="1"/>
        <v>7</v>
      </c>
      <c r="S7" s="101">
        <f t="shared" si="1"/>
        <v>0</v>
      </c>
      <c r="T7" s="101">
        <f t="shared" si="1"/>
        <v>0</v>
      </c>
      <c r="U7" s="101">
        <f t="shared" si="1"/>
        <v>0</v>
      </c>
    </row>
    <row r="8" spans="2:21" x14ac:dyDescent="0.25">
      <c r="B8" s="37" t="s">
        <v>31</v>
      </c>
      <c r="C8" s="25" t="s">
        <v>30</v>
      </c>
      <c r="D8" s="36">
        <v>25</v>
      </c>
      <c r="E8" s="16" t="s">
        <v>15</v>
      </c>
      <c r="F8" s="16">
        <f t="shared" si="2"/>
        <v>400</v>
      </c>
      <c r="G8" s="21" t="s">
        <v>20</v>
      </c>
      <c r="H8" s="17">
        <v>180</v>
      </c>
      <c r="I8" s="17">
        <v>32</v>
      </c>
      <c r="J8" s="18">
        <f t="shared" si="3"/>
        <v>148</v>
      </c>
      <c r="K8" s="19">
        <f t="shared" si="4"/>
        <v>59200</v>
      </c>
      <c r="L8" s="14">
        <f t="shared" si="5"/>
        <v>12800</v>
      </c>
      <c r="M8" s="57">
        <f t="shared" si="6"/>
        <v>72000</v>
      </c>
      <c r="N8" s="109"/>
      <c r="P8" s="101">
        <f t="shared" si="1"/>
        <v>0</v>
      </c>
      <c r="Q8" s="101">
        <f t="shared" si="1"/>
        <v>0</v>
      </c>
      <c r="R8" s="101">
        <f t="shared" si="1"/>
        <v>0</v>
      </c>
      <c r="S8" s="101">
        <f t="shared" si="1"/>
        <v>25</v>
      </c>
      <c r="T8" s="101">
        <f t="shared" si="1"/>
        <v>0</v>
      </c>
      <c r="U8" s="101">
        <f t="shared" si="1"/>
        <v>0</v>
      </c>
    </row>
    <row r="9" spans="2:21" x14ac:dyDescent="0.25">
      <c r="B9" s="37" t="s">
        <v>24</v>
      </c>
      <c r="C9" s="25" t="s">
        <v>23</v>
      </c>
      <c r="D9" s="36">
        <v>85</v>
      </c>
      <c r="E9" s="16" t="s">
        <v>15</v>
      </c>
      <c r="F9" s="16">
        <f t="shared" si="2"/>
        <v>1360</v>
      </c>
      <c r="G9" s="21" t="s">
        <v>20</v>
      </c>
      <c r="H9" s="17">
        <v>172.05</v>
      </c>
      <c r="I9" s="17">
        <v>37.75</v>
      </c>
      <c r="J9" s="18">
        <f t="shared" si="3"/>
        <v>134.30000000000001</v>
      </c>
      <c r="K9" s="19">
        <f t="shared" si="4"/>
        <v>182648.00000000003</v>
      </c>
      <c r="L9" s="14">
        <f t="shared" si="5"/>
        <v>51340</v>
      </c>
      <c r="M9" s="57">
        <f t="shared" si="6"/>
        <v>233988.00000000003</v>
      </c>
      <c r="N9" s="109"/>
      <c r="P9" s="101">
        <f t="shared" si="1"/>
        <v>0</v>
      </c>
      <c r="Q9" s="101">
        <f t="shared" si="1"/>
        <v>0</v>
      </c>
      <c r="R9" s="101">
        <f t="shared" si="1"/>
        <v>85</v>
      </c>
      <c r="S9" s="101">
        <f t="shared" si="1"/>
        <v>0</v>
      </c>
      <c r="T9" s="101">
        <f t="shared" si="1"/>
        <v>0</v>
      </c>
      <c r="U9" s="101">
        <f t="shared" si="1"/>
        <v>0</v>
      </c>
    </row>
    <row r="10" spans="2:21" x14ac:dyDescent="0.25">
      <c r="B10" s="38" t="s">
        <v>3</v>
      </c>
      <c r="C10" s="26" t="s">
        <v>8</v>
      </c>
      <c r="D10" s="36">
        <v>25</v>
      </c>
      <c r="E10" s="16" t="s">
        <v>15</v>
      </c>
      <c r="F10" s="16">
        <f t="shared" si="2"/>
        <v>400</v>
      </c>
      <c r="G10" s="21" t="s">
        <v>20</v>
      </c>
      <c r="H10" s="22">
        <v>155</v>
      </c>
      <c r="I10" s="17">
        <v>32</v>
      </c>
      <c r="J10" s="18">
        <f t="shared" si="3"/>
        <v>123</v>
      </c>
      <c r="K10" s="19">
        <f t="shared" si="4"/>
        <v>49200</v>
      </c>
      <c r="L10" s="14">
        <f t="shared" si="5"/>
        <v>12800</v>
      </c>
      <c r="M10" s="57">
        <f t="shared" si="6"/>
        <v>62000</v>
      </c>
      <c r="N10" s="109"/>
      <c r="P10" s="101">
        <f t="shared" si="1"/>
        <v>0</v>
      </c>
      <c r="Q10" s="101">
        <f t="shared" si="1"/>
        <v>0</v>
      </c>
      <c r="R10" s="101">
        <f t="shared" si="1"/>
        <v>0</v>
      </c>
      <c r="S10" s="101">
        <f t="shared" si="1"/>
        <v>0</v>
      </c>
      <c r="T10" s="101">
        <f t="shared" si="1"/>
        <v>25</v>
      </c>
      <c r="U10" s="101">
        <f t="shared" si="1"/>
        <v>0</v>
      </c>
    </row>
    <row r="11" spans="2:21" x14ac:dyDescent="0.25">
      <c r="B11" s="37" t="s">
        <v>24</v>
      </c>
      <c r="C11" s="25" t="s">
        <v>23</v>
      </c>
      <c r="D11" s="36">
        <v>45</v>
      </c>
      <c r="E11" s="16" t="s">
        <v>17</v>
      </c>
      <c r="F11" s="16">
        <f t="shared" si="2"/>
        <v>360</v>
      </c>
      <c r="G11" s="21" t="s">
        <v>20</v>
      </c>
      <c r="H11" s="17">
        <v>134.19999999999999</v>
      </c>
      <c r="I11" s="17">
        <v>31</v>
      </c>
      <c r="J11" s="18">
        <f t="shared" si="3"/>
        <v>103.19999999999999</v>
      </c>
      <c r="K11" s="19">
        <f t="shared" si="4"/>
        <v>37151.999999999993</v>
      </c>
      <c r="L11" s="14">
        <f t="shared" si="5"/>
        <v>11160</v>
      </c>
      <c r="M11" s="57">
        <f t="shared" si="6"/>
        <v>48311.999999999993</v>
      </c>
      <c r="N11" s="109"/>
      <c r="P11" s="101">
        <f t="shared" si="1"/>
        <v>0</v>
      </c>
      <c r="Q11" s="101">
        <f t="shared" si="1"/>
        <v>0</v>
      </c>
      <c r="R11" s="101">
        <f t="shared" si="1"/>
        <v>45</v>
      </c>
      <c r="S11" s="101">
        <f t="shared" si="1"/>
        <v>0</v>
      </c>
      <c r="T11" s="101">
        <f t="shared" si="1"/>
        <v>0</v>
      </c>
      <c r="U11" s="101">
        <f t="shared" si="1"/>
        <v>0</v>
      </c>
    </row>
    <row r="12" spans="2:21" x14ac:dyDescent="0.25">
      <c r="B12" s="38" t="s">
        <v>5</v>
      </c>
      <c r="C12" s="26" t="s">
        <v>8</v>
      </c>
      <c r="D12" s="36">
        <v>125</v>
      </c>
      <c r="E12" s="16" t="s">
        <v>15</v>
      </c>
      <c r="F12" s="16">
        <f t="shared" si="2"/>
        <v>2000</v>
      </c>
      <c r="G12" s="21" t="s">
        <v>20</v>
      </c>
      <c r="H12" s="22">
        <v>121</v>
      </c>
      <c r="I12" s="17">
        <v>32</v>
      </c>
      <c r="J12" s="18">
        <f t="shared" si="3"/>
        <v>89</v>
      </c>
      <c r="K12" s="19">
        <f t="shared" si="4"/>
        <v>178000</v>
      </c>
      <c r="L12" s="14">
        <f t="shared" si="5"/>
        <v>64000</v>
      </c>
      <c r="M12" s="57">
        <f t="shared" si="6"/>
        <v>242000</v>
      </c>
      <c r="N12" s="109"/>
      <c r="P12" s="101">
        <f t="shared" si="1"/>
        <v>0</v>
      </c>
      <c r="Q12" s="101">
        <f t="shared" si="1"/>
        <v>0</v>
      </c>
      <c r="R12" s="101">
        <f t="shared" si="1"/>
        <v>0</v>
      </c>
      <c r="S12" s="101">
        <f t="shared" si="1"/>
        <v>0</v>
      </c>
      <c r="T12" s="101">
        <f t="shared" si="1"/>
        <v>125</v>
      </c>
      <c r="U12" s="101">
        <f t="shared" si="1"/>
        <v>0</v>
      </c>
    </row>
    <row r="13" spans="2:21" x14ac:dyDescent="0.25">
      <c r="B13" s="38" t="s">
        <v>5</v>
      </c>
      <c r="C13" s="26" t="s">
        <v>8</v>
      </c>
      <c r="D13" s="36">
        <v>125</v>
      </c>
      <c r="E13" s="16" t="s">
        <v>17</v>
      </c>
      <c r="F13" s="16">
        <f t="shared" si="2"/>
        <v>1000</v>
      </c>
      <c r="G13" s="21" t="s">
        <v>20</v>
      </c>
      <c r="H13" s="22">
        <v>86</v>
      </c>
      <c r="I13" s="17">
        <v>23</v>
      </c>
      <c r="J13" s="18">
        <f t="shared" si="3"/>
        <v>63</v>
      </c>
      <c r="K13" s="19">
        <f t="shared" si="4"/>
        <v>63000</v>
      </c>
      <c r="L13" s="14">
        <f t="shared" si="5"/>
        <v>23000</v>
      </c>
      <c r="M13" s="57">
        <f t="shared" si="6"/>
        <v>86000</v>
      </c>
      <c r="N13" s="109"/>
      <c r="P13" s="101">
        <f t="shared" si="1"/>
        <v>0</v>
      </c>
      <c r="Q13" s="101">
        <f t="shared" si="1"/>
        <v>0</v>
      </c>
      <c r="R13" s="101">
        <f t="shared" si="1"/>
        <v>0</v>
      </c>
      <c r="S13" s="101">
        <f t="shared" si="1"/>
        <v>0</v>
      </c>
      <c r="T13" s="101">
        <f t="shared" si="1"/>
        <v>125</v>
      </c>
      <c r="U13" s="101">
        <f t="shared" si="1"/>
        <v>0</v>
      </c>
    </row>
    <row r="14" spans="2:21" x14ac:dyDescent="0.25">
      <c r="B14" s="38" t="s">
        <v>4</v>
      </c>
      <c r="C14" s="26" t="s">
        <v>9</v>
      </c>
      <c r="D14" s="36">
        <v>150</v>
      </c>
      <c r="E14" s="16" t="s">
        <v>16</v>
      </c>
      <c r="F14" s="16">
        <f t="shared" si="2"/>
        <v>3600</v>
      </c>
      <c r="G14" s="21" t="s">
        <v>20</v>
      </c>
      <c r="H14" s="22">
        <v>82</v>
      </c>
      <c r="I14" s="17">
        <v>28.914999999999999</v>
      </c>
      <c r="J14" s="18">
        <f t="shared" si="3"/>
        <v>53.085000000000001</v>
      </c>
      <c r="K14" s="19">
        <f t="shared" si="4"/>
        <v>191106</v>
      </c>
      <c r="L14" s="14">
        <f t="shared" si="5"/>
        <v>104094</v>
      </c>
      <c r="M14" s="57">
        <f t="shared" si="6"/>
        <v>295200</v>
      </c>
      <c r="N14" s="109"/>
      <c r="P14" s="101">
        <f t="shared" si="1"/>
        <v>0</v>
      </c>
      <c r="Q14" s="101">
        <f t="shared" si="1"/>
        <v>0</v>
      </c>
      <c r="R14" s="101">
        <f t="shared" si="1"/>
        <v>0</v>
      </c>
      <c r="S14" s="101">
        <f t="shared" si="1"/>
        <v>0</v>
      </c>
      <c r="T14" s="101">
        <f t="shared" si="1"/>
        <v>0</v>
      </c>
      <c r="U14" s="101">
        <f t="shared" si="1"/>
        <v>150</v>
      </c>
    </row>
    <row r="15" spans="2:21" x14ac:dyDescent="0.25">
      <c r="B15" s="38" t="s">
        <v>6</v>
      </c>
      <c r="C15" s="26" t="s">
        <v>9</v>
      </c>
      <c r="D15" s="36">
        <v>100</v>
      </c>
      <c r="E15" s="16" t="s">
        <v>17</v>
      </c>
      <c r="F15" s="16">
        <f t="shared" si="2"/>
        <v>800</v>
      </c>
      <c r="G15" s="21" t="s">
        <v>20</v>
      </c>
      <c r="H15" s="22">
        <v>67.5</v>
      </c>
      <c r="I15" s="17">
        <v>23.5</v>
      </c>
      <c r="J15" s="18">
        <f t="shared" si="3"/>
        <v>44</v>
      </c>
      <c r="K15" s="19">
        <f t="shared" si="4"/>
        <v>35200</v>
      </c>
      <c r="L15" s="14">
        <f t="shared" si="5"/>
        <v>18800</v>
      </c>
      <c r="M15" s="57">
        <f t="shared" si="6"/>
        <v>54000</v>
      </c>
      <c r="N15" s="109"/>
      <c r="P15" s="101">
        <f t="shared" ref="P15:U24" si="7">IF($J15&gt;0,IF($C15=P$2,$D15,0),0)</f>
        <v>0</v>
      </c>
      <c r="Q15" s="101">
        <f t="shared" si="7"/>
        <v>0</v>
      </c>
      <c r="R15" s="101">
        <f t="shared" si="7"/>
        <v>0</v>
      </c>
      <c r="S15" s="101">
        <f t="shared" si="7"/>
        <v>0</v>
      </c>
      <c r="T15" s="101">
        <f t="shared" si="7"/>
        <v>0</v>
      </c>
      <c r="U15" s="101">
        <f t="shared" si="7"/>
        <v>100</v>
      </c>
    </row>
    <row r="16" spans="2:21" x14ac:dyDescent="0.25">
      <c r="B16" s="37" t="s">
        <v>37</v>
      </c>
      <c r="C16" s="25" t="s">
        <v>33</v>
      </c>
      <c r="D16" s="36">
        <v>10</v>
      </c>
      <c r="E16" s="16" t="s">
        <v>15</v>
      </c>
      <c r="F16" s="16">
        <f t="shared" si="2"/>
        <v>160</v>
      </c>
      <c r="G16" s="21" t="s">
        <v>34</v>
      </c>
      <c r="H16" s="17">
        <v>64</v>
      </c>
      <c r="I16" s="17">
        <v>32</v>
      </c>
      <c r="J16" s="18">
        <f t="shared" si="3"/>
        <v>32</v>
      </c>
      <c r="K16" s="19">
        <f t="shared" si="4"/>
        <v>5120</v>
      </c>
      <c r="L16" s="14">
        <f t="shared" si="5"/>
        <v>5120</v>
      </c>
      <c r="M16" s="57">
        <f t="shared" si="6"/>
        <v>10240</v>
      </c>
      <c r="N16" s="109"/>
      <c r="P16" s="101">
        <f t="shared" si="7"/>
        <v>10</v>
      </c>
      <c r="Q16" s="101">
        <f t="shared" si="7"/>
        <v>0</v>
      </c>
      <c r="R16" s="101">
        <f t="shared" si="7"/>
        <v>0</v>
      </c>
      <c r="S16" s="101">
        <f t="shared" si="7"/>
        <v>0</v>
      </c>
      <c r="T16" s="101">
        <f t="shared" si="7"/>
        <v>0</v>
      </c>
      <c r="U16" s="101">
        <f t="shared" si="7"/>
        <v>0</v>
      </c>
    </row>
    <row r="17" spans="2:21" x14ac:dyDescent="0.25">
      <c r="B17" s="38" t="s">
        <v>2</v>
      </c>
      <c r="C17" s="26" t="s">
        <v>8</v>
      </c>
      <c r="D17" s="36">
        <v>50</v>
      </c>
      <c r="E17" s="16" t="s">
        <v>15</v>
      </c>
      <c r="F17" s="16">
        <f t="shared" si="2"/>
        <v>800</v>
      </c>
      <c r="G17" s="21" t="s">
        <v>20</v>
      </c>
      <c r="H17" s="22">
        <v>58</v>
      </c>
      <c r="I17" s="17">
        <v>32</v>
      </c>
      <c r="J17" s="18">
        <f t="shared" si="3"/>
        <v>26</v>
      </c>
      <c r="K17" s="19">
        <f t="shared" si="4"/>
        <v>20800</v>
      </c>
      <c r="L17" s="14">
        <f t="shared" si="5"/>
        <v>25600</v>
      </c>
      <c r="M17" s="57">
        <f t="shared" si="6"/>
        <v>46400</v>
      </c>
      <c r="N17" s="109"/>
      <c r="P17" s="101">
        <f t="shared" si="7"/>
        <v>0</v>
      </c>
      <c r="Q17" s="101">
        <f t="shared" si="7"/>
        <v>0</v>
      </c>
      <c r="R17" s="101">
        <f t="shared" si="7"/>
        <v>0</v>
      </c>
      <c r="S17" s="101">
        <f t="shared" si="7"/>
        <v>0</v>
      </c>
      <c r="T17" s="101">
        <f t="shared" si="7"/>
        <v>50</v>
      </c>
      <c r="U17" s="101">
        <f t="shared" si="7"/>
        <v>0</v>
      </c>
    </row>
    <row r="18" spans="2:21" x14ac:dyDescent="0.25">
      <c r="B18" s="37" t="s">
        <v>43</v>
      </c>
      <c r="C18" s="25" t="s">
        <v>41</v>
      </c>
      <c r="D18" s="36">
        <v>25</v>
      </c>
      <c r="E18" s="16" t="s">
        <v>17</v>
      </c>
      <c r="F18" s="16">
        <f t="shared" si="2"/>
        <v>200</v>
      </c>
      <c r="G18" s="21" t="s">
        <v>20</v>
      </c>
      <c r="H18" s="17">
        <v>43</v>
      </c>
      <c r="I18" s="17">
        <v>26</v>
      </c>
      <c r="J18" s="18">
        <f t="shared" si="3"/>
        <v>17</v>
      </c>
      <c r="K18" s="19">
        <f t="shared" si="4"/>
        <v>3400</v>
      </c>
      <c r="L18" s="14">
        <f t="shared" si="5"/>
        <v>5200</v>
      </c>
      <c r="M18" s="57">
        <f t="shared" si="6"/>
        <v>8600</v>
      </c>
      <c r="N18" s="109"/>
      <c r="P18" s="101">
        <f t="shared" si="7"/>
        <v>0</v>
      </c>
      <c r="Q18" s="101">
        <f t="shared" si="7"/>
        <v>25</v>
      </c>
      <c r="R18" s="101">
        <f t="shared" si="7"/>
        <v>0</v>
      </c>
      <c r="S18" s="101">
        <f t="shared" si="7"/>
        <v>0</v>
      </c>
      <c r="T18" s="101">
        <f t="shared" si="7"/>
        <v>0</v>
      </c>
      <c r="U18" s="101">
        <f t="shared" si="7"/>
        <v>0</v>
      </c>
    </row>
    <row r="19" spans="2:21" x14ac:dyDescent="0.25">
      <c r="B19" s="37" t="s">
        <v>43</v>
      </c>
      <c r="C19" s="25" t="s">
        <v>41</v>
      </c>
      <c r="D19" s="36">
        <v>25</v>
      </c>
      <c r="E19" s="16" t="s">
        <v>17</v>
      </c>
      <c r="F19" s="16">
        <f t="shared" si="2"/>
        <v>200</v>
      </c>
      <c r="G19" s="21" t="s">
        <v>20</v>
      </c>
      <c r="H19" s="17">
        <v>43</v>
      </c>
      <c r="I19" s="17">
        <v>26</v>
      </c>
      <c r="J19" s="18">
        <f t="shared" si="3"/>
        <v>17</v>
      </c>
      <c r="K19" s="19">
        <f t="shared" si="4"/>
        <v>3400</v>
      </c>
      <c r="L19" s="14">
        <f t="shared" si="5"/>
        <v>5200</v>
      </c>
      <c r="M19" s="57">
        <f t="shared" si="6"/>
        <v>8600</v>
      </c>
      <c r="N19" s="109"/>
      <c r="P19" s="101">
        <f t="shared" si="7"/>
        <v>0</v>
      </c>
      <c r="Q19" s="101">
        <f t="shared" si="7"/>
        <v>25</v>
      </c>
      <c r="R19" s="101">
        <f t="shared" si="7"/>
        <v>0</v>
      </c>
      <c r="S19" s="101">
        <f t="shared" si="7"/>
        <v>0</v>
      </c>
      <c r="T19" s="101">
        <f t="shared" si="7"/>
        <v>0</v>
      </c>
      <c r="U19" s="101">
        <f t="shared" si="7"/>
        <v>0</v>
      </c>
    </row>
    <row r="20" spans="2:21" x14ac:dyDescent="0.25">
      <c r="B20" s="37" t="s">
        <v>43</v>
      </c>
      <c r="C20" s="25" t="s">
        <v>41</v>
      </c>
      <c r="D20" s="36">
        <v>25</v>
      </c>
      <c r="E20" s="16" t="s">
        <v>17</v>
      </c>
      <c r="F20" s="16">
        <f t="shared" si="2"/>
        <v>200</v>
      </c>
      <c r="G20" s="21" t="s">
        <v>20</v>
      </c>
      <c r="H20" s="17">
        <v>42.75</v>
      </c>
      <c r="I20" s="17">
        <v>26</v>
      </c>
      <c r="J20" s="18">
        <f t="shared" si="3"/>
        <v>16.75</v>
      </c>
      <c r="K20" s="19">
        <f t="shared" si="4"/>
        <v>3350</v>
      </c>
      <c r="L20" s="14">
        <f t="shared" si="5"/>
        <v>5200</v>
      </c>
      <c r="M20" s="57">
        <f t="shared" si="6"/>
        <v>8550</v>
      </c>
      <c r="N20" s="109"/>
      <c r="P20" s="101">
        <f t="shared" si="7"/>
        <v>0</v>
      </c>
      <c r="Q20" s="101">
        <f t="shared" si="7"/>
        <v>25</v>
      </c>
      <c r="R20" s="101">
        <f t="shared" si="7"/>
        <v>0</v>
      </c>
      <c r="S20" s="101">
        <f t="shared" si="7"/>
        <v>0</v>
      </c>
      <c r="T20" s="101">
        <f t="shared" si="7"/>
        <v>0</v>
      </c>
      <c r="U20" s="101">
        <f t="shared" si="7"/>
        <v>0</v>
      </c>
    </row>
    <row r="21" spans="2:21" x14ac:dyDescent="0.25">
      <c r="B21" s="37" t="s">
        <v>38</v>
      </c>
      <c r="C21" s="25" t="s">
        <v>33</v>
      </c>
      <c r="D21" s="36">
        <v>6</v>
      </c>
      <c r="E21" s="16" t="s">
        <v>16</v>
      </c>
      <c r="F21" s="16">
        <f t="shared" si="2"/>
        <v>144</v>
      </c>
      <c r="G21" s="21" t="s">
        <v>39</v>
      </c>
      <c r="H21" s="17">
        <v>44.2</v>
      </c>
      <c r="I21" s="17">
        <v>29.42</v>
      </c>
      <c r="J21" s="18">
        <f t="shared" si="3"/>
        <v>14.780000000000001</v>
      </c>
      <c r="K21" s="19">
        <f t="shared" si="4"/>
        <v>2128.3200000000002</v>
      </c>
      <c r="L21" s="14">
        <f t="shared" si="5"/>
        <v>4236.4800000000005</v>
      </c>
      <c r="M21" s="57">
        <f t="shared" si="6"/>
        <v>6364.8</v>
      </c>
      <c r="N21" s="109"/>
      <c r="P21" s="101">
        <f t="shared" si="7"/>
        <v>6</v>
      </c>
      <c r="Q21" s="101">
        <f t="shared" si="7"/>
        <v>0</v>
      </c>
      <c r="R21" s="101">
        <f t="shared" si="7"/>
        <v>0</v>
      </c>
      <c r="S21" s="101">
        <f t="shared" si="7"/>
        <v>0</v>
      </c>
      <c r="T21" s="101">
        <f t="shared" si="7"/>
        <v>0</v>
      </c>
      <c r="U21" s="101">
        <f t="shared" si="7"/>
        <v>0</v>
      </c>
    </row>
    <row r="22" spans="2:21" x14ac:dyDescent="0.25">
      <c r="B22" s="37" t="s">
        <v>26</v>
      </c>
      <c r="C22" s="25" t="s">
        <v>23</v>
      </c>
      <c r="D22" s="36">
        <v>50</v>
      </c>
      <c r="E22" s="16" t="s">
        <v>16</v>
      </c>
      <c r="F22" s="16">
        <f t="shared" si="2"/>
        <v>1200</v>
      </c>
      <c r="G22" s="21" t="s">
        <v>27</v>
      </c>
      <c r="H22" s="17">
        <v>49</v>
      </c>
      <c r="I22" s="17">
        <v>34.847499999999997</v>
      </c>
      <c r="J22" s="18">
        <f t="shared" si="3"/>
        <v>14.152500000000003</v>
      </c>
      <c r="K22" s="19">
        <f t="shared" si="4"/>
        <v>16983.000000000004</v>
      </c>
      <c r="L22" s="14">
        <f t="shared" si="5"/>
        <v>41816.999999999993</v>
      </c>
      <c r="M22" s="57">
        <f t="shared" si="6"/>
        <v>58800</v>
      </c>
      <c r="N22" s="109"/>
      <c r="P22" s="101">
        <f t="shared" si="7"/>
        <v>0</v>
      </c>
      <c r="Q22" s="101">
        <f t="shared" si="7"/>
        <v>0</v>
      </c>
      <c r="R22" s="101">
        <f t="shared" si="7"/>
        <v>50</v>
      </c>
      <c r="S22" s="101">
        <f t="shared" si="7"/>
        <v>0</v>
      </c>
      <c r="T22" s="101">
        <f t="shared" si="7"/>
        <v>0</v>
      </c>
      <c r="U22" s="101">
        <f t="shared" si="7"/>
        <v>0</v>
      </c>
    </row>
    <row r="23" spans="2:21" x14ac:dyDescent="0.25">
      <c r="B23" s="37" t="s">
        <v>44</v>
      </c>
      <c r="C23" s="25" t="s">
        <v>41</v>
      </c>
      <c r="D23" s="36">
        <v>50</v>
      </c>
      <c r="E23" s="16" t="s">
        <v>15</v>
      </c>
      <c r="F23" s="16">
        <f t="shared" si="2"/>
        <v>800</v>
      </c>
      <c r="G23" s="21" t="s">
        <v>45</v>
      </c>
      <c r="H23" s="17">
        <v>47.15</v>
      </c>
      <c r="I23" s="17">
        <v>33</v>
      </c>
      <c r="J23" s="18">
        <f t="shared" si="3"/>
        <v>14.149999999999999</v>
      </c>
      <c r="K23" s="19">
        <f t="shared" si="4"/>
        <v>11319.999999999998</v>
      </c>
      <c r="L23" s="14">
        <f t="shared" si="5"/>
        <v>26400</v>
      </c>
      <c r="M23" s="57">
        <f t="shared" si="6"/>
        <v>37720</v>
      </c>
      <c r="N23" s="109"/>
      <c r="P23" s="101">
        <f t="shared" si="7"/>
        <v>0</v>
      </c>
      <c r="Q23" s="101">
        <f t="shared" si="7"/>
        <v>50</v>
      </c>
      <c r="R23" s="101">
        <f t="shared" si="7"/>
        <v>0</v>
      </c>
      <c r="S23" s="101">
        <f t="shared" si="7"/>
        <v>0</v>
      </c>
      <c r="T23" s="101">
        <f t="shared" si="7"/>
        <v>0</v>
      </c>
      <c r="U23" s="101">
        <f t="shared" si="7"/>
        <v>0</v>
      </c>
    </row>
    <row r="24" spans="2:21" x14ac:dyDescent="0.25">
      <c r="B24" s="38" t="s">
        <v>11</v>
      </c>
      <c r="C24" s="26" t="s">
        <v>10</v>
      </c>
      <c r="D24" s="36">
        <v>25</v>
      </c>
      <c r="E24" s="16" t="s">
        <v>16</v>
      </c>
      <c r="F24" s="16">
        <f t="shared" si="2"/>
        <v>600</v>
      </c>
      <c r="G24" s="21" t="s">
        <v>21</v>
      </c>
      <c r="H24" s="22">
        <v>45</v>
      </c>
      <c r="I24" s="17">
        <v>33</v>
      </c>
      <c r="J24" s="18">
        <f t="shared" si="3"/>
        <v>12</v>
      </c>
      <c r="K24" s="19">
        <f t="shared" si="4"/>
        <v>7200</v>
      </c>
      <c r="L24" s="14">
        <f t="shared" si="5"/>
        <v>19800</v>
      </c>
      <c r="M24" s="57">
        <f t="shared" si="6"/>
        <v>27000</v>
      </c>
      <c r="N24" s="109"/>
      <c r="P24" s="101">
        <f t="shared" si="7"/>
        <v>0</v>
      </c>
      <c r="Q24" s="101">
        <f t="shared" si="7"/>
        <v>0</v>
      </c>
      <c r="R24" s="101">
        <f t="shared" si="7"/>
        <v>0</v>
      </c>
      <c r="S24" s="101">
        <f t="shared" si="7"/>
        <v>0</v>
      </c>
      <c r="T24" s="101">
        <f t="shared" si="7"/>
        <v>0</v>
      </c>
      <c r="U24" s="101">
        <f t="shared" si="7"/>
        <v>0</v>
      </c>
    </row>
    <row r="25" spans="2:21" x14ac:dyDescent="0.25">
      <c r="B25" s="38" t="s">
        <v>7</v>
      </c>
      <c r="C25" s="26" t="s">
        <v>9</v>
      </c>
      <c r="D25" s="36">
        <v>40</v>
      </c>
      <c r="E25" s="16" t="s">
        <v>16</v>
      </c>
      <c r="F25" s="16">
        <f t="shared" si="2"/>
        <v>960</v>
      </c>
      <c r="G25" s="21" t="s">
        <v>20</v>
      </c>
      <c r="H25" s="22">
        <v>39.33</v>
      </c>
      <c r="I25" s="17">
        <v>28.914999999999999</v>
      </c>
      <c r="J25" s="18">
        <f t="shared" si="3"/>
        <v>10.414999999999999</v>
      </c>
      <c r="K25" s="19">
        <f t="shared" si="4"/>
        <v>9998.4</v>
      </c>
      <c r="L25" s="14">
        <f t="shared" si="5"/>
        <v>27758.399999999998</v>
      </c>
      <c r="M25" s="57">
        <f t="shared" si="6"/>
        <v>37756.799999999996</v>
      </c>
      <c r="N25" s="109"/>
      <c r="P25" s="101">
        <f t="shared" ref="P25:U35" si="8">IF($J25&gt;0,IF($C25=P$2,$D25,0),0)</f>
        <v>0</v>
      </c>
      <c r="Q25" s="101">
        <f t="shared" si="8"/>
        <v>0</v>
      </c>
      <c r="R25" s="101">
        <f t="shared" si="8"/>
        <v>0</v>
      </c>
      <c r="S25" s="101">
        <f t="shared" si="8"/>
        <v>0</v>
      </c>
      <c r="T25" s="101">
        <f t="shared" si="8"/>
        <v>0</v>
      </c>
      <c r="U25" s="101">
        <f t="shared" si="8"/>
        <v>40</v>
      </c>
    </row>
    <row r="26" spans="2:21" x14ac:dyDescent="0.25">
      <c r="B26" s="37" t="s">
        <v>32</v>
      </c>
      <c r="C26" s="25" t="s">
        <v>33</v>
      </c>
      <c r="D26" s="36">
        <v>25</v>
      </c>
      <c r="E26" s="16" t="s">
        <v>15</v>
      </c>
      <c r="F26" s="16">
        <f t="shared" si="2"/>
        <v>400</v>
      </c>
      <c r="G26" s="21" t="s">
        <v>34</v>
      </c>
      <c r="H26" s="17">
        <v>37.15</v>
      </c>
      <c r="I26" s="17">
        <v>32</v>
      </c>
      <c r="J26" s="18">
        <f t="shared" si="3"/>
        <v>5.1499999999999986</v>
      </c>
      <c r="K26" s="19">
        <f t="shared" si="4"/>
        <v>2059.9999999999995</v>
      </c>
      <c r="L26" s="14">
        <f t="shared" si="5"/>
        <v>12800</v>
      </c>
      <c r="M26" s="57">
        <f t="shared" si="6"/>
        <v>14860</v>
      </c>
      <c r="N26" s="109"/>
      <c r="P26" s="101">
        <f t="shared" si="8"/>
        <v>25</v>
      </c>
      <c r="Q26" s="101">
        <f t="shared" si="8"/>
        <v>0</v>
      </c>
      <c r="R26" s="101">
        <f t="shared" si="8"/>
        <v>0</v>
      </c>
      <c r="S26" s="101">
        <f t="shared" si="8"/>
        <v>0</v>
      </c>
      <c r="T26" s="101">
        <f t="shared" si="8"/>
        <v>0</v>
      </c>
      <c r="U26" s="101">
        <f t="shared" si="8"/>
        <v>0</v>
      </c>
    </row>
    <row r="27" spans="2:21" x14ac:dyDescent="0.25">
      <c r="B27" s="37" t="s">
        <v>29</v>
      </c>
      <c r="C27" s="25" t="s">
        <v>30</v>
      </c>
      <c r="D27" s="36">
        <v>93</v>
      </c>
      <c r="E27" s="16" t="s">
        <v>17</v>
      </c>
      <c r="F27" s="16">
        <f t="shared" si="2"/>
        <v>744</v>
      </c>
      <c r="G27" s="21" t="s">
        <v>20</v>
      </c>
      <c r="H27" s="17">
        <v>23.06</v>
      </c>
      <c r="I27" s="17">
        <v>30</v>
      </c>
      <c r="J27" s="18">
        <f t="shared" si="3"/>
        <v>0</v>
      </c>
      <c r="K27" s="19">
        <f t="shared" si="4"/>
        <v>0</v>
      </c>
      <c r="L27" s="14">
        <f t="shared" si="5"/>
        <v>0</v>
      </c>
      <c r="M27" s="57">
        <f t="shared" si="6"/>
        <v>0</v>
      </c>
      <c r="N27" s="109"/>
      <c r="P27" s="101">
        <f t="shared" si="8"/>
        <v>0</v>
      </c>
      <c r="Q27" s="101">
        <f t="shared" si="8"/>
        <v>0</v>
      </c>
      <c r="R27" s="101">
        <f t="shared" si="8"/>
        <v>0</v>
      </c>
      <c r="S27" s="101">
        <f t="shared" si="8"/>
        <v>0</v>
      </c>
      <c r="T27" s="101">
        <f t="shared" si="8"/>
        <v>0</v>
      </c>
      <c r="U27" s="101">
        <f t="shared" si="8"/>
        <v>0</v>
      </c>
    </row>
    <row r="28" spans="2:21" x14ac:dyDescent="0.25">
      <c r="B28" s="38" t="s">
        <v>13</v>
      </c>
      <c r="C28" s="26" t="s">
        <v>8</v>
      </c>
      <c r="D28" s="36">
        <v>25</v>
      </c>
      <c r="E28" s="16" t="s">
        <v>17</v>
      </c>
      <c r="F28" s="16">
        <f t="shared" si="2"/>
        <v>200</v>
      </c>
      <c r="G28" s="21" t="s">
        <v>20</v>
      </c>
      <c r="H28" s="22">
        <v>19.25</v>
      </c>
      <c r="I28" s="17">
        <v>23</v>
      </c>
      <c r="J28" s="18">
        <f t="shared" si="3"/>
        <v>0</v>
      </c>
      <c r="K28" s="19">
        <f t="shared" si="4"/>
        <v>0</v>
      </c>
      <c r="L28" s="14">
        <f t="shared" si="5"/>
        <v>0</v>
      </c>
      <c r="M28" s="57">
        <f t="shared" si="6"/>
        <v>0</v>
      </c>
      <c r="N28" s="109"/>
      <c r="P28" s="101">
        <f t="shared" si="8"/>
        <v>0</v>
      </c>
      <c r="Q28" s="101">
        <f t="shared" si="8"/>
        <v>0</v>
      </c>
      <c r="R28" s="101">
        <f t="shared" si="8"/>
        <v>0</v>
      </c>
      <c r="S28" s="101">
        <f t="shared" si="8"/>
        <v>0</v>
      </c>
      <c r="T28" s="101">
        <f t="shared" si="8"/>
        <v>0</v>
      </c>
      <c r="U28" s="101">
        <f t="shared" si="8"/>
        <v>0</v>
      </c>
    </row>
    <row r="29" spans="2:21" x14ac:dyDescent="0.25">
      <c r="B29" s="37" t="s">
        <v>29</v>
      </c>
      <c r="C29" s="25" t="s">
        <v>23</v>
      </c>
      <c r="D29" s="36">
        <v>60</v>
      </c>
      <c r="E29" s="16" t="s">
        <v>15</v>
      </c>
      <c r="F29" s="16">
        <f t="shared" si="2"/>
        <v>960</v>
      </c>
      <c r="G29" s="21" t="s">
        <v>20</v>
      </c>
      <c r="H29" s="17">
        <v>34.130000000000003</v>
      </c>
      <c r="I29" s="17">
        <v>37.75</v>
      </c>
      <c r="J29" s="18">
        <f t="shared" si="3"/>
        <v>0</v>
      </c>
      <c r="K29" s="19">
        <f t="shared" si="4"/>
        <v>0</v>
      </c>
      <c r="L29" s="14">
        <f t="shared" si="5"/>
        <v>0</v>
      </c>
      <c r="M29" s="57">
        <f t="shared" si="6"/>
        <v>0</v>
      </c>
      <c r="N29" s="109"/>
      <c r="P29" s="101">
        <f t="shared" si="8"/>
        <v>0</v>
      </c>
      <c r="Q29" s="101">
        <f t="shared" si="8"/>
        <v>0</v>
      </c>
      <c r="R29" s="101">
        <f t="shared" si="8"/>
        <v>0</v>
      </c>
      <c r="S29" s="101">
        <f t="shared" si="8"/>
        <v>0</v>
      </c>
      <c r="T29" s="101">
        <f t="shared" si="8"/>
        <v>0</v>
      </c>
      <c r="U29" s="101">
        <f t="shared" si="8"/>
        <v>0</v>
      </c>
    </row>
    <row r="30" spans="2:21" x14ac:dyDescent="0.25">
      <c r="B30" s="37" t="s">
        <v>28</v>
      </c>
      <c r="C30" s="25" t="s">
        <v>23</v>
      </c>
      <c r="D30" s="36">
        <v>50</v>
      </c>
      <c r="E30" s="16" t="s">
        <v>17</v>
      </c>
      <c r="F30" s="16">
        <f t="shared" si="2"/>
        <v>400</v>
      </c>
      <c r="G30" s="21" t="s">
        <v>20</v>
      </c>
      <c r="H30" s="17">
        <v>33.75</v>
      </c>
      <c r="I30" s="17">
        <v>31</v>
      </c>
      <c r="J30" s="18">
        <f t="shared" si="3"/>
        <v>0</v>
      </c>
      <c r="K30" s="19">
        <f t="shared" si="4"/>
        <v>0</v>
      </c>
      <c r="L30" s="14">
        <f t="shared" si="5"/>
        <v>0</v>
      </c>
      <c r="M30" s="57">
        <f t="shared" si="6"/>
        <v>0</v>
      </c>
      <c r="N30" s="109"/>
      <c r="P30" s="101">
        <f t="shared" si="8"/>
        <v>0</v>
      </c>
      <c r="Q30" s="101">
        <f t="shared" si="8"/>
        <v>0</v>
      </c>
      <c r="R30" s="101">
        <f t="shared" si="8"/>
        <v>0</v>
      </c>
      <c r="S30" s="101">
        <f t="shared" si="8"/>
        <v>0</v>
      </c>
      <c r="T30" s="101">
        <f t="shared" si="8"/>
        <v>0</v>
      </c>
      <c r="U30" s="101">
        <f t="shared" si="8"/>
        <v>0</v>
      </c>
    </row>
    <row r="31" spans="2:21" x14ac:dyDescent="0.25">
      <c r="B31" s="37" t="s">
        <v>29</v>
      </c>
      <c r="C31" s="25" t="s">
        <v>23</v>
      </c>
      <c r="D31" s="36">
        <v>40</v>
      </c>
      <c r="E31" s="16" t="s">
        <v>17</v>
      </c>
      <c r="F31" s="16">
        <f t="shared" si="2"/>
        <v>320</v>
      </c>
      <c r="G31" s="21" t="s">
        <v>20</v>
      </c>
      <c r="H31" s="17">
        <v>28.15</v>
      </c>
      <c r="I31" s="17">
        <v>31</v>
      </c>
      <c r="J31" s="18">
        <f t="shared" si="3"/>
        <v>0</v>
      </c>
      <c r="K31" s="19">
        <f t="shared" si="4"/>
        <v>0</v>
      </c>
      <c r="L31" s="14">
        <f t="shared" si="5"/>
        <v>0</v>
      </c>
      <c r="M31" s="57">
        <f t="shared" si="6"/>
        <v>0</v>
      </c>
      <c r="N31" s="109"/>
      <c r="P31" s="101">
        <f t="shared" si="8"/>
        <v>0</v>
      </c>
      <c r="Q31" s="101">
        <f t="shared" si="8"/>
        <v>0</v>
      </c>
      <c r="R31" s="101">
        <f t="shared" si="8"/>
        <v>0</v>
      </c>
      <c r="S31" s="101">
        <f t="shared" si="8"/>
        <v>0</v>
      </c>
      <c r="T31" s="101">
        <f t="shared" si="8"/>
        <v>0</v>
      </c>
      <c r="U31" s="101">
        <f t="shared" si="8"/>
        <v>0</v>
      </c>
    </row>
    <row r="32" spans="2:21" x14ac:dyDescent="0.25">
      <c r="B32" s="37" t="s">
        <v>35</v>
      </c>
      <c r="C32" s="25" t="s">
        <v>33</v>
      </c>
      <c r="D32" s="36">
        <v>5</v>
      </c>
      <c r="E32" s="16" t="s">
        <v>16</v>
      </c>
      <c r="F32" s="16">
        <f t="shared" si="2"/>
        <v>120</v>
      </c>
      <c r="G32" s="21" t="s">
        <v>36</v>
      </c>
      <c r="H32" s="17">
        <v>23.7</v>
      </c>
      <c r="I32" s="17">
        <v>29.42</v>
      </c>
      <c r="J32" s="18">
        <f t="shared" si="3"/>
        <v>0</v>
      </c>
      <c r="K32" s="19">
        <f t="shared" si="4"/>
        <v>0</v>
      </c>
      <c r="L32" s="14">
        <f t="shared" si="5"/>
        <v>0</v>
      </c>
      <c r="M32" s="57">
        <f t="shared" si="6"/>
        <v>0</v>
      </c>
      <c r="N32" s="109"/>
      <c r="P32" s="101">
        <f t="shared" si="8"/>
        <v>0</v>
      </c>
      <c r="Q32" s="101">
        <f t="shared" si="8"/>
        <v>0</v>
      </c>
      <c r="R32" s="101">
        <f t="shared" si="8"/>
        <v>0</v>
      </c>
      <c r="S32" s="101">
        <f t="shared" si="8"/>
        <v>0</v>
      </c>
      <c r="T32" s="101">
        <f t="shared" si="8"/>
        <v>0</v>
      </c>
      <c r="U32" s="101">
        <f t="shared" si="8"/>
        <v>0</v>
      </c>
    </row>
    <row r="33" spans="2:21" x14ac:dyDescent="0.25">
      <c r="B33" s="38" t="s">
        <v>2</v>
      </c>
      <c r="C33" s="26" t="s">
        <v>9</v>
      </c>
      <c r="D33" s="36">
        <v>50</v>
      </c>
      <c r="E33" s="16" t="s">
        <v>18</v>
      </c>
      <c r="F33" s="16">
        <f t="shared" si="2"/>
        <v>400</v>
      </c>
      <c r="G33" s="21" t="s">
        <v>20</v>
      </c>
      <c r="H33" s="22">
        <v>19.5</v>
      </c>
      <c r="I33" s="17">
        <v>23.5</v>
      </c>
      <c r="J33" s="18">
        <f t="shared" si="3"/>
        <v>0</v>
      </c>
      <c r="K33" s="19">
        <f t="shared" si="4"/>
        <v>0</v>
      </c>
      <c r="L33" s="14">
        <f t="shared" si="5"/>
        <v>0</v>
      </c>
      <c r="M33" s="57">
        <f t="shared" si="6"/>
        <v>0</v>
      </c>
      <c r="N33" s="109"/>
      <c r="P33" s="101">
        <f t="shared" si="8"/>
        <v>0</v>
      </c>
      <c r="Q33" s="101">
        <f t="shared" si="8"/>
        <v>0</v>
      </c>
      <c r="R33" s="101">
        <f t="shared" si="8"/>
        <v>0</v>
      </c>
      <c r="S33" s="101">
        <f t="shared" si="8"/>
        <v>0</v>
      </c>
      <c r="T33" s="101">
        <f t="shared" si="8"/>
        <v>0</v>
      </c>
      <c r="U33" s="101">
        <f t="shared" si="8"/>
        <v>0</v>
      </c>
    </row>
    <row r="34" spans="2:21" x14ac:dyDescent="0.25">
      <c r="B34" s="37" t="s">
        <v>43</v>
      </c>
      <c r="C34" s="25" t="s">
        <v>41</v>
      </c>
      <c r="D34" s="36">
        <v>25</v>
      </c>
      <c r="E34" s="16" t="s">
        <v>17</v>
      </c>
      <c r="F34" s="16">
        <f t="shared" si="2"/>
        <v>200</v>
      </c>
      <c r="G34" s="21" t="s">
        <v>20</v>
      </c>
      <c r="H34" s="17">
        <v>27.25</v>
      </c>
      <c r="I34" s="17">
        <v>26</v>
      </c>
      <c r="J34" s="18">
        <f t="shared" si="3"/>
        <v>0</v>
      </c>
      <c r="K34" s="19">
        <f t="shared" si="4"/>
        <v>0</v>
      </c>
      <c r="L34" s="14">
        <f t="shared" si="5"/>
        <v>0</v>
      </c>
      <c r="M34" s="57">
        <f t="shared" si="6"/>
        <v>0</v>
      </c>
      <c r="N34" s="109"/>
      <c r="P34" s="101">
        <f t="shared" si="8"/>
        <v>0</v>
      </c>
      <c r="Q34" s="101">
        <f t="shared" si="8"/>
        <v>0</v>
      </c>
      <c r="R34" s="101">
        <f t="shared" si="8"/>
        <v>0</v>
      </c>
      <c r="S34" s="101">
        <f t="shared" si="8"/>
        <v>0</v>
      </c>
      <c r="T34" s="101">
        <f t="shared" si="8"/>
        <v>0</v>
      </c>
      <c r="U34" s="101">
        <f t="shared" si="8"/>
        <v>0</v>
      </c>
    </row>
    <row r="35" spans="2:21" ht="14.4" thickBot="1" x14ac:dyDescent="0.3">
      <c r="B35" s="58" t="s">
        <v>40</v>
      </c>
      <c r="C35" s="59" t="s">
        <v>41</v>
      </c>
      <c r="D35" s="60">
        <v>176</v>
      </c>
      <c r="E35" s="61" t="s">
        <v>16</v>
      </c>
      <c r="F35" s="61">
        <f t="shared" si="2"/>
        <v>4224</v>
      </c>
      <c r="G35" s="62" t="s">
        <v>42</v>
      </c>
      <c r="H35" s="63">
        <v>24.73</v>
      </c>
      <c r="I35" s="63">
        <v>29.99</v>
      </c>
      <c r="J35" s="64">
        <f t="shared" si="3"/>
        <v>0</v>
      </c>
      <c r="K35" s="65">
        <f t="shared" si="4"/>
        <v>0</v>
      </c>
      <c r="L35" s="66">
        <f t="shared" si="5"/>
        <v>0</v>
      </c>
      <c r="M35" s="67">
        <f t="shared" si="6"/>
        <v>0</v>
      </c>
      <c r="N35" s="109"/>
      <c r="P35" s="101">
        <f t="shared" si="8"/>
        <v>0</v>
      </c>
      <c r="Q35" s="101">
        <f t="shared" si="8"/>
        <v>0</v>
      </c>
      <c r="R35" s="101">
        <f t="shared" si="8"/>
        <v>0</v>
      </c>
      <c r="S35" s="101">
        <f t="shared" si="8"/>
        <v>0</v>
      </c>
      <c r="T35" s="101">
        <f t="shared" si="8"/>
        <v>0</v>
      </c>
      <c r="U35" s="101">
        <f t="shared" si="8"/>
        <v>0</v>
      </c>
    </row>
    <row r="37" spans="2:21" ht="14.4" thickBot="1" x14ac:dyDescent="0.3"/>
    <row r="38" spans="2:21" ht="16.2" thickBot="1" x14ac:dyDescent="0.35">
      <c r="B38" s="127" t="s">
        <v>87</v>
      </c>
      <c r="C38" s="128"/>
      <c r="D38" s="128"/>
      <c r="E38" s="128"/>
      <c r="F38" s="129"/>
    </row>
    <row r="39" spans="2:21" x14ac:dyDescent="0.25">
      <c r="B39" s="124">
        <v>37226</v>
      </c>
      <c r="C39" s="125"/>
      <c r="D39" s="125"/>
      <c r="E39" s="125"/>
      <c r="F39" s="126"/>
    </row>
    <row r="40" spans="2:21" x14ac:dyDescent="0.25">
      <c r="B40" s="94"/>
      <c r="C40" s="77" t="s">
        <v>16</v>
      </c>
      <c r="D40" s="77" t="s">
        <v>15</v>
      </c>
      <c r="E40" s="77" t="s">
        <v>17</v>
      </c>
      <c r="F40" s="95"/>
    </row>
    <row r="41" spans="2:21" x14ac:dyDescent="0.25">
      <c r="B41" s="96" t="s">
        <v>79</v>
      </c>
      <c r="C41" s="77" t="s">
        <v>80</v>
      </c>
      <c r="D41" s="77" t="s">
        <v>80</v>
      </c>
      <c r="E41" s="77" t="s">
        <v>80</v>
      </c>
      <c r="F41" s="95"/>
    </row>
    <row r="42" spans="2:21" x14ac:dyDescent="0.25">
      <c r="B42" s="97"/>
      <c r="C42" s="92"/>
      <c r="D42" s="92"/>
      <c r="E42" s="92"/>
      <c r="F42" s="95"/>
    </row>
    <row r="43" spans="2:21" x14ac:dyDescent="0.25">
      <c r="B43" s="97" t="s">
        <v>8</v>
      </c>
      <c r="C43" s="86">
        <f>' Pricing'!B8+Deals!$E$51</f>
        <v>28.13</v>
      </c>
      <c r="D43" s="86">
        <f>' Pricing'!C8+Deals!$E$51</f>
        <v>32</v>
      </c>
      <c r="E43" s="86">
        <f>' Pricing'!D8+Deals!$E$51</f>
        <v>23</v>
      </c>
      <c r="F43" s="95"/>
    </row>
    <row r="44" spans="2:21" x14ac:dyDescent="0.25">
      <c r="B44" s="97" t="s">
        <v>81</v>
      </c>
      <c r="C44" s="86">
        <f>' Pricing'!B9+Deals!$E$51</f>
        <v>28.914999999999999</v>
      </c>
      <c r="D44" s="86">
        <f>' Pricing'!C9+Deals!$E$51</f>
        <v>33</v>
      </c>
      <c r="E44" s="86">
        <f>' Pricing'!D9+Deals!$E$51</f>
        <v>23.5</v>
      </c>
      <c r="F44" s="95"/>
    </row>
    <row r="45" spans="2:21" x14ac:dyDescent="0.25">
      <c r="B45" s="97" t="s">
        <v>82</v>
      </c>
      <c r="C45" s="86">
        <f>' Pricing'!B10+Deals!$E$51</f>
        <v>29.419999999999998</v>
      </c>
      <c r="D45" s="86">
        <f>' Pricing'!C10+Deals!$E$51</f>
        <v>32</v>
      </c>
      <c r="E45" s="86">
        <f>' Pricing'!D10+Deals!$E$51</f>
        <v>26</v>
      </c>
      <c r="F45" s="95"/>
    </row>
    <row r="46" spans="2:21" x14ac:dyDescent="0.25">
      <c r="B46" s="97" t="s">
        <v>83</v>
      </c>
      <c r="C46" s="86">
        <f>' Pricing'!B11+Deals!$E$51</f>
        <v>29.99</v>
      </c>
      <c r="D46" s="86">
        <f>' Pricing'!C11+Deals!$E$51</f>
        <v>33</v>
      </c>
      <c r="E46" s="86">
        <f>' Pricing'!D11+Deals!$E$51</f>
        <v>26</v>
      </c>
      <c r="F46" s="95"/>
    </row>
    <row r="47" spans="2:21" x14ac:dyDescent="0.25">
      <c r="B47" s="97" t="s">
        <v>84</v>
      </c>
      <c r="C47" s="86">
        <f>' Pricing'!B12+Deals!$E$51</f>
        <v>34.847499999999997</v>
      </c>
      <c r="D47" s="86">
        <f>' Pricing'!C12+Deals!$E$51</f>
        <v>37.75</v>
      </c>
      <c r="E47" s="86">
        <f>' Pricing'!D12+Deals!$E$51</f>
        <v>31</v>
      </c>
      <c r="F47" s="95"/>
    </row>
    <row r="48" spans="2:21" x14ac:dyDescent="0.25">
      <c r="B48" s="97" t="s">
        <v>85</v>
      </c>
      <c r="C48" s="86">
        <f>' Pricing'!B13+Deals!$E$51</f>
        <v>31.958999999999996</v>
      </c>
      <c r="D48" s="86">
        <f>' Pricing'!C13+Deals!$E$51</f>
        <v>35.700000000000003</v>
      </c>
      <c r="E48" s="86">
        <f>' Pricing'!D13+Deals!$E$51</f>
        <v>27</v>
      </c>
      <c r="F48" s="95"/>
    </row>
    <row r="49" spans="2:6" x14ac:dyDescent="0.25">
      <c r="B49" s="37"/>
      <c r="C49" s="91"/>
      <c r="D49" s="91"/>
      <c r="E49" s="91"/>
      <c r="F49" s="95"/>
    </row>
    <row r="50" spans="2:6" x14ac:dyDescent="0.25">
      <c r="B50" s="37"/>
      <c r="C50" s="91"/>
      <c r="D50" s="91"/>
      <c r="E50" s="91"/>
      <c r="F50" s="95"/>
    </row>
    <row r="51" spans="2:6" x14ac:dyDescent="0.25">
      <c r="B51" s="37" t="s">
        <v>86</v>
      </c>
      <c r="C51" s="91"/>
      <c r="D51" s="91"/>
      <c r="E51" s="17">
        <v>5</v>
      </c>
      <c r="F51" s="95"/>
    </row>
    <row r="52" spans="2:6" ht="14.4" thickBot="1" x14ac:dyDescent="0.3">
      <c r="B52" s="58"/>
      <c r="C52" s="98"/>
      <c r="D52" s="98"/>
      <c r="E52" s="98"/>
      <c r="F52" s="99"/>
    </row>
  </sheetData>
  <mergeCells count="2">
    <mergeCell ref="B39:F39"/>
    <mergeCell ref="B38:F38"/>
  </mergeCells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35"/>
  <sheetViews>
    <sheetView view="pageBreakPreview" topLeftCell="C1" zoomScale="60" zoomScaleNormal="75" workbookViewId="0">
      <pane xSplit="4" ySplit="4" topLeftCell="G5" activePane="bottomRight" state="frozen"/>
      <selection activeCell="C1" sqref="C1"/>
      <selection pane="topRight" activeCell="G1" sqref="G1"/>
      <selection pane="bottomLeft" activeCell="C4" sqref="C4"/>
      <selection pane="bottomRight" activeCell="K46" sqref="K46"/>
    </sheetView>
  </sheetViews>
  <sheetFormatPr defaultRowHeight="13.2" x14ac:dyDescent="0.25"/>
  <cols>
    <col min="2" max="2" width="17.33203125" customWidth="1"/>
    <col min="3" max="3" width="15.44140625" customWidth="1"/>
    <col min="4" max="4" width="6.109375" customWidth="1"/>
    <col min="5" max="5" width="10.33203125" style="1" customWidth="1"/>
    <col min="6" max="6" width="11.6640625" style="1" customWidth="1"/>
    <col min="7" max="7" width="4.5546875" customWidth="1"/>
    <col min="8" max="8" width="11.88671875" bestFit="1" customWidth="1"/>
    <col min="9" max="9" width="12.33203125" bestFit="1" customWidth="1"/>
    <col min="10" max="10" width="11.33203125" bestFit="1" customWidth="1"/>
    <col min="11" max="11" width="12" bestFit="1" customWidth="1"/>
    <col min="12" max="13" width="11.88671875" bestFit="1" customWidth="1"/>
    <col min="14" max="14" width="10.5546875" bestFit="1" customWidth="1"/>
    <col min="15" max="15" width="12.33203125" bestFit="1" customWidth="1"/>
    <col min="16" max="16" width="10.5546875" bestFit="1" customWidth="1"/>
    <col min="17" max="17" width="11.88671875" bestFit="1" customWidth="1"/>
    <col min="18" max="18" width="10.5546875" bestFit="1" customWidth="1"/>
    <col min="19" max="19" width="11.88671875" bestFit="1" customWidth="1"/>
    <col min="20" max="20" width="10.5546875" bestFit="1" customWidth="1"/>
    <col min="21" max="21" width="11.5546875" bestFit="1" customWidth="1"/>
    <col min="22" max="22" width="10.5546875" bestFit="1" customWidth="1"/>
    <col min="23" max="23" width="11.5546875" bestFit="1" customWidth="1"/>
    <col min="24" max="24" width="10.5546875" bestFit="1" customWidth="1"/>
    <col min="25" max="25" width="11.33203125" bestFit="1" customWidth="1"/>
    <col min="26" max="27" width="10.5546875" bestFit="1" customWidth="1"/>
    <col min="28" max="33" width="8.6640625" bestFit="1" customWidth="1"/>
  </cols>
  <sheetData>
    <row r="1" spans="2:33" x14ac:dyDescent="0.25">
      <c r="H1">
        <v>1</v>
      </c>
      <c r="J1">
        <v>1</v>
      </c>
      <c r="L1">
        <v>1</v>
      </c>
      <c r="N1">
        <v>1</v>
      </c>
      <c r="R1">
        <v>1</v>
      </c>
      <c r="V1">
        <v>1</v>
      </c>
      <c r="X1">
        <v>1</v>
      </c>
      <c r="Z1">
        <v>1</v>
      </c>
      <c r="AB1">
        <v>1</v>
      </c>
      <c r="AF1">
        <v>1</v>
      </c>
    </row>
    <row r="2" spans="2:33" x14ac:dyDescent="0.25">
      <c r="H2" s="130" t="s">
        <v>53</v>
      </c>
      <c r="I2" s="130"/>
      <c r="J2" s="130" t="s">
        <v>54</v>
      </c>
      <c r="K2" s="130"/>
      <c r="L2" s="130" t="s">
        <v>55</v>
      </c>
      <c r="M2" s="130"/>
      <c r="N2" s="130" t="s">
        <v>56</v>
      </c>
      <c r="O2" s="130"/>
      <c r="P2" s="130" t="s">
        <v>57</v>
      </c>
      <c r="Q2" s="130"/>
      <c r="R2" s="130" t="s">
        <v>58</v>
      </c>
      <c r="S2" s="130"/>
      <c r="T2" s="130" t="s">
        <v>59</v>
      </c>
      <c r="U2" s="130"/>
      <c r="V2" s="130" t="s">
        <v>53</v>
      </c>
      <c r="W2" s="130"/>
      <c r="X2" s="130" t="s">
        <v>54</v>
      </c>
      <c r="Y2" s="130"/>
      <c r="Z2" s="130" t="s">
        <v>55</v>
      </c>
      <c r="AA2" s="130"/>
      <c r="AB2" s="130" t="s">
        <v>56</v>
      </c>
      <c r="AC2" s="130"/>
      <c r="AD2" s="130" t="s">
        <v>57</v>
      </c>
      <c r="AE2" s="130"/>
      <c r="AF2" s="130" t="s">
        <v>58</v>
      </c>
      <c r="AG2" s="130"/>
    </row>
    <row r="3" spans="2:33" ht="13.8" x14ac:dyDescent="0.25">
      <c r="B3" s="8" t="s">
        <v>0</v>
      </c>
      <c r="F3" s="1" t="s">
        <v>62</v>
      </c>
      <c r="H3" s="131">
        <v>37244</v>
      </c>
      <c r="I3" s="131"/>
      <c r="J3" s="131">
        <v>37245</v>
      </c>
      <c r="K3" s="131"/>
      <c r="L3" s="131">
        <v>37246</v>
      </c>
      <c r="M3" s="131"/>
      <c r="N3" s="131">
        <v>37247</v>
      </c>
      <c r="O3" s="131"/>
      <c r="P3" s="131">
        <v>37248</v>
      </c>
      <c r="Q3" s="131"/>
      <c r="R3" s="131">
        <v>37249</v>
      </c>
      <c r="S3" s="131"/>
      <c r="T3" s="131">
        <v>37250</v>
      </c>
      <c r="U3" s="131"/>
      <c r="V3" s="131">
        <v>37251</v>
      </c>
      <c r="W3" s="131"/>
      <c r="X3" s="131">
        <v>37252</v>
      </c>
      <c r="Y3" s="131"/>
      <c r="Z3" s="131">
        <v>37253</v>
      </c>
      <c r="AA3" s="131"/>
      <c r="AB3" s="131">
        <v>37254</v>
      </c>
      <c r="AC3" s="131"/>
      <c r="AD3" s="131">
        <v>37255</v>
      </c>
      <c r="AE3" s="131"/>
      <c r="AF3" s="131">
        <v>37256</v>
      </c>
      <c r="AG3" s="131"/>
    </row>
    <row r="4" spans="2:33" ht="13.8" x14ac:dyDescent="0.25">
      <c r="C4" s="24" t="s">
        <v>1</v>
      </c>
      <c r="H4" t="s">
        <v>60</v>
      </c>
      <c r="I4" t="s">
        <v>61</v>
      </c>
      <c r="J4" t="s">
        <v>60</v>
      </c>
      <c r="K4" t="s">
        <v>61</v>
      </c>
      <c r="L4" t="s">
        <v>60</v>
      </c>
      <c r="M4" t="s">
        <v>61</v>
      </c>
      <c r="N4" t="s">
        <v>60</v>
      </c>
      <c r="O4" t="s">
        <v>61</v>
      </c>
      <c r="P4" t="s">
        <v>60</v>
      </c>
      <c r="Q4" t="s">
        <v>61</v>
      </c>
      <c r="R4" t="s">
        <v>60</v>
      </c>
      <c r="S4" t="s">
        <v>61</v>
      </c>
      <c r="T4" t="s">
        <v>60</v>
      </c>
      <c r="U4" t="s">
        <v>61</v>
      </c>
      <c r="V4" t="s">
        <v>60</v>
      </c>
      <c r="W4" t="s">
        <v>61</v>
      </c>
      <c r="X4" t="s">
        <v>60</v>
      </c>
      <c r="Y4" t="s">
        <v>61</v>
      </c>
      <c r="Z4" t="s">
        <v>60</v>
      </c>
      <c r="AA4" t="s">
        <v>61</v>
      </c>
      <c r="AB4" t="s">
        <v>60</v>
      </c>
      <c r="AC4" t="s">
        <v>61</v>
      </c>
      <c r="AD4" t="s">
        <v>60</v>
      </c>
      <c r="AE4" t="s">
        <v>61</v>
      </c>
      <c r="AF4" t="s">
        <v>60</v>
      </c>
      <c r="AG4" t="s">
        <v>61</v>
      </c>
    </row>
    <row r="5" spans="2:33" ht="13.8" x14ac:dyDescent="0.25">
      <c r="B5" s="15" t="s">
        <v>5</v>
      </c>
      <c r="C5" s="25" t="str">
        <f>Deals!B5</f>
        <v>Sierra Pacific</v>
      </c>
      <c r="D5" t="str">
        <f>Deals!E5</f>
        <v>HLH</v>
      </c>
      <c r="E5" s="1">
        <f>Deals!L5</f>
        <v>13200</v>
      </c>
      <c r="F5" s="1">
        <f>Deals!M5</f>
        <v>124400</v>
      </c>
      <c r="H5" s="29">
        <f>$E5*H$1+J5</f>
        <v>132000</v>
      </c>
      <c r="I5" s="28">
        <f>$F5*H$1+K5</f>
        <v>1244000</v>
      </c>
      <c r="J5" s="29">
        <f>$E5*J$1+L5</f>
        <v>118800</v>
      </c>
      <c r="K5" s="28">
        <f>$F5*J$1+M5</f>
        <v>1119600</v>
      </c>
      <c r="L5" s="29">
        <f>$E5*L$1+N5</f>
        <v>105600</v>
      </c>
      <c r="M5" s="28">
        <f>$F5*L$1+O5</f>
        <v>995200</v>
      </c>
      <c r="N5" s="29">
        <f>$E5*N$1+P5</f>
        <v>92400</v>
      </c>
      <c r="O5" s="28">
        <f>$F5*N$1+Q5</f>
        <v>870800</v>
      </c>
      <c r="P5" s="29">
        <f>$E5*P$1+R5</f>
        <v>79200</v>
      </c>
      <c r="Q5" s="28">
        <f>$F5*P$1+S5</f>
        <v>746400</v>
      </c>
      <c r="R5" s="29">
        <f>$E5*R$1+T5</f>
        <v>79200</v>
      </c>
      <c r="S5" s="28">
        <f>$F5*R$1+U5</f>
        <v>746400</v>
      </c>
      <c r="T5" s="29">
        <f>$E5*T$1+V5</f>
        <v>66000</v>
      </c>
      <c r="U5" s="28">
        <f>$F5*T$1+W5</f>
        <v>622000</v>
      </c>
      <c r="V5" s="29">
        <f>$E5*V$1+X5</f>
        <v>66000</v>
      </c>
      <c r="W5" s="28">
        <f>$F5*V$1+Y5</f>
        <v>622000</v>
      </c>
      <c r="X5" s="29">
        <f>$E5*X$1+Z5</f>
        <v>52800</v>
      </c>
      <c r="Y5" s="28">
        <f>$F5*X$1+AA5</f>
        <v>497600</v>
      </c>
      <c r="Z5" s="29">
        <f>$E5*Z$1+AB5</f>
        <v>39600</v>
      </c>
      <c r="AA5" s="28">
        <f>$F5*Z$1+AC5</f>
        <v>373200</v>
      </c>
      <c r="AB5" s="29">
        <f>$E5*AB$1+AD5</f>
        <v>26400</v>
      </c>
      <c r="AC5" s="28">
        <f>$F5*AB$1+AE5</f>
        <v>248800</v>
      </c>
      <c r="AD5" s="29">
        <f>$E5*AD$1+AF5</f>
        <v>13200</v>
      </c>
      <c r="AE5" s="28">
        <f>$F5*AD$1+AG5</f>
        <v>124400</v>
      </c>
      <c r="AF5" s="29">
        <f>$E5*AF$1</f>
        <v>13200</v>
      </c>
      <c r="AG5" s="28">
        <f>$F5*AF$1</f>
        <v>124400</v>
      </c>
    </row>
    <row r="6" spans="2:33" ht="13.8" x14ac:dyDescent="0.25">
      <c r="B6" s="15" t="s">
        <v>22</v>
      </c>
      <c r="C6" s="25" t="str">
        <f>Deals!B6</f>
        <v>Redding</v>
      </c>
      <c r="D6" t="str">
        <f>Deals!E6</f>
        <v>RTC</v>
      </c>
      <c r="E6" s="1">
        <f>Deals!L6</f>
        <v>20908.499999999996</v>
      </c>
      <c r="F6" s="1">
        <f>Deals!M6</f>
        <v>120000</v>
      </c>
      <c r="H6" s="29">
        <f t="shared" ref="H6:H35" si="0">$E6*H$1+J6</f>
        <v>209084.99999999997</v>
      </c>
      <c r="I6" s="28">
        <f t="shared" ref="I6:I35" si="1">$F6*H$1+K6</f>
        <v>1200000</v>
      </c>
      <c r="J6" s="29">
        <f t="shared" ref="J6:J35" si="2">$E6*J$1+L6</f>
        <v>188176.49999999997</v>
      </c>
      <c r="K6" s="28">
        <f t="shared" ref="K6:K35" si="3">$F6*J$1+M6</f>
        <v>1080000</v>
      </c>
      <c r="L6" s="29">
        <f t="shared" ref="L6:L35" si="4">$E6*L$1+N6</f>
        <v>167267.99999999997</v>
      </c>
      <c r="M6" s="28">
        <f t="shared" ref="M6:M35" si="5">$F6*L$1+O6</f>
        <v>960000</v>
      </c>
      <c r="N6" s="29">
        <f t="shared" ref="N6:N35" si="6">$E6*N$1+P6</f>
        <v>146359.49999999997</v>
      </c>
      <c r="O6" s="28">
        <f t="shared" ref="O6:O35" si="7">$F6*N$1+Q6</f>
        <v>840000</v>
      </c>
      <c r="P6" s="29">
        <f t="shared" ref="P6:P35" si="8">$E6*P$1+R6</f>
        <v>125450.99999999999</v>
      </c>
      <c r="Q6" s="28">
        <f t="shared" ref="Q6:Q35" si="9">$F6*P$1+S6</f>
        <v>720000</v>
      </c>
      <c r="R6" s="29">
        <f t="shared" ref="R6:R35" si="10">$E6*R$1+T6</f>
        <v>125450.99999999999</v>
      </c>
      <c r="S6" s="28">
        <f t="shared" ref="S6:S35" si="11">$F6*R$1+U6</f>
        <v>720000</v>
      </c>
      <c r="T6" s="29">
        <f t="shared" ref="T6:T35" si="12">$E6*T$1+V6</f>
        <v>104542.49999999999</v>
      </c>
      <c r="U6" s="28">
        <f t="shared" ref="U6:U35" si="13">$F6*T$1+W6</f>
        <v>600000</v>
      </c>
      <c r="V6" s="29">
        <f t="shared" ref="V6:V35" si="14">$E6*V$1+X6</f>
        <v>104542.49999999999</v>
      </c>
      <c r="W6" s="28">
        <f t="shared" ref="W6:W35" si="15">$F6*V$1+Y6</f>
        <v>600000</v>
      </c>
      <c r="X6" s="29">
        <f t="shared" ref="X6:X35" si="16">$E6*X$1+Z6</f>
        <v>83633.999999999985</v>
      </c>
      <c r="Y6" s="28">
        <f t="shared" ref="Y6:Y35" si="17">$F6*X$1+AA6</f>
        <v>480000</v>
      </c>
      <c r="Z6" s="29">
        <f t="shared" ref="Z6:Z35" si="18">$E6*Z$1+AB6</f>
        <v>62725.499999999985</v>
      </c>
      <c r="AA6" s="28">
        <f t="shared" ref="AA6:AA35" si="19">$F6*Z$1+AC6</f>
        <v>360000</v>
      </c>
      <c r="AB6" s="29">
        <f t="shared" ref="AB6:AB35" si="20">$E6*AB$1+AD6</f>
        <v>41816.999999999993</v>
      </c>
      <c r="AC6" s="28">
        <f t="shared" ref="AC6:AC35" si="21">$F6*AB$1+AE6</f>
        <v>240000</v>
      </c>
      <c r="AD6" s="29">
        <f t="shared" ref="AD6:AD35" si="22">$E6*AD$1+AF6</f>
        <v>20908.499999999996</v>
      </c>
      <c r="AE6" s="28">
        <f t="shared" ref="AE6:AE35" si="23">$F6*AD$1+AG6</f>
        <v>120000</v>
      </c>
      <c r="AF6" s="29">
        <f t="shared" ref="AF6:AF35" si="24">$E6*AF$1</f>
        <v>20908.499999999996</v>
      </c>
      <c r="AG6" s="28">
        <f t="shared" ref="AG6:AG35" si="25">$F6*AF$1</f>
        <v>120000</v>
      </c>
    </row>
    <row r="7" spans="2:33" ht="13.8" x14ac:dyDescent="0.25">
      <c r="B7" s="15" t="s">
        <v>25</v>
      </c>
      <c r="C7" s="25" t="str">
        <f>Deals!B7</f>
        <v>Oakland Muni</v>
      </c>
      <c r="D7" t="str">
        <f>Deals!E7</f>
        <v>RTC</v>
      </c>
      <c r="E7" s="1">
        <f>Deals!L7</f>
        <v>5854.3799999999992</v>
      </c>
      <c r="F7" s="1">
        <f>Deals!M7</f>
        <v>31500</v>
      </c>
      <c r="H7" s="29">
        <f t="shared" si="0"/>
        <v>58543.799999999981</v>
      </c>
      <c r="I7" s="28">
        <f t="shared" si="1"/>
        <v>315000</v>
      </c>
      <c r="J7" s="29">
        <f t="shared" si="2"/>
        <v>52689.419999999984</v>
      </c>
      <c r="K7" s="28">
        <f t="shared" si="3"/>
        <v>283500</v>
      </c>
      <c r="L7" s="29">
        <f t="shared" si="4"/>
        <v>46835.039999999986</v>
      </c>
      <c r="M7" s="28">
        <f t="shared" si="5"/>
        <v>252000</v>
      </c>
      <c r="N7" s="29">
        <f t="shared" si="6"/>
        <v>40980.659999999989</v>
      </c>
      <c r="O7" s="28">
        <f t="shared" si="7"/>
        <v>220500</v>
      </c>
      <c r="P7" s="29">
        <f t="shared" si="8"/>
        <v>35126.279999999992</v>
      </c>
      <c r="Q7" s="28">
        <f t="shared" si="9"/>
        <v>189000</v>
      </c>
      <c r="R7" s="29">
        <f t="shared" si="10"/>
        <v>35126.279999999992</v>
      </c>
      <c r="S7" s="28">
        <f t="shared" si="11"/>
        <v>189000</v>
      </c>
      <c r="T7" s="29">
        <f t="shared" si="12"/>
        <v>29271.899999999994</v>
      </c>
      <c r="U7" s="28">
        <f t="shared" si="13"/>
        <v>157500</v>
      </c>
      <c r="V7" s="29">
        <f t="shared" si="14"/>
        <v>29271.899999999994</v>
      </c>
      <c r="W7" s="28">
        <f t="shared" si="15"/>
        <v>157500</v>
      </c>
      <c r="X7" s="29">
        <f t="shared" si="16"/>
        <v>23417.519999999997</v>
      </c>
      <c r="Y7" s="28">
        <f t="shared" si="17"/>
        <v>126000</v>
      </c>
      <c r="Z7" s="29">
        <f t="shared" si="18"/>
        <v>17563.14</v>
      </c>
      <c r="AA7" s="28">
        <f t="shared" si="19"/>
        <v>94500</v>
      </c>
      <c r="AB7" s="29">
        <f t="shared" si="20"/>
        <v>11708.759999999998</v>
      </c>
      <c r="AC7" s="28">
        <f t="shared" si="21"/>
        <v>63000</v>
      </c>
      <c r="AD7" s="29">
        <f t="shared" si="22"/>
        <v>5854.3799999999992</v>
      </c>
      <c r="AE7" s="28">
        <f t="shared" si="23"/>
        <v>31500</v>
      </c>
      <c r="AF7" s="29">
        <f t="shared" si="24"/>
        <v>5854.3799999999992</v>
      </c>
      <c r="AG7" s="28">
        <f t="shared" si="25"/>
        <v>31500</v>
      </c>
    </row>
    <row r="8" spans="2:33" ht="13.8" x14ac:dyDescent="0.25">
      <c r="B8" s="15" t="s">
        <v>31</v>
      </c>
      <c r="C8" s="25" t="str">
        <f>Deals!B8</f>
        <v>City of Riverside</v>
      </c>
      <c r="D8" t="str">
        <f>Deals!E8</f>
        <v>HLH</v>
      </c>
      <c r="E8" s="1">
        <f>Deals!L8</f>
        <v>12800</v>
      </c>
      <c r="F8" s="1">
        <f>Deals!M8</f>
        <v>72000</v>
      </c>
      <c r="H8" s="29">
        <f t="shared" si="0"/>
        <v>128000</v>
      </c>
      <c r="I8" s="28">
        <f t="shared" si="1"/>
        <v>720000</v>
      </c>
      <c r="J8" s="29">
        <f t="shared" si="2"/>
        <v>115200</v>
      </c>
      <c r="K8" s="28">
        <f t="shared" si="3"/>
        <v>648000</v>
      </c>
      <c r="L8" s="29">
        <f t="shared" si="4"/>
        <v>102400</v>
      </c>
      <c r="M8" s="28">
        <f t="shared" si="5"/>
        <v>576000</v>
      </c>
      <c r="N8" s="29">
        <f t="shared" si="6"/>
        <v>89600</v>
      </c>
      <c r="O8" s="28">
        <f t="shared" si="7"/>
        <v>504000</v>
      </c>
      <c r="P8" s="29">
        <f t="shared" si="8"/>
        <v>76800</v>
      </c>
      <c r="Q8" s="28">
        <f t="shared" si="9"/>
        <v>432000</v>
      </c>
      <c r="R8" s="29">
        <f t="shared" si="10"/>
        <v>76800</v>
      </c>
      <c r="S8" s="28">
        <f t="shared" si="11"/>
        <v>432000</v>
      </c>
      <c r="T8" s="29">
        <f t="shared" si="12"/>
        <v>64000</v>
      </c>
      <c r="U8" s="28">
        <f t="shared" si="13"/>
        <v>360000</v>
      </c>
      <c r="V8" s="29">
        <f t="shared" si="14"/>
        <v>64000</v>
      </c>
      <c r="W8" s="28">
        <f t="shared" si="15"/>
        <v>360000</v>
      </c>
      <c r="X8" s="29">
        <f t="shared" si="16"/>
        <v>51200</v>
      </c>
      <c r="Y8" s="28">
        <f t="shared" si="17"/>
        <v>288000</v>
      </c>
      <c r="Z8" s="29">
        <f t="shared" si="18"/>
        <v>38400</v>
      </c>
      <c r="AA8" s="28">
        <f t="shared" si="19"/>
        <v>216000</v>
      </c>
      <c r="AB8" s="29">
        <f t="shared" si="20"/>
        <v>25600</v>
      </c>
      <c r="AC8" s="28">
        <f t="shared" si="21"/>
        <v>144000</v>
      </c>
      <c r="AD8" s="29">
        <f t="shared" si="22"/>
        <v>12800</v>
      </c>
      <c r="AE8" s="28">
        <f t="shared" si="23"/>
        <v>72000</v>
      </c>
      <c r="AF8" s="29">
        <f t="shared" si="24"/>
        <v>12800</v>
      </c>
      <c r="AG8" s="28">
        <f t="shared" si="25"/>
        <v>72000</v>
      </c>
    </row>
    <row r="9" spans="2:33" ht="13.8" x14ac:dyDescent="0.25">
      <c r="B9" s="15" t="s">
        <v>24</v>
      </c>
      <c r="C9" s="25" t="str">
        <f>Deals!B9</f>
        <v>NCPA</v>
      </c>
      <c r="D9" t="str">
        <f>Deals!E9</f>
        <v>HLH</v>
      </c>
      <c r="E9" s="1">
        <f>Deals!L9</f>
        <v>51340</v>
      </c>
      <c r="F9" s="1">
        <f>Deals!M9</f>
        <v>233988.00000000003</v>
      </c>
      <c r="H9" s="29">
        <f t="shared" si="0"/>
        <v>513400</v>
      </c>
      <c r="I9" s="28">
        <f t="shared" si="1"/>
        <v>2339880.0000000005</v>
      </c>
      <c r="J9" s="29">
        <f t="shared" si="2"/>
        <v>462060</v>
      </c>
      <c r="K9" s="28">
        <f t="shared" si="3"/>
        <v>2105892.0000000005</v>
      </c>
      <c r="L9" s="29">
        <f t="shared" si="4"/>
        <v>410720</v>
      </c>
      <c r="M9" s="28">
        <f t="shared" si="5"/>
        <v>1871904.0000000002</v>
      </c>
      <c r="N9" s="29">
        <f t="shared" si="6"/>
        <v>359380</v>
      </c>
      <c r="O9" s="28">
        <f t="shared" si="7"/>
        <v>1637916.0000000002</v>
      </c>
      <c r="P9" s="29">
        <f t="shared" si="8"/>
        <v>308040</v>
      </c>
      <c r="Q9" s="28">
        <f t="shared" si="9"/>
        <v>1403928.0000000002</v>
      </c>
      <c r="R9" s="29">
        <f t="shared" si="10"/>
        <v>308040</v>
      </c>
      <c r="S9" s="28">
        <f t="shared" si="11"/>
        <v>1403928.0000000002</v>
      </c>
      <c r="T9" s="29">
        <f t="shared" si="12"/>
        <v>256700</v>
      </c>
      <c r="U9" s="28">
        <f t="shared" si="13"/>
        <v>1169940.0000000002</v>
      </c>
      <c r="V9" s="29">
        <f t="shared" si="14"/>
        <v>256700</v>
      </c>
      <c r="W9" s="28">
        <f t="shared" si="15"/>
        <v>1169940.0000000002</v>
      </c>
      <c r="X9" s="29">
        <f t="shared" si="16"/>
        <v>205360</v>
      </c>
      <c r="Y9" s="28">
        <f t="shared" si="17"/>
        <v>935952.00000000012</v>
      </c>
      <c r="Z9" s="29">
        <f t="shared" si="18"/>
        <v>154020</v>
      </c>
      <c r="AA9" s="28">
        <f t="shared" si="19"/>
        <v>701964.00000000012</v>
      </c>
      <c r="AB9" s="29">
        <f t="shared" si="20"/>
        <v>102680</v>
      </c>
      <c r="AC9" s="28">
        <f t="shared" si="21"/>
        <v>467976.00000000006</v>
      </c>
      <c r="AD9" s="29">
        <f t="shared" si="22"/>
        <v>51340</v>
      </c>
      <c r="AE9" s="28">
        <f t="shared" si="23"/>
        <v>233988.00000000003</v>
      </c>
      <c r="AF9" s="29">
        <f t="shared" si="24"/>
        <v>51340</v>
      </c>
      <c r="AG9" s="28">
        <f t="shared" si="25"/>
        <v>233988.00000000003</v>
      </c>
    </row>
    <row r="10" spans="2:33" ht="13.8" x14ac:dyDescent="0.25">
      <c r="B10" s="20" t="s">
        <v>3</v>
      </c>
      <c r="C10" s="25" t="str">
        <f>Deals!B10</f>
        <v>Burbank</v>
      </c>
      <c r="D10" t="str">
        <f>Deals!E10</f>
        <v>HLH</v>
      </c>
      <c r="E10" s="1">
        <f>Deals!L10</f>
        <v>12800</v>
      </c>
      <c r="F10" s="1">
        <f>Deals!M10</f>
        <v>62000</v>
      </c>
      <c r="H10" s="29">
        <f t="shared" si="0"/>
        <v>128000</v>
      </c>
      <c r="I10" s="28">
        <f t="shared" si="1"/>
        <v>620000</v>
      </c>
      <c r="J10" s="29">
        <f t="shared" si="2"/>
        <v>115200</v>
      </c>
      <c r="K10" s="28">
        <f t="shared" si="3"/>
        <v>558000</v>
      </c>
      <c r="L10" s="29">
        <f t="shared" si="4"/>
        <v>102400</v>
      </c>
      <c r="M10" s="28">
        <f t="shared" si="5"/>
        <v>496000</v>
      </c>
      <c r="N10" s="29">
        <f t="shared" si="6"/>
        <v>89600</v>
      </c>
      <c r="O10" s="28">
        <f t="shared" si="7"/>
        <v>434000</v>
      </c>
      <c r="P10" s="29">
        <f t="shared" si="8"/>
        <v>76800</v>
      </c>
      <c r="Q10" s="28">
        <f t="shared" si="9"/>
        <v>372000</v>
      </c>
      <c r="R10" s="29">
        <f t="shared" si="10"/>
        <v>76800</v>
      </c>
      <c r="S10" s="28">
        <f t="shared" si="11"/>
        <v>372000</v>
      </c>
      <c r="T10" s="29">
        <f t="shared" si="12"/>
        <v>64000</v>
      </c>
      <c r="U10" s="28">
        <f t="shared" si="13"/>
        <v>310000</v>
      </c>
      <c r="V10" s="29">
        <f t="shared" si="14"/>
        <v>64000</v>
      </c>
      <c r="W10" s="28">
        <f t="shared" si="15"/>
        <v>310000</v>
      </c>
      <c r="X10" s="29">
        <f t="shared" si="16"/>
        <v>51200</v>
      </c>
      <c r="Y10" s="28">
        <f t="shared" si="17"/>
        <v>248000</v>
      </c>
      <c r="Z10" s="29">
        <f t="shared" si="18"/>
        <v>38400</v>
      </c>
      <c r="AA10" s="28">
        <f t="shared" si="19"/>
        <v>186000</v>
      </c>
      <c r="AB10" s="29">
        <f t="shared" si="20"/>
        <v>25600</v>
      </c>
      <c r="AC10" s="28">
        <f t="shared" si="21"/>
        <v>124000</v>
      </c>
      <c r="AD10" s="29">
        <f t="shared" si="22"/>
        <v>12800</v>
      </c>
      <c r="AE10" s="28">
        <f t="shared" si="23"/>
        <v>62000</v>
      </c>
      <c r="AF10" s="29">
        <f t="shared" si="24"/>
        <v>12800</v>
      </c>
      <c r="AG10" s="28">
        <f t="shared" si="25"/>
        <v>62000</v>
      </c>
    </row>
    <row r="11" spans="2:33" ht="13.8" x14ac:dyDescent="0.25">
      <c r="B11" s="15" t="s">
        <v>24</v>
      </c>
      <c r="C11" s="25" t="str">
        <f>Deals!B11</f>
        <v>NCPA</v>
      </c>
      <c r="D11" t="str">
        <f>Deals!E11</f>
        <v>LLH</v>
      </c>
      <c r="E11" s="1">
        <f>Deals!L11</f>
        <v>11160</v>
      </c>
      <c r="F11" s="1">
        <f>Deals!M11</f>
        <v>48311.999999999993</v>
      </c>
      <c r="H11" s="29">
        <f t="shared" si="0"/>
        <v>111600</v>
      </c>
      <c r="I11" s="28">
        <f t="shared" si="1"/>
        <v>483119.99999999994</v>
      </c>
      <c r="J11" s="29">
        <f t="shared" si="2"/>
        <v>100440</v>
      </c>
      <c r="K11" s="28">
        <f t="shared" si="3"/>
        <v>434807.99999999994</v>
      </c>
      <c r="L11" s="29">
        <f t="shared" si="4"/>
        <v>89280</v>
      </c>
      <c r="M11" s="28">
        <f t="shared" si="5"/>
        <v>386495.99999999994</v>
      </c>
      <c r="N11" s="29">
        <f t="shared" si="6"/>
        <v>78120</v>
      </c>
      <c r="O11" s="28">
        <f t="shared" si="7"/>
        <v>338183.99999999994</v>
      </c>
      <c r="P11" s="29">
        <f t="shared" si="8"/>
        <v>66960</v>
      </c>
      <c r="Q11" s="28">
        <f t="shared" si="9"/>
        <v>289871.99999999994</v>
      </c>
      <c r="R11" s="29">
        <f t="shared" si="10"/>
        <v>66960</v>
      </c>
      <c r="S11" s="28">
        <f t="shared" si="11"/>
        <v>289871.99999999994</v>
      </c>
      <c r="T11" s="29">
        <f t="shared" si="12"/>
        <v>55800</v>
      </c>
      <c r="U11" s="28">
        <f t="shared" si="13"/>
        <v>241559.99999999997</v>
      </c>
      <c r="V11" s="29">
        <f t="shared" si="14"/>
        <v>55800</v>
      </c>
      <c r="W11" s="28">
        <f t="shared" si="15"/>
        <v>241559.99999999997</v>
      </c>
      <c r="X11" s="29">
        <f t="shared" si="16"/>
        <v>44640</v>
      </c>
      <c r="Y11" s="28">
        <f t="shared" si="17"/>
        <v>193247.99999999997</v>
      </c>
      <c r="Z11" s="29">
        <f t="shared" si="18"/>
        <v>33480</v>
      </c>
      <c r="AA11" s="28">
        <f t="shared" si="19"/>
        <v>144935.99999999997</v>
      </c>
      <c r="AB11" s="29">
        <f t="shared" si="20"/>
        <v>22320</v>
      </c>
      <c r="AC11" s="28">
        <f t="shared" si="21"/>
        <v>96623.999999999985</v>
      </c>
      <c r="AD11" s="29">
        <f t="shared" si="22"/>
        <v>11160</v>
      </c>
      <c r="AE11" s="28">
        <f t="shared" si="23"/>
        <v>48311.999999999993</v>
      </c>
      <c r="AF11" s="29">
        <f t="shared" si="24"/>
        <v>11160</v>
      </c>
      <c r="AG11" s="28">
        <f t="shared" si="25"/>
        <v>48311.999999999993</v>
      </c>
    </row>
    <row r="12" spans="2:33" ht="13.8" x14ac:dyDescent="0.25">
      <c r="B12" s="20" t="s">
        <v>5</v>
      </c>
      <c r="C12" s="25" t="str">
        <f>Deals!B12</f>
        <v>Sierra Pacific</v>
      </c>
      <c r="D12" t="str">
        <f>Deals!E12</f>
        <v>HLH</v>
      </c>
      <c r="E12" s="1">
        <f>Deals!L12</f>
        <v>64000</v>
      </c>
      <c r="F12" s="1">
        <f>Deals!M12</f>
        <v>242000</v>
      </c>
      <c r="H12" s="29">
        <f t="shared" si="0"/>
        <v>640000</v>
      </c>
      <c r="I12" s="28">
        <f t="shared" si="1"/>
        <v>2420000</v>
      </c>
      <c r="J12" s="29">
        <f t="shared" si="2"/>
        <v>576000</v>
      </c>
      <c r="K12" s="28">
        <f t="shared" si="3"/>
        <v>2178000</v>
      </c>
      <c r="L12" s="29">
        <f t="shared" si="4"/>
        <v>512000</v>
      </c>
      <c r="M12" s="28">
        <f t="shared" si="5"/>
        <v>1936000</v>
      </c>
      <c r="N12" s="29">
        <f t="shared" si="6"/>
        <v>448000</v>
      </c>
      <c r="O12" s="28">
        <f t="shared" si="7"/>
        <v>1694000</v>
      </c>
      <c r="P12" s="29">
        <f t="shared" si="8"/>
        <v>384000</v>
      </c>
      <c r="Q12" s="28">
        <f t="shared" si="9"/>
        <v>1452000</v>
      </c>
      <c r="R12" s="29">
        <f t="shared" si="10"/>
        <v>384000</v>
      </c>
      <c r="S12" s="28">
        <f t="shared" si="11"/>
        <v>1452000</v>
      </c>
      <c r="T12" s="29">
        <f t="shared" si="12"/>
        <v>320000</v>
      </c>
      <c r="U12" s="28">
        <f t="shared" si="13"/>
        <v>1210000</v>
      </c>
      <c r="V12" s="29">
        <f t="shared" si="14"/>
        <v>320000</v>
      </c>
      <c r="W12" s="28">
        <f t="shared" si="15"/>
        <v>1210000</v>
      </c>
      <c r="X12" s="29">
        <f t="shared" si="16"/>
        <v>256000</v>
      </c>
      <c r="Y12" s="28">
        <f t="shared" si="17"/>
        <v>968000</v>
      </c>
      <c r="Z12" s="29">
        <f t="shared" si="18"/>
        <v>192000</v>
      </c>
      <c r="AA12" s="28">
        <f t="shared" si="19"/>
        <v>726000</v>
      </c>
      <c r="AB12" s="29">
        <f t="shared" si="20"/>
        <v>128000</v>
      </c>
      <c r="AC12" s="28">
        <f t="shared" si="21"/>
        <v>484000</v>
      </c>
      <c r="AD12" s="29">
        <f t="shared" si="22"/>
        <v>64000</v>
      </c>
      <c r="AE12" s="28">
        <f t="shared" si="23"/>
        <v>242000</v>
      </c>
      <c r="AF12" s="29">
        <f t="shared" si="24"/>
        <v>64000</v>
      </c>
      <c r="AG12" s="28">
        <f t="shared" si="25"/>
        <v>242000</v>
      </c>
    </row>
    <row r="13" spans="2:33" ht="13.8" x14ac:dyDescent="0.25">
      <c r="B13" s="20" t="s">
        <v>5</v>
      </c>
      <c r="C13" s="25" t="str">
        <f>Deals!B13</f>
        <v>Sierra Pacific</v>
      </c>
      <c r="D13" t="str">
        <f>Deals!E13</f>
        <v>LLH</v>
      </c>
      <c r="E13" s="1">
        <f>Deals!L13</f>
        <v>23000</v>
      </c>
      <c r="F13" s="1">
        <f>Deals!M13</f>
        <v>86000</v>
      </c>
      <c r="H13" s="29">
        <f t="shared" si="0"/>
        <v>230000</v>
      </c>
      <c r="I13" s="28">
        <f t="shared" si="1"/>
        <v>860000</v>
      </c>
      <c r="J13" s="29">
        <f t="shared" si="2"/>
        <v>207000</v>
      </c>
      <c r="K13" s="28">
        <f t="shared" si="3"/>
        <v>774000</v>
      </c>
      <c r="L13" s="29">
        <f t="shared" si="4"/>
        <v>184000</v>
      </c>
      <c r="M13" s="28">
        <f t="shared" si="5"/>
        <v>688000</v>
      </c>
      <c r="N13" s="29">
        <f t="shared" si="6"/>
        <v>161000</v>
      </c>
      <c r="O13" s="28">
        <f t="shared" si="7"/>
        <v>602000</v>
      </c>
      <c r="P13" s="29">
        <f t="shared" si="8"/>
        <v>138000</v>
      </c>
      <c r="Q13" s="28">
        <f t="shared" si="9"/>
        <v>516000</v>
      </c>
      <c r="R13" s="29">
        <f t="shared" si="10"/>
        <v>138000</v>
      </c>
      <c r="S13" s="28">
        <f t="shared" si="11"/>
        <v>516000</v>
      </c>
      <c r="T13" s="29">
        <f t="shared" si="12"/>
        <v>115000</v>
      </c>
      <c r="U13" s="28">
        <f t="shared" si="13"/>
        <v>430000</v>
      </c>
      <c r="V13" s="29">
        <f t="shared" si="14"/>
        <v>115000</v>
      </c>
      <c r="W13" s="28">
        <f t="shared" si="15"/>
        <v>430000</v>
      </c>
      <c r="X13" s="29">
        <f t="shared" si="16"/>
        <v>92000</v>
      </c>
      <c r="Y13" s="28">
        <f t="shared" si="17"/>
        <v>344000</v>
      </c>
      <c r="Z13" s="29">
        <f t="shared" si="18"/>
        <v>69000</v>
      </c>
      <c r="AA13" s="28">
        <f t="shared" si="19"/>
        <v>258000</v>
      </c>
      <c r="AB13" s="29">
        <f t="shared" si="20"/>
        <v>46000</v>
      </c>
      <c r="AC13" s="28">
        <f t="shared" si="21"/>
        <v>172000</v>
      </c>
      <c r="AD13" s="29">
        <f t="shared" si="22"/>
        <v>23000</v>
      </c>
      <c r="AE13" s="28">
        <f t="shared" si="23"/>
        <v>86000</v>
      </c>
      <c r="AF13" s="29">
        <f t="shared" si="24"/>
        <v>23000</v>
      </c>
      <c r="AG13" s="28">
        <f t="shared" si="25"/>
        <v>86000</v>
      </c>
    </row>
    <row r="14" spans="2:33" ht="13.8" x14ac:dyDescent="0.25">
      <c r="B14" s="20" t="s">
        <v>4</v>
      </c>
      <c r="C14" s="25" t="str">
        <f>Deals!B14</f>
        <v>Nevada</v>
      </c>
      <c r="D14" t="str">
        <f>Deals!E14</f>
        <v>RTC</v>
      </c>
      <c r="E14" s="1">
        <f>Deals!L14</f>
        <v>104094</v>
      </c>
      <c r="F14" s="1">
        <f>Deals!M14</f>
        <v>295200</v>
      </c>
      <c r="H14" s="29">
        <f t="shared" si="0"/>
        <v>1040940</v>
      </c>
      <c r="I14" s="28">
        <f t="shared" si="1"/>
        <v>2952000</v>
      </c>
      <c r="J14" s="29">
        <f t="shared" si="2"/>
        <v>936846</v>
      </c>
      <c r="K14" s="28">
        <f t="shared" si="3"/>
        <v>2656800</v>
      </c>
      <c r="L14" s="29">
        <f t="shared" si="4"/>
        <v>832752</v>
      </c>
      <c r="M14" s="28">
        <f t="shared" si="5"/>
        <v>2361600</v>
      </c>
      <c r="N14" s="29">
        <f t="shared" si="6"/>
        <v>728658</v>
      </c>
      <c r="O14" s="28">
        <f t="shared" si="7"/>
        <v>2066400</v>
      </c>
      <c r="P14" s="29">
        <f t="shared" si="8"/>
        <v>624564</v>
      </c>
      <c r="Q14" s="28">
        <f t="shared" si="9"/>
        <v>1771200</v>
      </c>
      <c r="R14" s="29">
        <f t="shared" si="10"/>
        <v>624564</v>
      </c>
      <c r="S14" s="28">
        <f t="shared" si="11"/>
        <v>1771200</v>
      </c>
      <c r="T14" s="29">
        <f t="shared" si="12"/>
        <v>520470</v>
      </c>
      <c r="U14" s="28">
        <f t="shared" si="13"/>
        <v>1476000</v>
      </c>
      <c r="V14" s="29">
        <f t="shared" si="14"/>
        <v>520470</v>
      </c>
      <c r="W14" s="28">
        <f t="shared" si="15"/>
        <v>1476000</v>
      </c>
      <c r="X14" s="29">
        <f t="shared" si="16"/>
        <v>416376</v>
      </c>
      <c r="Y14" s="28">
        <f t="shared" si="17"/>
        <v>1180800</v>
      </c>
      <c r="Z14" s="29">
        <f t="shared" si="18"/>
        <v>312282</v>
      </c>
      <c r="AA14" s="28">
        <f t="shared" si="19"/>
        <v>885600</v>
      </c>
      <c r="AB14" s="29">
        <f t="shared" si="20"/>
        <v>208188</v>
      </c>
      <c r="AC14" s="28">
        <f t="shared" si="21"/>
        <v>590400</v>
      </c>
      <c r="AD14" s="29">
        <f t="shared" si="22"/>
        <v>104094</v>
      </c>
      <c r="AE14" s="28">
        <f t="shared" si="23"/>
        <v>295200</v>
      </c>
      <c r="AF14" s="29">
        <f t="shared" si="24"/>
        <v>104094</v>
      </c>
      <c r="AG14" s="28">
        <f t="shared" si="25"/>
        <v>295200</v>
      </c>
    </row>
    <row r="15" spans="2:33" ht="13.8" x14ac:dyDescent="0.25">
      <c r="B15" s="20" t="s">
        <v>6</v>
      </c>
      <c r="C15" s="25" t="str">
        <f>Deals!B15</f>
        <v>MWD</v>
      </c>
      <c r="D15" t="str">
        <f>Deals!E15</f>
        <v>LLH</v>
      </c>
      <c r="E15" s="1">
        <f>Deals!L15</f>
        <v>18800</v>
      </c>
      <c r="F15" s="1">
        <f>Deals!M15</f>
        <v>54000</v>
      </c>
      <c r="H15" s="29">
        <f t="shared" si="0"/>
        <v>188000</v>
      </c>
      <c r="I15" s="28">
        <f t="shared" si="1"/>
        <v>540000</v>
      </c>
      <c r="J15" s="29">
        <f t="shared" si="2"/>
        <v>169200</v>
      </c>
      <c r="K15" s="28">
        <f t="shared" si="3"/>
        <v>486000</v>
      </c>
      <c r="L15" s="29">
        <f t="shared" si="4"/>
        <v>150400</v>
      </c>
      <c r="M15" s="28">
        <f t="shared" si="5"/>
        <v>432000</v>
      </c>
      <c r="N15" s="29">
        <f t="shared" si="6"/>
        <v>131600</v>
      </c>
      <c r="O15" s="28">
        <f t="shared" si="7"/>
        <v>378000</v>
      </c>
      <c r="P15" s="29">
        <f t="shared" si="8"/>
        <v>112800</v>
      </c>
      <c r="Q15" s="28">
        <f t="shared" si="9"/>
        <v>324000</v>
      </c>
      <c r="R15" s="29">
        <f t="shared" si="10"/>
        <v>112800</v>
      </c>
      <c r="S15" s="28">
        <f t="shared" si="11"/>
        <v>324000</v>
      </c>
      <c r="T15" s="29">
        <f t="shared" si="12"/>
        <v>94000</v>
      </c>
      <c r="U15" s="28">
        <f t="shared" si="13"/>
        <v>270000</v>
      </c>
      <c r="V15" s="29">
        <f t="shared" si="14"/>
        <v>94000</v>
      </c>
      <c r="W15" s="28">
        <f t="shared" si="15"/>
        <v>270000</v>
      </c>
      <c r="X15" s="29">
        <f t="shared" si="16"/>
        <v>75200</v>
      </c>
      <c r="Y15" s="28">
        <f t="shared" si="17"/>
        <v>216000</v>
      </c>
      <c r="Z15" s="29">
        <f t="shared" si="18"/>
        <v>56400</v>
      </c>
      <c r="AA15" s="28">
        <f t="shared" si="19"/>
        <v>162000</v>
      </c>
      <c r="AB15" s="29">
        <f t="shared" si="20"/>
        <v>37600</v>
      </c>
      <c r="AC15" s="28">
        <f t="shared" si="21"/>
        <v>108000</v>
      </c>
      <c r="AD15" s="29">
        <f t="shared" si="22"/>
        <v>18800</v>
      </c>
      <c r="AE15" s="28">
        <f t="shared" si="23"/>
        <v>54000</v>
      </c>
      <c r="AF15" s="29">
        <f t="shared" si="24"/>
        <v>18800</v>
      </c>
      <c r="AG15" s="28">
        <f t="shared" si="25"/>
        <v>54000</v>
      </c>
    </row>
    <row r="16" spans="2:33" ht="13.8" x14ac:dyDescent="0.25">
      <c r="B16" s="15" t="s">
        <v>37</v>
      </c>
      <c r="C16" s="25" t="str">
        <f>Deals!B16</f>
        <v>Gray's Harbor</v>
      </c>
      <c r="D16" t="str">
        <f>Deals!E16</f>
        <v>HLH</v>
      </c>
      <c r="E16" s="1">
        <f>Deals!L16</f>
        <v>5120</v>
      </c>
      <c r="F16" s="1">
        <f>Deals!M16</f>
        <v>10240</v>
      </c>
      <c r="H16" s="29">
        <f t="shared" si="0"/>
        <v>51200</v>
      </c>
      <c r="I16" s="28">
        <f t="shared" si="1"/>
        <v>102400</v>
      </c>
      <c r="J16" s="29">
        <f t="shared" si="2"/>
        <v>46080</v>
      </c>
      <c r="K16" s="28">
        <f t="shared" si="3"/>
        <v>92160</v>
      </c>
      <c r="L16" s="29">
        <f t="shared" si="4"/>
        <v>40960</v>
      </c>
      <c r="M16" s="28">
        <f t="shared" si="5"/>
        <v>81920</v>
      </c>
      <c r="N16" s="29">
        <f t="shared" si="6"/>
        <v>35840</v>
      </c>
      <c r="O16" s="28">
        <f t="shared" si="7"/>
        <v>71680</v>
      </c>
      <c r="P16" s="29">
        <f t="shared" si="8"/>
        <v>30720</v>
      </c>
      <c r="Q16" s="28">
        <f t="shared" si="9"/>
        <v>61440</v>
      </c>
      <c r="R16" s="29">
        <f t="shared" si="10"/>
        <v>30720</v>
      </c>
      <c r="S16" s="28">
        <f t="shared" si="11"/>
        <v>61440</v>
      </c>
      <c r="T16" s="29">
        <f t="shared" si="12"/>
        <v>25600</v>
      </c>
      <c r="U16" s="28">
        <f t="shared" si="13"/>
        <v>51200</v>
      </c>
      <c r="V16" s="29">
        <f t="shared" si="14"/>
        <v>25600</v>
      </c>
      <c r="W16" s="28">
        <f t="shared" si="15"/>
        <v>51200</v>
      </c>
      <c r="X16" s="29">
        <f t="shared" si="16"/>
        <v>20480</v>
      </c>
      <c r="Y16" s="28">
        <f t="shared" si="17"/>
        <v>40960</v>
      </c>
      <c r="Z16" s="29">
        <f t="shared" si="18"/>
        <v>15360</v>
      </c>
      <c r="AA16" s="28">
        <f t="shared" si="19"/>
        <v>30720</v>
      </c>
      <c r="AB16" s="29">
        <f t="shared" si="20"/>
        <v>10240</v>
      </c>
      <c r="AC16" s="28">
        <f t="shared" si="21"/>
        <v>20480</v>
      </c>
      <c r="AD16" s="29">
        <f t="shared" si="22"/>
        <v>5120</v>
      </c>
      <c r="AE16" s="28">
        <f t="shared" si="23"/>
        <v>10240</v>
      </c>
      <c r="AF16" s="29">
        <f t="shared" si="24"/>
        <v>5120</v>
      </c>
      <c r="AG16" s="28">
        <f t="shared" si="25"/>
        <v>10240</v>
      </c>
    </row>
    <row r="17" spans="2:33" ht="13.8" x14ac:dyDescent="0.25">
      <c r="B17" s="20" t="s">
        <v>2</v>
      </c>
      <c r="C17" s="25" t="str">
        <f>Deals!B17</f>
        <v>CRC</v>
      </c>
      <c r="D17" t="str">
        <f>Deals!E17</f>
        <v>HLH</v>
      </c>
      <c r="E17" s="1">
        <f>Deals!L17</f>
        <v>25600</v>
      </c>
      <c r="F17" s="1">
        <f>Deals!M17</f>
        <v>46400</v>
      </c>
      <c r="H17" s="29">
        <f t="shared" si="0"/>
        <v>256000</v>
      </c>
      <c r="I17" s="28">
        <f t="shared" si="1"/>
        <v>464000</v>
      </c>
      <c r="J17" s="29">
        <f t="shared" si="2"/>
        <v>230400</v>
      </c>
      <c r="K17" s="28">
        <f t="shared" si="3"/>
        <v>417600</v>
      </c>
      <c r="L17" s="29">
        <f t="shared" si="4"/>
        <v>204800</v>
      </c>
      <c r="M17" s="28">
        <f t="shared" si="5"/>
        <v>371200</v>
      </c>
      <c r="N17" s="29">
        <f t="shared" si="6"/>
        <v>179200</v>
      </c>
      <c r="O17" s="28">
        <f t="shared" si="7"/>
        <v>324800</v>
      </c>
      <c r="P17" s="29">
        <f t="shared" si="8"/>
        <v>153600</v>
      </c>
      <c r="Q17" s="28">
        <f t="shared" si="9"/>
        <v>278400</v>
      </c>
      <c r="R17" s="29">
        <f t="shared" si="10"/>
        <v>153600</v>
      </c>
      <c r="S17" s="28">
        <f t="shared" si="11"/>
        <v>278400</v>
      </c>
      <c r="T17" s="29">
        <f t="shared" si="12"/>
        <v>128000</v>
      </c>
      <c r="U17" s="28">
        <f t="shared" si="13"/>
        <v>232000</v>
      </c>
      <c r="V17" s="29">
        <f t="shared" si="14"/>
        <v>128000</v>
      </c>
      <c r="W17" s="28">
        <f t="shared" si="15"/>
        <v>232000</v>
      </c>
      <c r="X17" s="29">
        <f t="shared" si="16"/>
        <v>102400</v>
      </c>
      <c r="Y17" s="28">
        <f t="shared" si="17"/>
        <v>185600</v>
      </c>
      <c r="Z17" s="29">
        <f t="shared" si="18"/>
        <v>76800</v>
      </c>
      <c r="AA17" s="28">
        <f t="shared" si="19"/>
        <v>139200</v>
      </c>
      <c r="AB17" s="29">
        <f t="shared" si="20"/>
        <v>51200</v>
      </c>
      <c r="AC17" s="28">
        <f t="shared" si="21"/>
        <v>92800</v>
      </c>
      <c r="AD17" s="29">
        <f t="shared" si="22"/>
        <v>25600</v>
      </c>
      <c r="AE17" s="28">
        <f t="shared" si="23"/>
        <v>46400</v>
      </c>
      <c r="AF17" s="29">
        <f t="shared" si="24"/>
        <v>25600</v>
      </c>
      <c r="AG17" s="28">
        <f t="shared" si="25"/>
        <v>46400</v>
      </c>
    </row>
    <row r="18" spans="2:33" ht="13.8" x14ac:dyDescent="0.25">
      <c r="B18" s="15" t="s">
        <v>26</v>
      </c>
      <c r="C18" s="25" t="str">
        <f>Deals!B18</f>
        <v>BPA</v>
      </c>
      <c r="D18" t="str">
        <f>Deals!E18</f>
        <v>LLH</v>
      </c>
      <c r="E18" s="1">
        <f>Deals!L18</f>
        <v>5200</v>
      </c>
      <c r="F18" s="1">
        <f>Deals!M18</f>
        <v>8600</v>
      </c>
      <c r="H18" s="29">
        <f t="shared" si="0"/>
        <v>52000</v>
      </c>
      <c r="I18" s="28">
        <f t="shared" si="1"/>
        <v>86000</v>
      </c>
      <c r="J18" s="29">
        <f t="shared" si="2"/>
        <v>46800</v>
      </c>
      <c r="K18" s="28">
        <f t="shared" si="3"/>
        <v>77400</v>
      </c>
      <c r="L18" s="29">
        <f t="shared" si="4"/>
        <v>41600</v>
      </c>
      <c r="M18" s="28">
        <f t="shared" si="5"/>
        <v>68800</v>
      </c>
      <c r="N18" s="29">
        <f t="shared" si="6"/>
        <v>36400</v>
      </c>
      <c r="O18" s="28">
        <f t="shared" si="7"/>
        <v>60200</v>
      </c>
      <c r="P18" s="29">
        <f t="shared" si="8"/>
        <v>31200</v>
      </c>
      <c r="Q18" s="28">
        <f t="shared" si="9"/>
        <v>51600</v>
      </c>
      <c r="R18" s="29">
        <f t="shared" si="10"/>
        <v>31200</v>
      </c>
      <c r="S18" s="28">
        <f t="shared" si="11"/>
        <v>51600</v>
      </c>
      <c r="T18" s="29">
        <f t="shared" si="12"/>
        <v>26000</v>
      </c>
      <c r="U18" s="28">
        <f t="shared" si="13"/>
        <v>43000</v>
      </c>
      <c r="V18" s="29">
        <f t="shared" si="14"/>
        <v>26000</v>
      </c>
      <c r="W18" s="28">
        <f t="shared" si="15"/>
        <v>43000</v>
      </c>
      <c r="X18" s="29">
        <f t="shared" si="16"/>
        <v>20800</v>
      </c>
      <c r="Y18" s="28">
        <f t="shared" si="17"/>
        <v>34400</v>
      </c>
      <c r="Z18" s="29">
        <f t="shared" si="18"/>
        <v>15600</v>
      </c>
      <c r="AA18" s="28">
        <f t="shared" si="19"/>
        <v>25800</v>
      </c>
      <c r="AB18" s="29">
        <f t="shared" si="20"/>
        <v>10400</v>
      </c>
      <c r="AC18" s="28">
        <f t="shared" si="21"/>
        <v>17200</v>
      </c>
      <c r="AD18" s="29">
        <f t="shared" si="22"/>
        <v>5200</v>
      </c>
      <c r="AE18" s="28">
        <f t="shared" si="23"/>
        <v>8600</v>
      </c>
      <c r="AF18" s="29">
        <f t="shared" si="24"/>
        <v>5200</v>
      </c>
      <c r="AG18" s="28">
        <f t="shared" si="25"/>
        <v>8600</v>
      </c>
    </row>
    <row r="19" spans="2:33" ht="13.8" x14ac:dyDescent="0.25">
      <c r="B19" s="15" t="s">
        <v>44</v>
      </c>
      <c r="C19" s="25" t="str">
        <f>Deals!B19</f>
        <v>BPA</v>
      </c>
      <c r="D19" t="str">
        <f>Deals!E19</f>
        <v>LLH</v>
      </c>
      <c r="E19" s="1">
        <f>Deals!L19</f>
        <v>5200</v>
      </c>
      <c r="F19" s="1">
        <f>Deals!M19</f>
        <v>8600</v>
      </c>
      <c r="H19" s="29">
        <f t="shared" si="0"/>
        <v>52000</v>
      </c>
      <c r="I19" s="28">
        <f t="shared" si="1"/>
        <v>86000</v>
      </c>
      <c r="J19" s="29">
        <f t="shared" si="2"/>
        <v>46800</v>
      </c>
      <c r="K19" s="28">
        <f t="shared" si="3"/>
        <v>77400</v>
      </c>
      <c r="L19" s="29">
        <f t="shared" si="4"/>
        <v>41600</v>
      </c>
      <c r="M19" s="28">
        <f t="shared" si="5"/>
        <v>68800</v>
      </c>
      <c r="N19" s="29">
        <f t="shared" si="6"/>
        <v>36400</v>
      </c>
      <c r="O19" s="28">
        <f t="shared" si="7"/>
        <v>60200</v>
      </c>
      <c r="P19" s="29">
        <f t="shared" si="8"/>
        <v>31200</v>
      </c>
      <c r="Q19" s="28">
        <f t="shared" si="9"/>
        <v>51600</v>
      </c>
      <c r="R19" s="29">
        <f t="shared" si="10"/>
        <v>31200</v>
      </c>
      <c r="S19" s="28">
        <f t="shared" si="11"/>
        <v>51600</v>
      </c>
      <c r="T19" s="29">
        <f t="shared" si="12"/>
        <v>26000</v>
      </c>
      <c r="U19" s="28">
        <f t="shared" si="13"/>
        <v>43000</v>
      </c>
      <c r="V19" s="29">
        <f t="shared" si="14"/>
        <v>26000</v>
      </c>
      <c r="W19" s="28">
        <f t="shared" si="15"/>
        <v>43000</v>
      </c>
      <c r="X19" s="29">
        <f t="shared" si="16"/>
        <v>20800</v>
      </c>
      <c r="Y19" s="28">
        <f t="shared" si="17"/>
        <v>34400</v>
      </c>
      <c r="Z19" s="29">
        <f t="shared" si="18"/>
        <v>15600</v>
      </c>
      <c r="AA19" s="28">
        <f t="shared" si="19"/>
        <v>25800</v>
      </c>
      <c r="AB19" s="29">
        <f t="shared" si="20"/>
        <v>10400</v>
      </c>
      <c r="AC19" s="28">
        <f t="shared" si="21"/>
        <v>17200</v>
      </c>
      <c r="AD19" s="29">
        <f t="shared" si="22"/>
        <v>5200</v>
      </c>
      <c r="AE19" s="28">
        <f t="shared" si="23"/>
        <v>8600</v>
      </c>
      <c r="AF19" s="29">
        <f t="shared" si="24"/>
        <v>5200</v>
      </c>
      <c r="AG19" s="28">
        <f t="shared" si="25"/>
        <v>8600</v>
      </c>
    </row>
    <row r="20" spans="2:33" ht="13.8" x14ac:dyDescent="0.25">
      <c r="B20" s="20" t="s">
        <v>11</v>
      </c>
      <c r="C20" s="25" t="str">
        <f>Deals!B20</f>
        <v>BPA</v>
      </c>
      <c r="D20" t="str">
        <f>Deals!E20</f>
        <v>LLH</v>
      </c>
      <c r="E20" s="1">
        <f>Deals!L20</f>
        <v>5200</v>
      </c>
      <c r="F20" s="1">
        <f>Deals!M20</f>
        <v>8550</v>
      </c>
      <c r="H20" s="29">
        <f t="shared" si="0"/>
        <v>52000</v>
      </c>
      <c r="I20" s="28">
        <f t="shared" si="1"/>
        <v>85500</v>
      </c>
      <c r="J20" s="29">
        <f t="shared" si="2"/>
        <v>46800</v>
      </c>
      <c r="K20" s="28">
        <f t="shared" si="3"/>
        <v>76950</v>
      </c>
      <c r="L20" s="29">
        <f t="shared" si="4"/>
        <v>41600</v>
      </c>
      <c r="M20" s="28">
        <f t="shared" si="5"/>
        <v>68400</v>
      </c>
      <c r="N20" s="29">
        <f t="shared" si="6"/>
        <v>36400</v>
      </c>
      <c r="O20" s="28">
        <f t="shared" si="7"/>
        <v>59850</v>
      </c>
      <c r="P20" s="29">
        <f t="shared" si="8"/>
        <v>31200</v>
      </c>
      <c r="Q20" s="28">
        <f t="shared" si="9"/>
        <v>51300</v>
      </c>
      <c r="R20" s="29">
        <f t="shared" si="10"/>
        <v>31200</v>
      </c>
      <c r="S20" s="28">
        <f t="shared" si="11"/>
        <v>51300</v>
      </c>
      <c r="T20" s="29">
        <f t="shared" si="12"/>
        <v>26000</v>
      </c>
      <c r="U20" s="28">
        <f t="shared" si="13"/>
        <v>42750</v>
      </c>
      <c r="V20" s="29">
        <f t="shared" si="14"/>
        <v>26000</v>
      </c>
      <c r="W20" s="28">
        <f t="shared" si="15"/>
        <v>42750</v>
      </c>
      <c r="X20" s="29">
        <f t="shared" si="16"/>
        <v>20800</v>
      </c>
      <c r="Y20" s="28">
        <f t="shared" si="17"/>
        <v>34200</v>
      </c>
      <c r="Z20" s="29">
        <f t="shared" si="18"/>
        <v>15600</v>
      </c>
      <c r="AA20" s="28">
        <f t="shared" si="19"/>
        <v>25650</v>
      </c>
      <c r="AB20" s="29">
        <f t="shared" si="20"/>
        <v>10400</v>
      </c>
      <c r="AC20" s="28">
        <f t="shared" si="21"/>
        <v>17100</v>
      </c>
      <c r="AD20" s="29">
        <f t="shared" si="22"/>
        <v>5200</v>
      </c>
      <c r="AE20" s="28">
        <f t="shared" si="23"/>
        <v>8550</v>
      </c>
      <c r="AF20" s="29">
        <f t="shared" si="24"/>
        <v>5200</v>
      </c>
      <c r="AG20" s="28">
        <f t="shared" si="25"/>
        <v>8550</v>
      </c>
    </row>
    <row r="21" spans="2:33" ht="13.8" x14ac:dyDescent="0.25">
      <c r="B21" s="15" t="s">
        <v>38</v>
      </c>
      <c r="C21" s="25" t="str">
        <f>Deals!B21</f>
        <v>Air Products</v>
      </c>
      <c r="D21" t="str">
        <f>Deals!E21</f>
        <v>RTC</v>
      </c>
      <c r="E21" s="1">
        <f>Deals!L21</f>
        <v>4236.4800000000005</v>
      </c>
      <c r="F21" s="1">
        <f>Deals!M21</f>
        <v>6364.8</v>
      </c>
      <c r="H21" s="29">
        <f t="shared" si="0"/>
        <v>42364.80000000001</v>
      </c>
      <c r="I21" s="28">
        <f t="shared" si="1"/>
        <v>63648.000000000015</v>
      </c>
      <c r="J21" s="29">
        <f t="shared" si="2"/>
        <v>38128.320000000007</v>
      </c>
      <c r="K21" s="28">
        <f t="shared" si="3"/>
        <v>57283.200000000012</v>
      </c>
      <c r="L21" s="29">
        <f t="shared" si="4"/>
        <v>33891.840000000004</v>
      </c>
      <c r="M21" s="28">
        <f t="shared" si="5"/>
        <v>50918.400000000009</v>
      </c>
      <c r="N21" s="29">
        <f t="shared" si="6"/>
        <v>29655.360000000001</v>
      </c>
      <c r="O21" s="28">
        <f t="shared" si="7"/>
        <v>44553.600000000006</v>
      </c>
      <c r="P21" s="29">
        <f t="shared" si="8"/>
        <v>25418.880000000001</v>
      </c>
      <c r="Q21" s="28">
        <f t="shared" si="9"/>
        <v>38188.800000000003</v>
      </c>
      <c r="R21" s="29">
        <f t="shared" si="10"/>
        <v>25418.880000000001</v>
      </c>
      <c r="S21" s="28">
        <f t="shared" si="11"/>
        <v>38188.800000000003</v>
      </c>
      <c r="T21" s="29">
        <f t="shared" si="12"/>
        <v>21182.400000000001</v>
      </c>
      <c r="U21" s="28">
        <f t="shared" si="13"/>
        <v>31824</v>
      </c>
      <c r="V21" s="29">
        <f t="shared" si="14"/>
        <v>21182.400000000001</v>
      </c>
      <c r="W21" s="28">
        <f t="shared" si="15"/>
        <v>31824</v>
      </c>
      <c r="X21" s="29">
        <f t="shared" si="16"/>
        <v>16945.920000000002</v>
      </c>
      <c r="Y21" s="28">
        <f t="shared" si="17"/>
        <v>25459.200000000001</v>
      </c>
      <c r="Z21" s="29">
        <f t="shared" si="18"/>
        <v>12709.440000000002</v>
      </c>
      <c r="AA21" s="28">
        <f t="shared" si="19"/>
        <v>19094.400000000001</v>
      </c>
      <c r="AB21" s="29">
        <f t="shared" si="20"/>
        <v>8472.9600000000009</v>
      </c>
      <c r="AC21" s="28">
        <f t="shared" si="21"/>
        <v>12729.6</v>
      </c>
      <c r="AD21" s="29">
        <f t="shared" si="22"/>
        <v>4236.4800000000005</v>
      </c>
      <c r="AE21" s="28">
        <f t="shared" si="23"/>
        <v>6364.8</v>
      </c>
      <c r="AF21" s="29">
        <f t="shared" si="24"/>
        <v>4236.4800000000005</v>
      </c>
      <c r="AG21" s="28">
        <f t="shared" si="25"/>
        <v>6364.8</v>
      </c>
    </row>
    <row r="22" spans="2:33" ht="13.8" x14ac:dyDescent="0.25">
      <c r="B22" s="15" t="s">
        <v>43</v>
      </c>
      <c r="C22" s="25" t="str">
        <f>Deals!B22</f>
        <v>City of Roseville</v>
      </c>
      <c r="D22" t="str">
        <f>Deals!E22</f>
        <v>RTC</v>
      </c>
      <c r="E22" s="1">
        <f>Deals!L22</f>
        <v>41816.999999999993</v>
      </c>
      <c r="F22" s="1">
        <f>Deals!M22</f>
        <v>58800</v>
      </c>
      <c r="H22" s="29">
        <f t="shared" si="0"/>
        <v>418169.99999999994</v>
      </c>
      <c r="I22" s="28">
        <f t="shared" si="1"/>
        <v>588000</v>
      </c>
      <c r="J22" s="29">
        <f t="shared" si="2"/>
        <v>376352.99999999994</v>
      </c>
      <c r="K22" s="28">
        <f t="shared" si="3"/>
        <v>529200</v>
      </c>
      <c r="L22" s="29">
        <f t="shared" si="4"/>
        <v>334535.99999999994</v>
      </c>
      <c r="M22" s="28">
        <f t="shared" si="5"/>
        <v>470400</v>
      </c>
      <c r="N22" s="29">
        <f t="shared" si="6"/>
        <v>292718.99999999994</v>
      </c>
      <c r="O22" s="28">
        <f t="shared" si="7"/>
        <v>411600</v>
      </c>
      <c r="P22" s="29">
        <f t="shared" si="8"/>
        <v>250901.99999999997</v>
      </c>
      <c r="Q22" s="28">
        <f t="shared" si="9"/>
        <v>352800</v>
      </c>
      <c r="R22" s="29">
        <f t="shared" si="10"/>
        <v>250901.99999999997</v>
      </c>
      <c r="S22" s="28">
        <f t="shared" si="11"/>
        <v>352800</v>
      </c>
      <c r="T22" s="29">
        <f t="shared" si="12"/>
        <v>209084.99999999997</v>
      </c>
      <c r="U22" s="28">
        <f t="shared" si="13"/>
        <v>294000</v>
      </c>
      <c r="V22" s="29">
        <f t="shared" si="14"/>
        <v>209084.99999999997</v>
      </c>
      <c r="W22" s="28">
        <f t="shared" si="15"/>
        <v>294000</v>
      </c>
      <c r="X22" s="29">
        <f t="shared" si="16"/>
        <v>167267.99999999997</v>
      </c>
      <c r="Y22" s="28">
        <f t="shared" si="17"/>
        <v>235200</v>
      </c>
      <c r="Z22" s="29">
        <f t="shared" si="18"/>
        <v>125450.99999999997</v>
      </c>
      <c r="AA22" s="28">
        <f t="shared" si="19"/>
        <v>176400</v>
      </c>
      <c r="AB22" s="29">
        <f t="shared" si="20"/>
        <v>83633.999999999985</v>
      </c>
      <c r="AC22" s="28">
        <f t="shared" si="21"/>
        <v>117600</v>
      </c>
      <c r="AD22" s="29">
        <f t="shared" si="22"/>
        <v>41816.999999999993</v>
      </c>
      <c r="AE22" s="28">
        <f t="shared" si="23"/>
        <v>58800</v>
      </c>
      <c r="AF22" s="29">
        <f t="shared" si="24"/>
        <v>41816.999999999993</v>
      </c>
      <c r="AG22" s="28">
        <f t="shared" si="25"/>
        <v>58800</v>
      </c>
    </row>
    <row r="23" spans="2:33" ht="13.8" x14ac:dyDescent="0.25">
      <c r="B23" s="15" t="s">
        <v>43</v>
      </c>
      <c r="C23" s="25" t="str">
        <f>Deals!B23</f>
        <v>Santa Clara</v>
      </c>
      <c r="D23" t="str">
        <f>Deals!E23</f>
        <v>HLH</v>
      </c>
      <c r="E23" s="1">
        <f>Deals!L23</f>
        <v>26400</v>
      </c>
      <c r="F23" s="1">
        <f>Deals!M23</f>
        <v>37720</v>
      </c>
      <c r="H23" s="29">
        <f t="shared" si="0"/>
        <v>264000</v>
      </c>
      <c r="I23" s="28">
        <f t="shared" si="1"/>
        <v>377200</v>
      </c>
      <c r="J23" s="29">
        <f t="shared" si="2"/>
        <v>237600</v>
      </c>
      <c r="K23" s="28">
        <f t="shared" si="3"/>
        <v>339480</v>
      </c>
      <c r="L23" s="29">
        <f t="shared" si="4"/>
        <v>211200</v>
      </c>
      <c r="M23" s="28">
        <f t="shared" si="5"/>
        <v>301760</v>
      </c>
      <c r="N23" s="29">
        <f t="shared" si="6"/>
        <v>184800</v>
      </c>
      <c r="O23" s="28">
        <f t="shared" si="7"/>
        <v>264040</v>
      </c>
      <c r="P23" s="29">
        <f t="shared" si="8"/>
        <v>158400</v>
      </c>
      <c r="Q23" s="28">
        <f t="shared" si="9"/>
        <v>226320</v>
      </c>
      <c r="R23" s="29">
        <f t="shared" si="10"/>
        <v>158400</v>
      </c>
      <c r="S23" s="28">
        <f t="shared" si="11"/>
        <v>226320</v>
      </c>
      <c r="T23" s="29">
        <f t="shared" si="12"/>
        <v>132000</v>
      </c>
      <c r="U23" s="28">
        <f t="shared" si="13"/>
        <v>188600</v>
      </c>
      <c r="V23" s="29">
        <f t="shared" si="14"/>
        <v>132000</v>
      </c>
      <c r="W23" s="28">
        <f t="shared" si="15"/>
        <v>188600</v>
      </c>
      <c r="X23" s="29">
        <f t="shared" si="16"/>
        <v>105600</v>
      </c>
      <c r="Y23" s="28">
        <f t="shared" si="17"/>
        <v>150880</v>
      </c>
      <c r="Z23" s="29">
        <f t="shared" si="18"/>
        <v>79200</v>
      </c>
      <c r="AA23" s="28">
        <f t="shared" si="19"/>
        <v>113160</v>
      </c>
      <c r="AB23" s="29">
        <f t="shared" si="20"/>
        <v>52800</v>
      </c>
      <c r="AC23" s="28">
        <f t="shared" si="21"/>
        <v>75440</v>
      </c>
      <c r="AD23" s="29">
        <f t="shared" si="22"/>
        <v>26400</v>
      </c>
      <c r="AE23" s="28">
        <f t="shared" si="23"/>
        <v>37720</v>
      </c>
      <c r="AF23" s="29">
        <f t="shared" si="24"/>
        <v>26400</v>
      </c>
      <c r="AG23" s="28">
        <f t="shared" si="25"/>
        <v>37720</v>
      </c>
    </row>
    <row r="24" spans="2:33" ht="13.8" x14ac:dyDescent="0.25">
      <c r="B24" s="15" t="s">
        <v>43</v>
      </c>
      <c r="C24" s="25" t="str">
        <f>Deals!B24</f>
        <v>WAPA</v>
      </c>
      <c r="D24" t="str">
        <f>Deals!E24</f>
        <v>RTC</v>
      </c>
      <c r="E24" s="1">
        <f>Deals!L24</f>
        <v>19800</v>
      </c>
      <c r="F24" s="1">
        <f>Deals!M24</f>
        <v>27000</v>
      </c>
      <c r="H24" s="29">
        <f t="shared" si="0"/>
        <v>198000</v>
      </c>
      <c r="I24" s="28">
        <f t="shared" si="1"/>
        <v>270000</v>
      </c>
      <c r="J24" s="29">
        <f t="shared" si="2"/>
        <v>178200</v>
      </c>
      <c r="K24" s="28">
        <f t="shared" si="3"/>
        <v>243000</v>
      </c>
      <c r="L24" s="29">
        <f t="shared" si="4"/>
        <v>158400</v>
      </c>
      <c r="M24" s="28">
        <f t="shared" si="5"/>
        <v>216000</v>
      </c>
      <c r="N24" s="29">
        <f t="shared" si="6"/>
        <v>138600</v>
      </c>
      <c r="O24" s="28">
        <f t="shared" si="7"/>
        <v>189000</v>
      </c>
      <c r="P24" s="29">
        <f t="shared" si="8"/>
        <v>118800</v>
      </c>
      <c r="Q24" s="28">
        <f t="shared" si="9"/>
        <v>162000</v>
      </c>
      <c r="R24" s="29">
        <f t="shared" si="10"/>
        <v>118800</v>
      </c>
      <c r="S24" s="28">
        <f t="shared" si="11"/>
        <v>162000</v>
      </c>
      <c r="T24" s="29">
        <f t="shared" si="12"/>
        <v>99000</v>
      </c>
      <c r="U24" s="28">
        <f t="shared" si="13"/>
        <v>135000</v>
      </c>
      <c r="V24" s="29">
        <f t="shared" si="14"/>
        <v>99000</v>
      </c>
      <c r="W24" s="28">
        <f t="shared" si="15"/>
        <v>135000</v>
      </c>
      <c r="X24" s="29">
        <f t="shared" si="16"/>
        <v>79200</v>
      </c>
      <c r="Y24" s="28">
        <f t="shared" si="17"/>
        <v>108000</v>
      </c>
      <c r="Z24" s="29">
        <f t="shared" si="18"/>
        <v>59400</v>
      </c>
      <c r="AA24" s="28">
        <f t="shared" si="19"/>
        <v>81000</v>
      </c>
      <c r="AB24" s="29">
        <f t="shared" si="20"/>
        <v>39600</v>
      </c>
      <c r="AC24" s="28">
        <f t="shared" si="21"/>
        <v>54000</v>
      </c>
      <c r="AD24" s="29">
        <f t="shared" si="22"/>
        <v>19800</v>
      </c>
      <c r="AE24" s="28">
        <f t="shared" si="23"/>
        <v>27000</v>
      </c>
      <c r="AF24" s="29">
        <f t="shared" si="24"/>
        <v>19800</v>
      </c>
      <c r="AG24" s="28">
        <f t="shared" si="25"/>
        <v>27000</v>
      </c>
    </row>
    <row r="25" spans="2:33" ht="13.8" x14ac:dyDescent="0.25">
      <c r="B25" s="20" t="s">
        <v>7</v>
      </c>
      <c r="C25" s="25" t="str">
        <f>Deals!B25</f>
        <v>VEA</v>
      </c>
      <c r="D25" t="str">
        <f>Deals!E25</f>
        <v>RTC</v>
      </c>
      <c r="E25" s="1">
        <f>Deals!L25</f>
        <v>27758.399999999998</v>
      </c>
      <c r="F25" s="1">
        <f>Deals!M25</f>
        <v>37756.799999999996</v>
      </c>
      <c r="H25" s="29">
        <f t="shared" si="0"/>
        <v>277584</v>
      </c>
      <c r="I25" s="28">
        <f t="shared" si="1"/>
        <v>377567.99999999994</v>
      </c>
      <c r="J25" s="29">
        <f t="shared" si="2"/>
        <v>249825.59999999998</v>
      </c>
      <c r="K25" s="28">
        <f t="shared" si="3"/>
        <v>339811.19999999995</v>
      </c>
      <c r="L25" s="29">
        <f t="shared" si="4"/>
        <v>222067.19999999998</v>
      </c>
      <c r="M25" s="28">
        <f t="shared" si="5"/>
        <v>302054.39999999997</v>
      </c>
      <c r="N25" s="29">
        <f t="shared" si="6"/>
        <v>194308.8</v>
      </c>
      <c r="O25" s="28">
        <f t="shared" si="7"/>
        <v>264297.59999999998</v>
      </c>
      <c r="P25" s="29">
        <f t="shared" si="8"/>
        <v>166550.39999999999</v>
      </c>
      <c r="Q25" s="28">
        <f t="shared" si="9"/>
        <v>226540.79999999996</v>
      </c>
      <c r="R25" s="29">
        <f t="shared" si="10"/>
        <v>166550.39999999999</v>
      </c>
      <c r="S25" s="28">
        <f t="shared" si="11"/>
        <v>226540.79999999996</v>
      </c>
      <c r="T25" s="29">
        <f t="shared" si="12"/>
        <v>138792</v>
      </c>
      <c r="U25" s="28">
        <f t="shared" si="13"/>
        <v>188783.99999999997</v>
      </c>
      <c r="V25" s="29">
        <f t="shared" si="14"/>
        <v>138792</v>
      </c>
      <c r="W25" s="28">
        <f t="shared" si="15"/>
        <v>188783.99999999997</v>
      </c>
      <c r="X25" s="29">
        <f t="shared" si="16"/>
        <v>111033.59999999999</v>
      </c>
      <c r="Y25" s="28">
        <f t="shared" si="17"/>
        <v>151027.19999999998</v>
      </c>
      <c r="Z25" s="29">
        <f t="shared" si="18"/>
        <v>83275.199999999997</v>
      </c>
      <c r="AA25" s="28">
        <f t="shared" si="19"/>
        <v>113270.39999999999</v>
      </c>
      <c r="AB25" s="29">
        <f t="shared" si="20"/>
        <v>55516.799999999996</v>
      </c>
      <c r="AC25" s="28">
        <f t="shared" si="21"/>
        <v>75513.599999999991</v>
      </c>
      <c r="AD25" s="29">
        <f t="shared" si="22"/>
        <v>27758.399999999998</v>
      </c>
      <c r="AE25" s="28">
        <f t="shared" si="23"/>
        <v>37756.799999999996</v>
      </c>
      <c r="AF25" s="29">
        <f t="shared" si="24"/>
        <v>27758.399999999998</v>
      </c>
      <c r="AG25" s="28">
        <f t="shared" si="25"/>
        <v>37756.799999999996</v>
      </c>
    </row>
    <row r="26" spans="2:33" ht="13.8" x14ac:dyDescent="0.25">
      <c r="B26" s="15" t="s">
        <v>32</v>
      </c>
      <c r="C26" s="25" t="str">
        <f>Deals!B26</f>
        <v>Douglas PUD</v>
      </c>
      <c r="D26" t="str">
        <f>Deals!E26</f>
        <v>HLH</v>
      </c>
      <c r="E26" s="1">
        <f>Deals!L26</f>
        <v>12800</v>
      </c>
      <c r="F26" s="1">
        <f>Deals!M26</f>
        <v>14860</v>
      </c>
      <c r="H26" s="29">
        <f t="shared" si="0"/>
        <v>128000</v>
      </c>
      <c r="I26" s="28">
        <f t="shared" si="1"/>
        <v>148600</v>
      </c>
      <c r="J26" s="29">
        <f t="shared" si="2"/>
        <v>115200</v>
      </c>
      <c r="K26" s="28">
        <f t="shared" si="3"/>
        <v>133740</v>
      </c>
      <c r="L26" s="29">
        <f t="shared" si="4"/>
        <v>102400</v>
      </c>
      <c r="M26" s="28">
        <f t="shared" si="5"/>
        <v>118880</v>
      </c>
      <c r="N26" s="29">
        <f t="shared" si="6"/>
        <v>89600</v>
      </c>
      <c r="O26" s="28">
        <f t="shared" si="7"/>
        <v>104020</v>
      </c>
      <c r="P26" s="29">
        <f t="shared" si="8"/>
        <v>76800</v>
      </c>
      <c r="Q26" s="28">
        <f t="shared" si="9"/>
        <v>89160</v>
      </c>
      <c r="R26" s="29">
        <f t="shared" si="10"/>
        <v>76800</v>
      </c>
      <c r="S26" s="28">
        <f t="shared" si="11"/>
        <v>89160</v>
      </c>
      <c r="T26" s="29">
        <f t="shared" si="12"/>
        <v>64000</v>
      </c>
      <c r="U26" s="28">
        <f t="shared" si="13"/>
        <v>74300</v>
      </c>
      <c r="V26" s="29">
        <f t="shared" si="14"/>
        <v>64000</v>
      </c>
      <c r="W26" s="28">
        <f t="shared" si="15"/>
        <v>74300</v>
      </c>
      <c r="X26" s="29">
        <f t="shared" si="16"/>
        <v>51200</v>
      </c>
      <c r="Y26" s="28">
        <f t="shared" si="17"/>
        <v>59440</v>
      </c>
      <c r="Z26" s="29">
        <f t="shared" si="18"/>
        <v>38400</v>
      </c>
      <c r="AA26" s="28">
        <f t="shared" si="19"/>
        <v>44580</v>
      </c>
      <c r="AB26" s="29">
        <f t="shared" si="20"/>
        <v>25600</v>
      </c>
      <c r="AC26" s="28">
        <f t="shared" si="21"/>
        <v>29720</v>
      </c>
      <c r="AD26" s="29">
        <f t="shared" si="22"/>
        <v>12800</v>
      </c>
      <c r="AE26" s="28">
        <f t="shared" si="23"/>
        <v>14860</v>
      </c>
      <c r="AF26" s="29">
        <f t="shared" si="24"/>
        <v>12800</v>
      </c>
      <c r="AG26" s="28">
        <f t="shared" si="25"/>
        <v>14860</v>
      </c>
    </row>
    <row r="27" spans="2:33" ht="13.8" x14ac:dyDescent="0.25">
      <c r="B27" s="15" t="s">
        <v>29</v>
      </c>
      <c r="C27" s="25" t="str">
        <f>Deals!B27</f>
        <v>Dympi</v>
      </c>
      <c r="D27" t="str">
        <f>Deals!E27</f>
        <v>LLH</v>
      </c>
      <c r="E27" s="1">
        <f>Deals!L27</f>
        <v>0</v>
      </c>
      <c r="F27" s="1">
        <f>Deals!M27</f>
        <v>0</v>
      </c>
      <c r="H27" s="29">
        <f t="shared" si="0"/>
        <v>0</v>
      </c>
      <c r="I27" s="28">
        <f t="shared" si="1"/>
        <v>0</v>
      </c>
      <c r="J27" s="29">
        <f t="shared" si="2"/>
        <v>0</v>
      </c>
      <c r="K27" s="28">
        <f t="shared" si="3"/>
        <v>0</v>
      </c>
      <c r="L27" s="29">
        <f t="shared" si="4"/>
        <v>0</v>
      </c>
      <c r="M27" s="28">
        <f t="shared" si="5"/>
        <v>0</v>
      </c>
      <c r="N27" s="29">
        <f t="shared" si="6"/>
        <v>0</v>
      </c>
      <c r="O27" s="28">
        <f t="shared" si="7"/>
        <v>0</v>
      </c>
      <c r="P27" s="29">
        <f t="shared" si="8"/>
        <v>0</v>
      </c>
      <c r="Q27" s="28">
        <f t="shared" si="9"/>
        <v>0</v>
      </c>
      <c r="R27" s="29">
        <f t="shared" si="10"/>
        <v>0</v>
      </c>
      <c r="S27" s="28">
        <f t="shared" si="11"/>
        <v>0</v>
      </c>
      <c r="T27" s="29">
        <f t="shared" si="12"/>
        <v>0</v>
      </c>
      <c r="U27" s="28">
        <f t="shared" si="13"/>
        <v>0</v>
      </c>
      <c r="V27" s="29">
        <f t="shared" si="14"/>
        <v>0</v>
      </c>
      <c r="W27" s="28">
        <f t="shared" si="15"/>
        <v>0</v>
      </c>
      <c r="X27" s="29">
        <f t="shared" si="16"/>
        <v>0</v>
      </c>
      <c r="Y27" s="28">
        <f t="shared" si="17"/>
        <v>0</v>
      </c>
      <c r="Z27" s="29">
        <f t="shared" si="18"/>
        <v>0</v>
      </c>
      <c r="AA27" s="28">
        <f t="shared" si="19"/>
        <v>0</v>
      </c>
      <c r="AB27" s="29">
        <f t="shared" si="20"/>
        <v>0</v>
      </c>
      <c r="AC27" s="28">
        <f t="shared" si="21"/>
        <v>0</v>
      </c>
      <c r="AD27" s="29">
        <f t="shared" si="22"/>
        <v>0</v>
      </c>
      <c r="AE27" s="28">
        <f t="shared" si="23"/>
        <v>0</v>
      </c>
      <c r="AF27" s="29">
        <f t="shared" si="24"/>
        <v>0</v>
      </c>
      <c r="AG27" s="28">
        <f t="shared" si="25"/>
        <v>0</v>
      </c>
    </row>
    <row r="28" spans="2:33" ht="13.8" x14ac:dyDescent="0.25">
      <c r="B28" s="15" t="s">
        <v>28</v>
      </c>
      <c r="C28" s="25" t="str">
        <f>Deals!B28</f>
        <v>San Diego</v>
      </c>
      <c r="D28" t="str">
        <f>Deals!E28</f>
        <v>LLH</v>
      </c>
      <c r="E28" s="1">
        <f>Deals!L28</f>
        <v>0</v>
      </c>
      <c r="F28" s="1">
        <f>Deals!M28</f>
        <v>0</v>
      </c>
      <c r="H28" s="29">
        <f t="shared" si="0"/>
        <v>0</v>
      </c>
      <c r="I28" s="28">
        <f t="shared" si="1"/>
        <v>0</v>
      </c>
      <c r="J28" s="29">
        <f t="shared" si="2"/>
        <v>0</v>
      </c>
      <c r="K28" s="28">
        <f t="shared" si="3"/>
        <v>0</v>
      </c>
      <c r="L28" s="29">
        <f t="shared" si="4"/>
        <v>0</v>
      </c>
      <c r="M28" s="28">
        <f t="shared" si="5"/>
        <v>0</v>
      </c>
      <c r="N28" s="29">
        <f t="shared" si="6"/>
        <v>0</v>
      </c>
      <c r="O28" s="28">
        <f t="shared" si="7"/>
        <v>0</v>
      </c>
      <c r="P28" s="29">
        <f t="shared" si="8"/>
        <v>0</v>
      </c>
      <c r="Q28" s="28">
        <f t="shared" si="9"/>
        <v>0</v>
      </c>
      <c r="R28" s="29">
        <f t="shared" si="10"/>
        <v>0</v>
      </c>
      <c r="S28" s="28">
        <f t="shared" si="11"/>
        <v>0</v>
      </c>
      <c r="T28" s="29">
        <f t="shared" si="12"/>
        <v>0</v>
      </c>
      <c r="U28" s="28">
        <f t="shared" si="13"/>
        <v>0</v>
      </c>
      <c r="V28" s="29">
        <f t="shared" si="14"/>
        <v>0</v>
      </c>
      <c r="W28" s="28">
        <f t="shared" si="15"/>
        <v>0</v>
      </c>
      <c r="X28" s="29">
        <f t="shared" si="16"/>
        <v>0</v>
      </c>
      <c r="Y28" s="28">
        <f t="shared" si="17"/>
        <v>0</v>
      </c>
      <c r="Z28" s="29">
        <f t="shared" si="18"/>
        <v>0</v>
      </c>
      <c r="AA28" s="28">
        <f t="shared" si="19"/>
        <v>0</v>
      </c>
      <c r="AB28" s="29">
        <f t="shared" si="20"/>
        <v>0</v>
      </c>
      <c r="AC28" s="28">
        <f t="shared" si="21"/>
        <v>0</v>
      </c>
      <c r="AD28" s="29">
        <f t="shared" si="22"/>
        <v>0</v>
      </c>
      <c r="AE28" s="28">
        <f t="shared" si="23"/>
        <v>0</v>
      </c>
      <c r="AF28" s="29">
        <f t="shared" si="24"/>
        <v>0</v>
      </c>
      <c r="AG28" s="28">
        <f t="shared" si="25"/>
        <v>0</v>
      </c>
    </row>
    <row r="29" spans="2:33" ht="13.8" x14ac:dyDescent="0.25">
      <c r="B29" s="15" t="s">
        <v>29</v>
      </c>
      <c r="C29" s="25" t="str">
        <f>Deals!B29</f>
        <v>Dympi</v>
      </c>
      <c r="D29" t="str">
        <f>Deals!E29</f>
        <v>HLH</v>
      </c>
      <c r="E29" s="1">
        <f>Deals!L29</f>
        <v>0</v>
      </c>
      <c r="F29" s="1">
        <f>Deals!M29</f>
        <v>0</v>
      </c>
      <c r="H29" s="29">
        <f t="shared" si="0"/>
        <v>0</v>
      </c>
      <c r="I29" s="28">
        <f t="shared" si="1"/>
        <v>0</v>
      </c>
      <c r="J29" s="29">
        <f t="shared" si="2"/>
        <v>0</v>
      </c>
      <c r="K29" s="28">
        <f t="shared" si="3"/>
        <v>0</v>
      </c>
      <c r="L29" s="29">
        <f t="shared" si="4"/>
        <v>0</v>
      </c>
      <c r="M29" s="28">
        <f t="shared" si="5"/>
        <v>0</v>
      </c>
      <c r="N29" s="29">
        <f t="shared" si="6"/>
        <v>0</v>
      </c>
      <c r="O29" s="28">
        <f t="shared" si="7"/>
        <v>0</v>
      </c>
      <c r="P29" s="29">
        <f t="shared" si="8"/>
        <v>0</v>
      </c>
      <c r="Q29" s="28">
        <f t="shared" si="9"/>
        <v>0</v>
      </c>
      <c r="R29" s="29">
        <f t="shared" si="10"/>
        <v>0</v>
      </c>
      <c r="S29" s="28">
        <f t="shared" si="11"/>
        <v>0</v>
      </c>
      <c r="T29" s="29">
        <f t="shared" si="12"/>
        <v>0</v>
      </c>
      <c r="U29" s="28">
        <f t="shared" si="13"/>
        <v>0</v>
      </c>
      <c r="V29" s="29">
        <f t="shared" si="14"/>
        <v>0</v>
      </c>
      <c r="W29" s="28">
        <f t="shared" si="15"/>
        <v>0</v>
      </c>
      <c r="X29" s="29">
        <f t="shared" si="16"/>
        <v>0</v>
      </c>
      <c r="Y29" s="28">
        <f t="shared" si="17"/>
        <v>0</v>
      </c>
      <c r="Z29" s="29">
        <f t="shared" si="18"/>
        <v>0</v>
      </c>
      <c r="AA29" s="28">
        <f t="shared" si="19"/>
        <v>0</v>
      </c>
      <c r="AB29" s="29">
        <f t="shared" si="20"/>
        <v>0</v>
      </c>
      <c r="AC29" s="28">
        <f t="shared" si="21"/>
        <v>0</v>
      </c>
      <c r="AD29" s="29">
        <f t="shared" si="22"/>
        <v>0</v>
      </c>
      <c r="AE29" s="28">
        <f t="shared" si="23"/>
        <v>0</v>
      </c>
      <c r="AF29" s="29">
        <f t="shared" si="24"/>
        <v>0</v>
      </c>
      <c r="AG29" s="28">
        <f t="shared" si="25"/>
        <v>0</v>
      </c>
    </row>
    <row r="30" spans="2:33" ht="13.8" x14ac:dyDescent="0.25">
      <c r="B30" s="15" t="s">
        <v>43</v>
      </c>
      <c r="C30" s="25" t="str">
        <f>Deals!B30</f>
        <v>Waum</v>
      </c>
      <c r="D30" t="str">
        <f>Deals!E30</f>
        <v>LLH</v>
      </c>
      <c r="E30" s="1">
        <f>Deals!L30</f>
        <v>0</v>
      </c>
      <c r="F30" s="1">
        <f>Deals!M30</f>
        <v>0</v>
      </c>
      <c r="H30" s="29">
        <f t="shared" si="0"/>
        <v>0</v>
      </c>
      <c r="I30" s="28">
        <f t="shared" si="1"/>
        <v>0</v>
      </c>
      <c r="J30" s="29">
        <f t="shared" si="2"/>
        <v>0</v>
      </c>
      <c r="K30" s="28">
        <f t="shared" si="3"/>
        <v>0</v>
      </c>
      <c r="L30" s="29">
        <f t="shared" si="4"/>
        <v>0</v>
      </c>
      <c r="M30" s="28">
        <f t="shared" si="5"/>
        <v>0</v>
      </c>
      <c r="N30" s="29">
        <f t="shared" si="6"/>
        <v>0</v>
      </c>
      <c r="O30" s="28">
        <f t="shared" si="7"/>
        <v>0</v>
      </c>
      <c r="P30" s="29">
        <f t="shared" si="8"/>
        <v>0</v>
      </c>
      <c r="Q30" s="28">
        <f t="shared" si="9"/>
        <v>0</v>
      </c>
      <c r="R30" s="29">
        <f t="shared" si="10"/>
        <v>0</v>
      </c>
      <c r="S30" s="28">
        <f t="shared" si="11"/>
        <v>0</v>
      </c>
      <c r="T30" s="29">
        <f t="shared" si="12"/>
        <v>0</v>
      </c>
      <c r="U30" s="28">
        <f t="shared" si="13"/>
        <v>0</v>
      </c>
      <c r="V30" s="29">
        <f t="shared" si="14"/>
        <v>0</v>
      </c>
      <c r="W30" s="28">
        <f t="shared" si="15"/>
        <v>0</v>
      </c>
      <c r="X30" s="29">
        <f t="shared" si="16"/>
        <v>0</v>
      </c>
      <c r="Y30" s="28">
        <f t="shared" si="17"/>
        <v>0</v>
      </c>
      <c r="Z30" s="29">
        <f t="shared" si="18"/>
        <v>0</v>
      </c>
      <c r="AA30" s="28">
        <f t="shared" si="19"/>
        <v>0</v>
      </c>
      <c r="AB30" s="29">
        <f t="shared" si="20"/>
        <v>0</v>
      </c>
      <c r="AC30" s="28">
        <f t="shared" si="21"/>
        <v>0</v>
      </c>
      <c r="AD30" s="29">
        <f t="shared" si="22"/>
        <v>0</v>
      </c>
      <c r="AE30" s="28">
        <f t="shared" si="23"/>
        <v>0</v>
      </c>
      <c r="AF30" s="29">
        <f t="shared" si="24"/>
        <v>0</v>
      </c>
      <c r="AG30" s="28">
        <f t="shared" si="25"/>
        <v>0</v>
      </c>
    </row>
    <row r="31" spans="2:33" ht="13.8" x14ac:dyDescent="0.25">
      <c r="B31" s="15" t="s">
        <v>40</v>
      </c>
      <c r="C31" s="25" t="str">
        <f>Deals!B31</f>
        <v>Dympi</v>
      </c>
      <c r="D31" t="str">
        <f>Deals!E31</f>
        <v>LLH</v>
      </c>
      <c r="E31" s="1">
        <f>Deals!L31</f>
        <v>0</v>
      </c>
      <c r="F31" s="1">
        <f>Deals!M31</f>
        <v>0</v>
      </c>
      <c r="H31" s="29">
        <f t="shared" si="0"/>
        <v>0</v>
      </c>
      <c r="I31" s="28">
        <f t="shared" si="1"/>
        <v>0</v>
      </c>
      <c r="J31" s="29">
        <f t="shared" si="2"/>
        <v>0</v>
      </c>
      <c r="K31" s="28">
        <f t="shared" si="3"/>
        <v>0</v>
      </c>
      <c r="L31" s="29">
        <f t="shared" si="4"/>
        <v>0</v>
      </c>
      <c r="M31" s="28">
        <f t="shared" si="5"/>
        <v>0</v>
      </c>
      <c r="N31" s="29">
        <f t="shared" si="6"/>
        <v>0</v>
      </c>
      <c r="O31" s="28">
        <f t="shared" si="7"/>
        <v>0</v>
      </c>
      <c r="P31" s="29">
        <f t="shared" si="8"/>
        <v>0</v>
      </c>
      <c r="Q31" s="28">
        <f t="shared" si="9"/>
        <v>0</v>
      </c>
      <c r="R31" s="29">
        <f t="shared" si="10"/>
        <v>0</v>
      </c>
      <c r="S31" s="28">
        <f t="shared" si="11"/>
        <v>0</v>
      </c>
      <c r="T31" s="29">
        <f t="shared" si="12"/>
        <v>0</v>
      </c>
      <c r="U31" s="28">
        <f t="shared" si="13"/>
        <v>0</v>
      </c>
      <c r="V31" s="29">
        <f t="shared" si="14"/>
        <v>0</v>
      </c>
      <c r="W31" s="28">
        <f t="shared" si="15"/>
        <v>0</v>
      </c>
      <c r="X31" s="29">
        <f t="shared" si="16"/>
        <v>0</v>
      </c>
      <c r="Y31" s="28">
        <f t="shared" si="17"/>
        <v>0</v>
      </c>
      <c r="Z31" s="29">
        <f t="shared" si="18"/>
        <v>0</v>
      </c>
      <c r="AA31" s="28">
        <f t="shared" si="19"/>
        <v>0</v>
      </c>
      <c r="AB31" s="29">
        <f t="shared" si="20"/>
        <v>0</v>
      </c>
      <c r="AC31" s="28">
        <f t="shared" si="21"/>
        <v>0</v>
      </c>
      <c r="AD31" s="29">
        <f t="shared" si="22"/>
        <v>0</v>
      </c>
      <c r="AE31" s="28">
        <f t="shared" si="23"/>
        <v>0</v>
      </c>
      <c r="AF31" s="29">
        <f t="shared" si="24"/>
        <v>0</v>
      </c>
      <c r="AG31" s="28">
        <f t="shared" si="25"/>
        <v>0</v>
      </c>
    </row>
    <row r="32" spans="2:33" ht="13.8" x14ac:dyDescent="0.25">
      <c r="B32" s="15" t="s">
        <v>35</v>
      </c>
      <c r="C32" s="25" t="str">
        <f>Deals!B32</f>
        <v>McMinnville</v>
      </c>
      <c r="D32" t="str">
        <f>Deals!E32</f>
        <v>RTC</v>
      </c>
      <c r="E32" s="1">
        <f>Deals!L32</f>
        <v>0</v>
      </c>
      <c r="F32" s="1">
        <f>Deals!M32</f>
        <v>0</v>
      </c>
      <c r="H32" s="29">
        <f t="shared" si="0"/>
        <v>0</v>
      </c>
      <c r="I32" s="28">
        <f t="shared" si="1"/>
        <v>0</v>
      </c>
      <c r="J32" s="29">
        <f t="shared" si="2"/>
        <v>0</v>
      </c>
      <c r="K32" s="28">
        <f t="shared" si="3"/>
        <v>0</v>
      </c>
      <c r="L32" s="29">
        <f t="shared" si="4"/>
        <v>0</v>
      </c>
      <c r="M32" s="28">
        <f t="shared" si="5"/>
        <v>0</v>
      </c>
      <c r="N32" s="29">
        <f t="shared" si="6"/>
        <v>0</v>
      </c>
      <c r="O32" s="28">
        <f t="shared" si="7"/>
        <v>0</v>
      </c>
      <c r="P32" s="29">
        <f t="shared" si="8"/>
        <v>0</v>
      </c>
      <c r="Q32" s="28">
        <f t="shared" si="9"/>
        <v>0</v>
      </c>
      <c r="R32" s="29">
        <f t="shared" si="10"/>
        <v>0</v>
      </c>
      <c r="S32" s="28">
        <f t="shared" si="11"/>
        <v>0</v>
      </c>
      <c r="T32" s="29">
        <f t="shared" si="12"/>
        <v>0</v>
      </c>
      <c r="U32" s="28">
        <f t="shared" si="13"/>
        <v>0</v>
      </c>
      <c r="V32" s="29">
        <f t="shared" si="14"/>
        <v>0</v>
      </c>
      <c r="W32" s="28">
        <f t="shared" si="15"/>
        <v>0</v>
      </c>
      <c r="X32" s="29">
        <f t="shared" si="16"/>
        <v>0</v>
      </c>
      <c r="Y32" s="28">
        <f t="shared" si="17"/>
        <v>0</v>
      </c>
      <c r="Z32" s="29">
        <f t="shared" si="18"/>
        <v>0</v>
      </c>
      <c r="AA32" s="28">
        <f t="shared" si="19"/>
        <v>0</v>
      </c>
      <c r="AB32" s="29">
        <f t="shared" si="20"/>
        <v>0</v>
      </c>
      <c r="AC32" s="28">
        <f t="shared" si="21"/>
        <v>0</v>
      </c>
      <c r="AD32" s="29">
        <f t="shared" si="22"/>
        <v>0</v>
      </c>
      <c r="AE32" s="28">
        <f t="shared" si="23"/>
        <v>0</v>
      </c>
      <c r="AF32" s="29">
        <f t="shared" si="24"/>
        <v>0</v>
      </c>
      <c r="AG32" s="28">
        <f t="shared" si="25"/>
        <v>0</v>
      </c>
    </row>
    <row r="33" spans="2:33" ht="13.8" x14ac:dyDescent="0.25">
      <c r="B33" s="15" t="s">
        <v>29</v>
      </c>
      <c r="C33" s="25" t="str">
        <f>Deals!B33</f>
        <v>CRC</v>
      </c>
      <c r="D33" t="str">
        <f>Deals!E33</f>
        <v>0100 - 0600</v>
      </c>
      <c r="E33" s="1">
        <f>Deals!L33</f>
        <v>0</v>
      </c>
      <c r="F33" s="1">
        <f>Deals!M33</f>
        <v>0</v>
      </c>
      <c r="H33" s="29">
        <f t="shared" si="0"/>
        <v>0</v>
      </c>
      <c r="I33" s="28">
        <f t="shared" si="1"/>
        <v>0</v>
      </c>
      <c r="J33" s="29">
        <f t="shared" si="2"/>
        <v>0</v>
      </c>
      <c r="K33" s="28">
        <f t="shared" si="3"/>
        <v>0</v>
      </c>
      <c r="L33" s="29">
        <f t="shared" si="4"/>
        <v>0</v>
      </c>
      <c r="M33" s="28">
        <f t="shared" si="5"/>
        <v>0</v>
      </c>
      <c r="N33" s="29">
        <f t="shared" si="6"/>
        <v>0</v>
      </c>
      <c r="O33" s="28">
        <f t="shared" si="7"/>
        <v>0</v>
      </c>
      <c r="P33" s="29">
        <f t="shared" si="8"/>
        <v>0</v>
      </c>
      <c r="Q33" s="28">
        <f t="shared" si="9"/>
        <v>0</v>
      </c>
      <c r="R33" s="29">
        <f t="shared" si="10"/>
        <v>0</v>
      </c>
      <c r="S33" s="28">
        <f t="shared" si="11"/>
        <v>0</v>
      </c>
      <c r="T33" s="29">
        <f t="shared" si="12"/>
        <v>0</v>
      </c>
      <c r="U33" s="28">
        <f t="shared" si="13"/>
        <v>0</v>
      </c>
      <c r="V33" s="29">
        <f t="shared" si="14"/>
        <v>0</v>
      </c>
      <c r="W33" s="28">
        <f t="shared" si="15"/>
        <v>0</v>
      </c>
      <c r="X33" s="29">
        <f t="shared" si="16"/>
        <v>0</v>
      </c>
      <c r="Y33" s="28">
        <f t="shared" si="17"/>
        <v>0</v>
      </c>
      <c r="Z33" s="29">
        <f t="shared" si="18"/>
        <v>0</v>
      </c>
      <c r="AA33" s="28">
        <f t="shared" si="19"/>
        <v>0</v>
      </c>
      <c r="AB33" s="29">
        <f t="shared" si="20"/>
        <v>0</v>
      </c>
      <c r="AC33" s="28">
        <f t="shared" si="21"/>
        <v>0</v>
      </c>
      <c r="AD33" s="29">
        <f t="shared" si="22"/>
        <v>0</v>
      </c>
      <c r="AE33" s="28">
        <f t="shared" si="23"/>
        <v>0</v>
      </c>
      <c r="AF33" s="29">
        <f t="shared" si="24"/>
        <v>0</v>
      </c>
      <c r="AG33" s="28">
        <f t="shared" si="25"/>
        <v>0</v>
      </c>
    </row>
    <row r="34" spans="2:33" ht="13.8" x14ac:dyDescent="0.25">
      <c r="B34" s="20" t="s">
        <v>2</v>
      </c>
      <c r="C34" s="25" t="str">
        <f>Deals!B34</f>
        <v>BPA</v>
      </c>
      <c r="D34" t="str">
        <f>Deals!E34</f>
        <v>LLH</v>
      </c>
      <c r="E34" s="1">
        <f>Deals!L34</f>
        <v>0</v>
      </c>
      <c r="F34" s="1">
        <f>Deals!M34</f>
        <v>0</v>
      </c>
      <c r="H34" s="29">
        <f t="shared" si="0"/>
        <v>0</v>
      </c>
      <c r="I34" s="28">
        <f t="shared" si="1"/>
        <v>0</v>
      </c>
      <c r="J34" s="29">
        <f t="shared" si="2"/>
        <v>0</v>
      </c>
      <c r="K34" s="28">
        <f t="shared" si="3"/>
        <v>0</v>
      </c>
      <c r="L34" s="29">
        <f t="shared" si="4"/>
        <v>0</v>
      </c>
      <c r="M34" s="28">
        <f t="shared" si="5"/>
        <v>0</v>
      </c>
      <c r="N34" s="29">
        <f t="shared" si="6"/>
        <v>0</v>
      </c>
      <c r="O34" s="28">
        <f t="shared" si="7"/>
        <v>0</v>
      </c>
      <c r="P34" s="29">
        <f t="shared" si="8"/>
        <v>0</v>
      </c>
      <c r="Q34" s="28">
        <f t="shared" si="9"/>
        <v>0</v>
      </c>
      <c r="R34" s="29">
        <f t="shared" si="10"/>
        <v>0</v>
      </c>
      <c r="S34" s="28">
        <f t="shared" si="11"/>
        <v>0</v>
      </c>
      <c r="T34" s="29">
        <f t="shared" si="12"/>
        <v>0</v>
      </c>
      <c r="U34" s="28">
        <f t="shared" si="13"/>
        <v>0</v>
      </c>
      <c r="V34" s="29">
        <f t="shared" si="14"/>
        <v>0</v>
      </c>
      <c r="W34" s="28">
        <f t="shared" si="15"/>
        <v>0</v>
      </c>
      <c r="X34" s="29">
        <f t="shared" si="16"/>
        <v>0</v>
      </c>
      <c r="Y34" s="28">
        <f t="shared" si="17"/>
        <v>0</v>
      </c>
      <c r="Z34" s="29">
        <f t="shared" si="18"/>
        <v>0</v>
      </c>
      <c r="AA34" s="28">
        <f t="shared" si="19"/>
        <v>0</v>
      </c>
      <c r="AB34" s="29">
        <f t="shared" si="20"/>
        <v>0</v>
      </c>
      <c r="AC34" s="28">
        <f t="shared" si="21"/>
        <v>0</v>
      </c>
      <c r="AD34" s="29">
        <f t="shared" si="22"/>
        <v>0</v>
      </c>
      <c r="AE34" s="28">
        <f t="shared" si="23"/>
        <v>0</v>
      </c>
      <c r="AF34" s="29">
        <f t="shared" si="24"/>
        <v>0</v>
      </c>
      <c r="AG34" s="28">
        <f t="shared" si="25"/>
        <v>0</v>
      </c>
    </row>
    <row r="35" spans="2:33" ht="13.8" x14ac:dyDescent="0.25">
      <c r="B35" s="23" t="s">
        <v>13</v>
      </c>
      <c r="C35" s="25" t="str">
        <f>Deals!B35</f>
        <v>Powerex</v>
      </c>
      <c r="D35" t="str">
        <f>Deals!E35</f>
        <v>RTC</v>
      </c>
      <c r="E35" s="1">
        <f>Deals!L35</f>
        <v>0</v>
      </c>
      <c r="F35" s="1">
        <f>Deals!M35</f>
        <v>0</v>
      </c>
      <c r="H35" s="29">
        <f t="shared" si="0"/>
        <v>0</v>
      </c>
      <c r="I35" s="28">
        <f t="shared" si="1"/>
        <v>0</v>
      </c>
      <c r="J35" s="29">
        <f t="shared" si="2"/>
        <v>0</v>
      </c>
      <c r="K35" s="28">
        <f t="shared" si="3"/>
        <v>0</v>
      </c>
      <c r="L35" s="29">
        <f t="shared" si="4"/>
        <v>0</v>
      </c>
      <c r="M35" s="28">
        <f t="shared" si="5"/>
        <v>0</v>
      </c>
      <c r="N35" s="29">
        <f t="shared" si="6"/>
        <v>0</v>
      </c>
      <c r="O35" s="28">
        <f t="shared" si="7"/>
        <v>0</v>
      </c>
      <c r="P35" s="29">
        <f t="shared" si="8"/>
        <v>0</v>
      </c>
      <c r="Q35" s="28">
        <f t="shared" si="9"/>
        <v>0</v>
      </c>
      <c r="R35" s="29">
        <f t="shared" si="10"/>
        <v>0</v>
      </c>
      <c r="S35" s="28">
        <f t="shared" si="11"/>
        <v>0</v>
      </c>
      <c r="T35" s="29">
        <f t="shared" si="12"/>
        <v>0</v>
      </c>
      <c r="U35" s="28">
        <f t="shared" si="13"/>
        <v>0</v>
      </c>
      <c r="V35" s="29">
        <f t="shared" si="14"/>
        <v>0</v>
      </c>
      <c r="W35" s="28">
        <f t="shared" si="15"/>
        <v>0</v>
      </c>
      <c r="X35" s="29">
        <f t="shared" si="16"/>
        <v>0</v>
      </c>
      <c r="Y35" s="28">
        <f t="shared" si="17"/>
        <v>0</v>
      </c>
      <c r="Z35" s="29">
        <f t="shared" si="18"/>
        <v>0</v>
      </c>
      <c r="AA35" s="28">
        <f t="shared" si="19"/>
        <v>0</v>
      </c>
      <c r="AB35" s="29">
        <f t="shared" si="20"/>
        <v>0</v>
      </c>
      <c r="AC35" s="28">
        <f t="shared" si="21"/>
        <v>0</v>
      </c>
      <c r="AD35" s="29">
        <f t="shared" si="22"/>
        <v>0</v>
      </c>
      <c r="AE35" s="28">
        <f t="shared" si="23"/>
        <v>0</v>
      </c>
      <c r="AF35" s="29">
        <f t="shared" si="24"/>
        <v>0</v>
      </c>
      <c r="AG35" s="28">
        <f t="shared" si="25"/>
        <v>0</v>
      </c>
    </row>
  </sheetData>
  <mergeCells count="26">
    <mergeCell ref="N2:O2"/>
    <mergeCell ref="N3:O3"/>
    <mergeCell ref="P2:Q2"/>
    <mergeCell ref="P3:Q3"/>
    <mergeCell ref="X2:Y2"/>
    <mergeCell ref="V3:W3"/>
    <mergeCell ref="X3:Y3"/>
    <mergeCell ref="Z3:AA3"/>
    <mergeCell ref="AB3:AC3"/>
    <mergeCell ref="R2:S2"/>
    <mergeCell ref="R3:S3"/>
    <mergeCell ref="T3:U3"/>
    <mergeCell ref="V2:W2"/>
    <mergeCell ref="T2:U2"/>
    <mergeCell ref="AD3:AE3"/>
    <mergeCell ref="AD2:AE2"/>
    <mergeCell ref="AF3:AG3"/>
    <mergeCell ref="AF2:AG2"/>
    <mergeCell ref="AB2:AC2"/>
    <mergeCell ref="Z2:AA2"/>
    <mergeCell ref="H2:I2"/>
    <mergeCell ref="L2:M2"/>
    <mergeCell ref="J2:K2"/>
    <mergeCell ref="L3:M3"/>
    <mergeCell ref="J3:K3"/>
    <mergeCell ref="H3:I3"/>
  </mergeCells>
  <phoneticPr fontId="0" type="noConversion"/>
  <pageMargins left="0.75" right="0.75" top="1" bottom="1" header="0.5" footer="0.5"/>
  <pageSetup scale="67" fitToWidth="2" orientation="landscape" horizontalDpi="355" verticalDpi="46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 Pricing</vt:lpstr>
      <vt:lpstr>Potential Gain</vt:lpstr>
      <vt:lpstr>Deals</vt:lpstr>
      <vt:lpstr>Deal Cash</vt:lpstr>
      <vt:lpstr>Deals!Print_Area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Havlíček Jan</cp:lastModifiedBy>
  <cp:lastPrinted>2001-12-18T22:44:02Z</cp:lastPrinted>
  <dcterms:created xsi:type="dcterms:W3CDTF">2001-12-11T15:38:09Z</dcterms:created>
  <dcterms:modified xsi:type="dcterms:W3CDTF">2023-09-10T11:17:26Z</dcterms:modified>
</cp:coreProperties>
</file>