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2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32" yWindow="-12" windowWidth="7680" windowHeight="8736" tabRatio="949" firstSheet="1" activeTab="2"/>
  </bookViews>
  <sheets>
    <sheet name="Assumptions" sheetId="1" state="hidden" r:id="rId1"/>
    <sheet name="Summary" sheetId="2" r:id="rId2"/>
    <sheet name="Headcount" sheetId="3" r:id="rId3"/>
    <sheet name="Direct Expense" sheetId="4" r:id="rId4"/>
    <sheet name="Margin" sheetId="5" r:id="rId5"/>
    <sheet name="Assumption" sheetId="6" r:id="rId6"/>
    <sheet name="Capital" sheetId="7" r:id="rId7"/>
    <sheet name="Income Statement" sheetId="8" r:id="rId8"/>
    <sheet name="Cash and Non-Cash" sheetId="9" r:id="rId9"/>
    <sheet name="INDIRECT" sheetId="10" r:id="rId10"/>
    <sheet name="DIRECT" sheetId="11" r:id="rId11"/>
    <sheet name="Schedule A - Capital Exp Detail" sheetId="12" r:id="rId12"/>
    <sheet name="Schedule B - Investing" sheetId="13" r:id="rId13"/>
    <sheet name="Schedule C - Asset Sales" sheetId="14" r:id="rId14"/>
    <sheet name="Schedule D - PRM Detail" sheetId="15" r:id="rId15"/>
    <sheet name="Schedule E - Other" sheetId="16" r:id="rId16"/>
    <sheet name="Capital Charge" sheetId="17" r:id="rId17"/>
    <sheet name="Upload" sheetId="18" state="hidden" r:id="rId18"/>
  </sheets>
  <externalReferences>
    <externalReference r:id="rId19"/>
    <externalReference r:id="rId20"/>
  </externalReferences>
  <definedNames>
    <definedName name="coa">#REF!</definedName>
    <definedName name="_xlnm.Print_Area" localSheetId="5">Assumption!$1:$1048576</definedName>
    <definedName name="_xlnm.Print_Area" localSheetId="10">DIRECT!$A$1:$P$68</definedName>
    <definedName name="_xlnm.Print_Area" localSheetId="3">'Direct Expense'!$A$1:$P$65</definedName>
    <definedName name="_xlnm.Print_Area" localSheetId="2">Headcount!$A$1:$P$44</definedName>
    <definedName name="_xlnm.Print_Area" localSheetId="9">INDIRECT!$A$1:$P$76</definedName>
    <definedName name="_xlnm.Print_Area" localSheetId="4">Margin!$A$1:$P$35</definedName>
    <definedName name="SAPFuncF4Help" localSheetId="2">Main.SAPF4Help()</definedName>
    <definedName name="SAPFuncF4Help" localSheetId="4">Main.SAPF4Help()</definedName>
    <definedName name="SAPFuncF4Help" localSheetId="1">Main.SAPF4Help()</definedName>
    <definedName name="SAPFuncF4Help">Main.SAPF4Help()</definedName>
  </definedNames>
  <calcPr calcId="0" fullCalcOnLoad="1"/>
</workbook>
</file>

<file path=xl/calcChain.xml><?xml version="1.0" encoding="utf-8"?>
<calcChain xmlns="http://schemas.openxmlformats.org/spreadsheetml/2006/main">
  <c r="C12" i="6" l="1"/>
  <c r="F12" i="6"/>
  <c r="H12" i="6"/>
  <c r="C13" i="6"/>
  <c r="F13" i="6"/>
  <c r="H13" i="6"/>
  <c r="C14" i="6"/>
  <c r="F14" i="6"/>
  <c r="H14" i="6"/>
  <c r="C15" i="6"/>
  <c r="F15" i="6"/>
  <c r="H15" i="6"/>
  <c r="C16" i="6"/>
  <c r="F16" i="6"/>
  <c r="H16" i="6"/>
  <c r="C17" i="6"/>
  <c r="F17" i="6"/>
  <c r="H17" i="6"/>
  <c r="C19" i="6"/>
  <c r="H19" i="6"/>
  <c r="C20" i="6"/>
  <c r="H20" i="6"/>
  <c r="C21" i="6"/>
  <c r="F21" i="6"/>
  <c r="H21" i="6"/>
  <c r="H22" i="6"/>
  <c r="C23" i="6"/>
  <c r="F23" i="6"/>
  <c r="H23" i="6"/>
  <c r="C24" i="6"/>
  <c r="F24" i="6"/>
  <c r="H24" i="6"/>
  <c r="H25" i="6"/>
  <c r="C27" i="6"/>
  <c r="D27" i="6"/>
  <c r="F27" i="6"/>
  <c r="F28" i="6"/>
  <c r="F29" i="6"/>
  <c r="F30" i="6"/>
  <c r="G30" i="6"/>
  <c r="H30" i="6"/>
  <c r="H32" i="6"/>
  <c r="F35" i="6"/>
  <c r="H35" i="6"/>
  <c r="H36" i="6"/>
  <c r="H37" i="6"/>
  <c r="H38" i="6"/>
  <c r="H39" i="6"/>
  <c r="H40" i="6"/>
  <c r="H41" i="6"/>
  <c r="H42" i="6"/>
  <c r="H43" i="6"/>
  <c r="H46" i="6"/>
  <c r="H47" i="6"/>
  <c r="H50" i="6"/>
  <c r="H51" i="6"/>
  <c r="H55" i="6"/>
  <c r="H56" i="6"/>
  <c r="H57" i="6"/>
  <c r="F58" i="6"/>
  <c r="H58" i="6"/>
  <c r="F59" i="6"/>
  <c r="H59" i="6"/>
  <c r="H60" i="6"/>
  <c r="F61" i="6"/>
  <c r="H61" i="6"/>
  <c r="H62" i="6"/>
  <c r="H63" i="6"/>
  <c r="F64" i="6"/>
  <c r="H64" i="6"/>
  <c r="F65" i="6"/>
  <c r="H65" i="6"/>
  <c r="H68" i="6"/>
  <c r="F73" i="6"/>
  <c r="H73" i="6"/>
  <c r="H76" i="6"/>
  <c r="H77" i="6"/>
  <c r="H78" i="6"/>
  <c r="H79" i="6"/>
  <c r="F80" i="6"/>
  <c r="H80" i="6"/>
  <c r="H83" i="6"/>
  <c r="H84" i="6"/>
  <c r="H85" i="6"/>
  <c r="H86" i="6"/>
  <c r="H87" i="6"/>
  <c r="F88" i="6"/>
  <c r="H88" i="6"/>
  <c r="H89" i="6"/>
  <c r="H90" i="6"/>
  <c r="H91" i="6"/>
  <c r="H92" i="6"/>
  <c r="H95" i="6"/>
  <c r="H96" i="6"/>
  <c r="H97" i="6"/>
  <c r="H98" i="6"/>
  <c r="H101" i="6"/>
  <c r="H102" i="6"/>
  <c r="H105" i="6"/>
  <c r="H106" i="6"/>
  <c r="H107" i="6"/>
  <c r="H110" i="6"/>
  <c r="F112" i="6"/>
  <c r="H112" i="6"/>
  <c r="H115" i="6"/>
  <c r="F117" i="6"/>
  <c r="H117" i="6"/>
  <c r="F121" i="6"/>
  <c r="H121" i="6"/>
  <c r="F122" i="6"/>
  <c r="H122" i="6"/>
  <c r="F123" i="6"/>
  <c r="H123" i="6"/>
  <c r="H125" i="6"/>
  <c r="H127" i="6"/>
  <c r="H129" i="6"/>
  <c r="A132" i="6"/>
  <c r="C5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63" i="1"/>
  <c r="J15" i="7"/>
  <c r="J16" i="7"/>
  <c r="J17" i="7"/>
  <c r="C18" i="7"/>
  <c r="D18" i="7"/>
  <c r="E18" i="7"/>
  <c r="F18" i="7"/>
  <c r="G18" i="7"/>
  <c r="H18" i="7"/>
  <c r="I18" i="7"/>
  <c r="J18" i="7"/>
  <c r="I23" i="7"/>
  <c r="J23" i="7"/>
  <c r="J24" i="7"/>
  <c r="I25" i="7"/>
  <c r="J25" i="7"/>
  <c r="C26" i="7"/>
  <c r="D26" i="7"/>
  <c r="E26" i="7"/>
  <c r="F26" i="7"/>
  <c r="G26" i="7"/>
  <c r="H26" i="7"/>
  <c r="I26" i="7"/>
  <c r="J26" i="7"/>
  <c r="E29" i="7"/>
  <c r="E32" i="7"/>
  <c r="A6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Q15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F19" i="17"/>
  <c r="I19" i="17"/>
  <c r="L19" i="17"/>
  <c r="O19" i="17"/>
  <c r="A26" i="17"/>
  <c r="A27" i="17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P85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A97" i="9"/>
  <c r="A98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A5" i="11"/>
  <c r="P9" i="11"/>
  <c r="P10" i="11"/>
  <c r="P11" i="11"/>
  <c r="P13" i="11"/>
  <c r="P14" i="11"/>
  <c r="P15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P22" i="11"/>
  <c r="P23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P27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P32" i="11"/>
  <c r="P33" i="11"/>
  <c r="P34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R38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R47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R49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R59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R61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R65" i="11"/>
  <c r="A67" i="11"/>
  <c r="C68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P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E31" i="4"/>
  <c r="F31" i="4"/>
  <c r="G31" i="4"/>
  <c r="H31" i="4"/>
  <c r="I31" i="4"/>
  <c r="J31" i="4"/>
  <c r="K31" i="4"/>
  <c r="L31" i="4"/>
  <c r="M31" i="4"/>
  <c r="N31" i="4"/>
  <c r="O31" i="4"/>
  <c r="P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E47" i="4"/>
  <c r="F47" i="4"/>
  <c r="G47" i="4"/>
  <c r="H47" i="4"/>
  <c r="I47" i="4"/>
  <c r="J47" i="4"/>
  <c r="K47" i="4"/>
  <c r="L47" i="4"/>
  <c r="M47" i="4"/>
  <c r="N47" i="4"/>
  <c r="O47" i="4"/>
  <c r="P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E50" i="4"/>
  <c r="F50" i="4"/>
  <c r="G50" i="4"/>
  <c r="H50" i="4"/>
  <c r="I50" i="4"/>
  <c r="J50" i="4"/>
  <c r="K50" i="4"/>
  <c r="L50" i="4"/>
  <c r="M50" i="4"/>
  <c r="N50" i="4"/>
  <c r="O50" i="4"/>
  <c r="P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P54" i="4"/>
  <c r="E55" i="4"/>
  <c r="F55" i="4"/>
  <c r="G55" i="4"/>
  <c r="H55" i="4"/>
  <c r="I55" i="4"/>
  <c r="J55" i="4"/>
  <c r="K55" i="4"/>
  <c r="L55" i="4"/>
  <c r="M55" i="4"/>
  <c r="N55" i="4"/>
  <c r="O55" i="4"/>
  <c r="P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I61" i="4"/>
  <c r="J61" i="4"/>
  <c r="K61" i="4"/>
  <c r="L61" i="4"/>
  <c r="M61" i="4"/>
  <c r="N61" i="4"/>
  <c r="O61" i="4"/>
  <c r="P61" i="4"/>
  <c r="P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P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A67" i="4"/>
  <c r="P75" i="4"/>
  <c r="P76" i="4"/>
  <c r="P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O12" i="3"/>
  <c r="O13" i="3"/>
  <c r="O14" i="3"/>
  <c r="B15" i="3"/>
  <c r="O15" i="3"/>
  <c r="O16" i="3"/>
  <c r="O17" i="3"/>
  <c r="O18" i="3"/>
  <c r="O19" i="3"/>
  <c r="O20" i="3"/>
  <c r="O21" i="3"/>
  <c r="O22" i="3"/>
  <c r="O23" i="3"/>
  <c r="O24" i="3"/>
  <c r="O25" i="3"/>
  <c r="B26" i="3"/>
  <c r="O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A46" i="3"/>
  <c r="B4" i="8"/>
  <c r="C4" i="8"/>
  <c r="D4" i="8"/>
  <c r="E4" i="8"/>
  <c r="F4" i="8"/>
  <c r="G4" i="8"/>
  <c r="H4" i="8"/>
  <c r="I4" i="8"/>
  <c r="J4" i="8"/>
  <c r="K4" i="8"/>
  <c r="L4" i="8"/>
  <c r="M4" i="8"/>
  <c r="N4" i="8"/>
  <c r="B5" i="8"/>
  <c r="C5" i="8"/>
  <c r="D5" i="8"/>
  <c r="E5" i="8"/>
  <c r="F5" i="8"/>
  <c r="G5" i="8"/>
  <c r="H5" i="8"/>
  <c r="I5" i="8"/>
  <c r="J5" i="8"/>
  <c r="K5" i="8"/>
  <c r="L5" i="8"/>
  <c r="M5" i="8"/>
  <c r="N5" i="8"/>
  <c r="B6" i="8"/>
  <c r="C6" i="8"/>
  <c r="D6" i="8"/>
  <c r="E6" i="8"/>
  <c r="F6" i="8"/>
  <c r="G6" i="8"/>
  <c r="H6" i="8"/>
  <c r="I6" i="8"/>
  <c r="J6" i="8"/>
  <c r="K6" i="8"/>
  <c r="L6" i="8"/>
  <c r="M6" i="8"/>
  <c r="N6" i="8"/>
  <c r="B7" i="8"/>
  <c r="C7" i="8"/>
  <c r="D7" i="8"/>
  <c r="E7" i="8"/>
  <c r="F7" i="8"/>
  <c r="G7" i="8"/>
  <c r="H7" i="8"/>
  <c r="I7" i="8"/>
  <c r="J7" i="8"/>
  <c r="K7" i="8"/>
  <c r="L7" i="8"/>
  <c r="M7" i="8"/>
  <c r="N7" i="8"/>
  <c r="B8" i="8"/>
  <c r="C8" i="8"/>
  <c r="D8" i="8"/>
  <c r="E8" i="8"/>
  <c r="F8" i="8"/>
  <c r="G8" i="8"/>
  <c r="H8" i="8"/>
  <c r="I8" i="8"/>
  <c r="J8" i="8"/>
  <c r="K8" i="8"/>
  <c r="L8" i="8"/>
  <c r="M8" i="8"/>
  <c r="N8" i="8"/>
  <c r="B9" i="8"/>
  <c r="C9" i="8"/>
  <c r="D9" i="8"/>
  <c r="E9" i="8"/>
  <c r="F9" i="8"/>
  <c r="G9" i="8"/>
  <c r="H9" i="8"/>
  <c r="I9" i="8"/>
  <c r="J9" i="8"/>
  <c r="K9" i="8"/>
  <c r="L9" i="8"/>
  <c r="M9" i="8"/>
  <c r="N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N14" i="8"/>
  <c r="N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N43" i="8"/>
  <c r="N44" i="8"/>
  <c r="N45" i="8"/>
  <c r="N46" i="8"/>
  <c r="N47" i="8"/>
  <c r="N48" i="8"/>
  <c r="N49" i="8"/>
  <c r="N50" i="8"/>
  <c r="N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N57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A66" i="8"/>
  <c r="A67" i="8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P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P27" i="10"/>
  <c r="P28" i="10"/>
  <c r="P29" i="10"/>
  <c r="P30" i="10"/>
  <c r="P31" i="10"/>
  <c r="P32" i="10"/>
  <c r="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P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P53" i="10"/>
  <c r="P54" i="10"/>
  <c r="P55" i="10"/>
  <c r="P56" i="10"/>
  <c r="P57" i="10"/>
  <c r="P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P69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P73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C76" i="10"/>
  <c r="E76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P14" i="5"/>
  <c r="P15" i="5"/>
  <c r="P16" i="5"/>
  <c r="P17" i="5"/>
  <c r="P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P21" i="5"/>
  <c r="P22" i="5"/>
  <c r="P23" i="5"/>
  <c r="P24" i="5"/>
  <c r="P25" i="5"/>
  <c r="P26" i="5"/>
  <c r="P27" i="5"/>
  <c r="P28" i="5"/>
  <c r="P29" i="5"/>
  <c r="P30" i="5"/>
  <c r="P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A37" i="5"/>
  <c r="A6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B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A30" i="12"/>
  <c r="A31" i="12"/>
  <c r="F13" i="13"/>
  <c r="G13" i="13"/>
  <c r="H13" i="13"/>
  <c r="I13" i="13"/>
  <c r="J13" i="13"/>
  <c r="K13" i="13"/>
  <c r="L13" i="13"/>
  <c r="M13" i="13"/>
  <c r="N13" i="13"/>
  <c r="O13" i="13"/>
  <c r="P13" i="13"/>
  <c r="P14" i="13"/>
  <c r="B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P18" i="13"/>
  <c r="P19" i="13"/>
  <c r="B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P23" i="13"/>
  <c r="P24" i="13"/>
  <c r="B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P28" i="13"/>
  <c r="P29" i="13"/>
  <c r="B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P33" i="13"/>
  <c r="P34" i="13"/>
  <c r="B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B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A41" i="13"/>
  <c r="A42" i="13"/>
  <c r="K16" i="14"/>
  <c r="K17" i="14"/>
  <c r="K18" i="14"/>
  <c r="K19" i="14"/>
  <c r="K20" i="14"/>
  <c r="K21" i="14"/>
  <c r="K22" i="14"/>
  <c r="K23" i="14"/>
  <c r="K24" i="14"/>
  <c r="K25" i="14"/>
  <c r="G26" i="14"/>
  <c r="I26" i="14"/>
  <c r="K26" i="14"/>
  <c r="K29" i="14"/>
  <c r="K30" i="14"/>
  <c r="K31" i="14"/>
  <c r="K32" i="14"/>
  <c r="K33" i="14"/>
  <c r="K34" i="14"/>
  <c r="K35" i="14"/>
  <c r="K36" i="14"/>
  <c r="K37" i="14"/>
  <c r="K38" i="14"/>
  <c r="G39" i="14"/>
  <c r="I39" i="14"/>
  <c r="K39" i="14"/>
  <c r="C42" i="14"/>
  <c r="C43" i="14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P14" i="15"/>
  <c r="P15" i="15"/>
  <c r="P16" i="15"/>
  <c r="P17" i="15"/>
  <c r="P18" i="15"/>
  <c r="P19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A23" i="15"/>
  <c r="A24" i="15"/>
  <c r="A6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P11" i="16"/>
  <c r="P12" i="16"/>
  <c r="P13" i="16"/>
  <c r="P14" i="16"/>
  <c r="P15" i="16"/>
  <c r="P16" i="16"/>
  <c r="P17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P24" i="16"/>
  <c r="P25" i="16"/>
  <c r="P26" i="16"/>
  <c r="P27" i="16"/>
  <c r="P28" i="16"/>
  <c r="P29" i="16"/>
  <c r="P30" i="16"/>
  <c r="P31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P38" i="16"/>
  <c r="P39" i="16"/>
  <c r="P40" i="16"/>
  <c r="P41" i="16"/>
  <c r="P42" i="16"/>
  <c r="P43" i="16"/>
  <c r="P44" i="16"/>
  <c r="P45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P52" i="16"/>
  <c r="P53" i="16"/>
  <c r="P54" i="16"/>
  <c r="P55" i="16"/>
  <c r="P56" i="16"/>
  <c r="P57" i="16"/>
  <c r="P58" i="16"/>
  <c r="P59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A63" i="16"/>
  <c r="A64" i="16"/>
  <c r="E17" i="2"/>
  <c r="E18" i="2"/>
  <c r="E20" i="2"/>
  <c r="E21" i="2"/>
  <c r="E22" i="2"/>
  <c r="E23" i="2"/>
  <c r="E25" i="2"/>
  <c r="E27" i="2"/>
  <c r="E28" i="2"/>
  <c r="E29" i="2"/>
  <c r="E30" i="2"/>
  <c r="G32" i="2"/>
  <c r="G34" i="2"/>
  <c r="G36" i="2"/>
  <c r="G39" i="2"/>
  <c r="E48" i="2"/>
  <c r="C1" i="18"/>
  <c r="C2" i="18"/>
  <c r="C3" i="18"/>
  <c r="A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A8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A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A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A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A12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A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A14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A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A16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A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A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A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A20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A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A22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A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A24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A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A26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A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A28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A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A30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A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A32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A33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A34" i="18"/>
  <c r="C34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A35" i="18"/>
  <c r="C35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A36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O39" i="18"/>
</calcChain>
</file>

<file path=xl/comments1.xml><?xml version="1.0" encoding="utf-8"?>
<comments xmlns="http://schemas.openxmlformats.org/spreadsheetml/2006/main">
  <authors>
    <author>pmarcel</author>
  </authors>
  <commentList>
    <comment ref="D7" authorId="0" shapeId="0">
      <text>
        <r>
          <rPr>
            <b/>
            <sz val="8"/>
            <color indexed="81"/>
            <rFont val="Tahoma"/>
          </rPr>
          <t>pmarcel:</t>
        </r>
        <r>
          <rPr>
            <sz val="8"/>
            <color indexed="81"/>
            <rFont val="Tahoma"/>
          </rPr>
          <t xml:space="preserve">
Intern salary=clerk</t>
        </r>
      </text>
    </comment>
  </commentList>
</comments>
</file>

<file path=xl/comments2.xml><?xml version="1.0" encoding="utf-8"?>
<comments xmlns="http://schemas.openxmlformats.org/spreadsheetml/2006/main">
  <authors>
    <author>Alisa Green</author>
  </authors>
  <commentList>
    <comment ref="A11" authorId="0" shapeId="0">
      <text>
        <r>
          <rPr>
            <b/>
            <sz val="8"/>
            <color indexed="81"/>
            <rFont val="Tahoma"/>
          </rPr>
          <t>Alisa Green:</t>
        </r>
        <r>
          <rPr>
            <sz val="8"/>
            <color indexed="81"/>
            <rFont val="Tahoma"/>
          </rPr>
          <t xml:space="preserve">
origination value assigned after MTM deal brought in</t>
        </r>
      </text>
    </comment>
  </commentList>
</comments>
</file>

<file path=xl/sharedStrings.xml><?xml version="1.0" encoding="utf-8"?>
<sst xmlns="http://schemas.openxmlformats.org/spreadsheetml/2006/main" count="1127" uniqueCount="615">
  <si>
    <t>DIRECT EXPENSES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</si>
  <si>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</si>
  <si>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</si>
  <si>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</si>
  <si>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</si>
  <si>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</si>
  <si>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</si>
  <si>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Conferences &amp; Training</t>
  </si>
  <si>
    <t xml:space="preserve">  Employee Memberships &amp; Dues</t>
  </si>
  <si>
    <t xml:space="preserve">  Overtime/Working Meals</t>
  </si>
  <si>
    <t xml:space="preserve">  Pager/Cellular Expenses</t>
  </si>
  <si>
    <t xml:space="preserve">  Travel</t>
  </si>
  <si>
    <t xml:space="preserve">  Tuition Reimbursement</t>
  </si>
  <si>
    <t xml:space="preserve">  Other Employee Expenses</t>
  </si>
  <si>
    <t>Subtotal Employee Expenses</t>
  </si>
  <si>
    <t xml:space="preserve">  Campus Recruiting</t>
  </si>
  <si>
    <t xml:space="preserve">  Employment Ads</t>
  </si>
  <si>
    <t xml:space="preserve">  Interview Expenses</t>
  </si>
  <si>
    <t xml:space="preserve">  Recruiting Agency Fees</t>
  </si>
  <si>
    <t xml:space="preserve">  Relocation Expenses</t>
  </si>
  <si>
    <t xml:space="preserve">  Other Recruiting &amp; Relocation Expenses</t>
  </si>
  <si>
    <t>Subtotal Recruiting &amp; Relocations</t>
  </si>
  <si>
    <t xml:space="preserve">  Professional Consultants/Contractors</t>
  </si>
  <si>
    <t xml:space="preserve">  Temporaries</t>
  </si>
  <si>
    <t xml:space="preserve">  Other Outside Services</t>
  </si>
  <si>
    <t>Subtotal Outside Services</t>
  </si>
  <si>
    <t xml:space="preserve">  Company Membership &amp; Dues</t>
  </si>
  <si>
    <t xml:space="preserve">  Non-Real Time Market Data</t>
  </si>
  <si>
    <t xml:space="preserve">  Office Supplies</t>
  </si>
  <si>
    <t xml:space="preserve">  Postage &amp; Freight Expense</t>
  </si>
  <si>
    <t xml:space="preserve">  Real Time Market Data</t>
  </si>
  <si>
    <t xml:space="preserve">  Subscriptions &amp; Periodicals</t>
  </si>
  <si>
    <t xml:space="preserve">  Other Supplies and Expenses</t>
  </si>
  <si>
    <t>Subtotal Supplies and Expense</t>
  </si>
  <si>
    <t xml:space="preserve">  Advertising &amp; Promotions</t>
  </si>
  <si>
    <t xml:space="preserve">  Client Entertainment</t>
  </si>
  <si>
    <t xml:space="preserve">  Customer Meetings</t>
  </si>
  <si>
    <t xml:space="preserve">  Other Marketing</t>
  </si>
  <si>
    <t>Subtotal Marketing</t>
  </si>
  <si>
    <t>Charitable Contributions</t>
  </si>
  <si>
    <t xml:space="preserve">  Rent - Office, Warehouse, &amp; Tower</t>
  </si>
  <si>
    <t xml:space="preserve">  Equipment Rental</t>
  </si>
  <si>
    <t>Subtotal Rent (3rd Party)</t>
  </si>
  <si>
    <t>Transportation</t>
  </si>
  <si>
    <t>Other Expenses</t>
  </si>
  <si>
    <t>Subtotal Cash Expenses</t>
  </si>
  <si>
    <t xml:space="preserve">  Depreciation</t>
  </si>
  <si>
    <t xml:space="preserve">  Amortization</t>
  </si>
  <si>
    <t>TOTAL DIRECT EXPENSES</t>
  </si>
  <si>
    <t>Corporate IT</t>
  </si>
  <si>
    <t>Corporate Rent</t>
  </si>
  <si>
    <t>2000 Plan Assumptions</t>
  </si>
  <si>
    <t>Assumptions</t>
  </si>
  <si>
    <t>Questions</t>
  </si>
  <si>
    <t>Answers</t>
  </si>
  <si>
    <t xml:space="preserve"> </t>
  </si>
  <si>
    <t>+Input!C3</t>
  </si>
  <si>
    <t>D/C</t>
  </si>
  <si>
    <t>052</t>
  </si>
  <si>
    <t>058</t>
  </si>
  <si>
    <t>062</t>
  </si>
  <si>
    <t>061</t>
  </si>
  <si>
    <t>056</t>
  </si>
  <si>
    <t>051</t>
  </si>
  <si>
    <t>064</t>
  </si>
  <si>
    <t>067</t>
  </si>
  <si>
    <t>065</t>
  </si>
  <si>
    <t>063</t>
  </si>
  <si>
    <t>174/601/603/604</t>
  </si>
  <si>
    <t>Based on estimated year-end</t>
  </si>
  <si>
    <t>Flowers and meals</t>
  </si>
  <si>
    <t>Per Geroge McClellan</t>
  </si>
  <si>
    <t>Snelling Personnel Services, Charleston office</t>
  </si>
  <si>
    <t>London office, $70/month, US $2,000/month, Australia, $50</t>
  </si>
  <si>
    <t>Based on $2,287 for Pittsburgh and $2,642 for Charleston office, additional $850 for repairs, $1,500 for office in Germany</t>
  </si>
  <si>
    <t>Quarterly fax rental</t>
  </si>
  <si>
    <t>Includes Bell Atlantic and Lucent charges, hardware/software purchase for new hires</t>
  </si>
  <si>
    <t>Depreciation of technology expenses related to Charleston office</t>
  </si>
  <si>
    <t>Are you going to interview?</t>
  </si>
  <si>
    <t>Are you expecting any?</t>
  </si>
  <si>
    <t>Expecting any relocations?</t>
  </si>
  <si>
    <t>Are others going to have Bloomberg connections?</t>
  </si>
  <si>
    <t>Are you expecting any large ad campaigns?</t>
  </si>
  <si>
    <t>How much is the rent for the Germany office?</t>
  </si>
  <si>
    <t>4-6 people</t>
  </si>
  <si>
    <t>2 relocations</t>
  </si>
  <si>
    <t>No</t>
  </si>
  <si>
    <t>$1500/month</t>
  </si>
  <si>
    <t>Bloomberg for Dan Reck ($1,200/month) and NYSE ($25/month)</t>
  </si>
  <si>
    <t>Included 2 interns for June-Aug and headcount of 41, added Global Liquids salary only</t>
  </si>
  <si>
    <t>Based upon 26 phones @$120 and 29 pagers @ $35</t>
  </si>
  <si>
    <t>Pertains to Global Liquids</t>
  </si>
  <si>
    <t>Based on estimated year-end, $65kUS, 25k London, $3k based on additions; US based on estimated year-end</t>
  </si>
  <si>
    <t>Based on estimated year-end; added add'l $7k for additional headcount expected</t>
  </si>
  <si>
    <t>A&amp;A Allocation</t>
  </si>
  <si>
    <t>Taxes Other than Income</t>
  </si>
  <si>
    <t>52000500</t>
  </si>
  <si>
    <t>52001000</t>
  </si>
  <si>
    <t>59003000</t>
  </si>
  <si>
    <t>52003000</t>
  </si>
  <si>
    <t>52004000</t>
  </si>
  <si>
    <t>52503500</t>
  </si>
  <si>
    <t>52004500</t>
  </si>
  <si>
    <t>52002000</t>
  </si>
  <si>
    <t>52002500</t>
  </si>
  <si>
    <t>54005000</t>
  </si>
  <si>
    <t>52508000</t>
  </si>
  <si>
    <t>52507500</t>
  </si>
  <si>
    <t>52504000</t>
  </si>
  <si>
    <t>52508500</t>
  </si>
  <si>
    <t>53600000</t>
  </si>
  <si>
    <t>52508100</t>
  </si>
  <si>
    <t>52500500</t>
  </si>
  <si>
    <t>52003500</t>
  </si>
  <si>
    <t>52504100</t>
  </si>
  <si>
    <t>53801000</t>
  </si>
  <si>
    <t>53800000</t>
  </si>
  <si>
    <t>52504500</t>
  </si>
  <si>
    <t>54000000</t>
  </si>
  <si>
    <t>52502000</t>
  </si>
  <si>
    <t>52502500</t>
  </si>
  <si>
    <t>57200000</t>
  </si>
  <si>
    <t>57000000</t>
  </si>
  <si>
    <t>59099900</t>
  </si>
  <si>
    <t>Annual</t>
  </si>
  <si>
    <t>Expense</t>
  </si>
  <si>
    <t>SAP PROFIT CENTER:</t>
  </si>
  <si>
    <t>SAP COST CATEGORY:</t>
  </si>
  <si>
    <t>PROFIT CENTER OWNER:</t>
  </si>
  <si>
    <t>Check Totals</t>
  </si>
  <si>
    <t>Variance</t>
  </si>
  <si>
    <t>SAP COST</t>
  </si>
  <si>
    <t>ELEMENT</t>
  </si>
  <si>
    <t>DUE DATE:</t>
  </si>
  <si>
    <t>CENTER</t>
  </si>
  <si>
    <r>
      <t>2 0 0 1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</si>
  <si>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D</t>
    </r>
    <r>
      <rPr>
        <b/>
        <sz val="18"/>
        <color indexed="8"/>
        <rFont val="Arial"/>
        <family val="2"/>
      </rPr>
      <t xml:space="preserve"> I R E C T</t>
    </r>
    <r>
      <rPr>
        <b/>
        <sz val="22"/>
        <color indexed="8"/>
        <rFont val="Arial"/>
        <family val="2"/>
      </rPr>
      <t xml:space="preserve">   E</t>
    </r>
    <r>
      <rPr>
        <b/>
        <sz val="18"/>
        <color indexed="8"/>
        <rFont val="Arial"/>
        <family val="2"/>
      </rPr>
      <t xml:space="preserve"> X P E N S E S</t>
    </r>
  </si>
  <si>
    <t>Subtotal Noncash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</si>
  <si>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NETWORKS</t>
    </r>
  </si>
  <si>
    <t>E-mail to Elise Clark (3-4389)</t>
  </si>
  <si>
    <t>COST CENTER/PROJECT OWNER:</t>
  </si>
  <si>
    <t>SAP COST CENTER/PROJECT:</t>
  </si>
  <si>
    <t>Technology Detail</t>
  </si>
  <si>
    <t xml:space="preserve">  Hardware</t>
  </si>
  <si>
    <t xml:space="preserve">  Software</t>
  </si>
  <si>
    <t>Technology(Input section below)</t>
  </si>
  <si>
    <t xml:space="preserve">  Licenses/Fees</t>
  </si>
  <si>
    <t xml:space="preserve">     Total</t>
  </si>
  <si>
    <t>E-mail to Elise Clark(3-4389)</t>
  </si>
  <si>
    <t>Headcount</t>
  </si>
  <si>
    <t>STAFFING SUMMARY</t>
  </si>
  <si>
    <t>@ Yearend</t>
  </si>
  <si>
    <t>Executive</t>
  </si>
  <si>
    <t>VP</t>
  </si>
  <si>
    <t>Director</t>
  </si>
  <si>
    <t>Manager</t>
  </si>
  <si>
    <t>Sr. Specialist</t>
  </si>
  <si>
    <t>Specialist</t>
  </si>
  <si>
    <t>Staff</t>
  </si>
  <si>
    <t>Clerk</t>
  </si>
  <si>
    <t>Associate</t>
  </si>
  <si>
    <t>Analyst</t>
  </si>
  <si>
    <t>Technician</t>
  </si>
  <si>
    <t>Technician II</t>
  </si>
  <si>
    <t>Technician III</t>
  </si>
  <si>
    <t>Technical Support</t>
  </si>
  <si>
    <t>Administrative Assistant</t>
  </si>
  <si>
    <t>Subtotal Headcount</t>
  </si>
  <si>
    <t>Contractors $25-$50</t>
  </si>
  <si>
    <t>Contractors $51-$75</t>
  </si>
  <si>
    <t>Contractors $76-$100</t>
  </si>
  <si>
    <t>Contractors $101-$125</t>
  </si>
  <si>
    <t>Contractors $125-$150</t>
  </si>
  <si>
    <t>Contractors $150-$175</t>
  </si>
  <si>
    <t>Contractors $176-$200</t>
  </si>
  <si>
    <t>Contractors $201-$225</t>
  </si>
  <si>
    <t>Subtotal Contractors</t>
  </si>
  <si>
    <t>TOTAL HEADCOUNT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</si>
  <si>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ET WORKS</t>
    </r>
  </si>
  <si>
    <r>
      <t>H</t>
    </r>
    <r>
      <rPr>
        <b/>
        <sz val="18"/>
        <color indexed="8"/>
        <rFont val="Arial"/>
        <family val="2"/>
      </rPr>
      <t xml:space="preserve"> E A D C O U N T</t>
    </r>
  </si>
  <si>
    <t>Contractors $276-$300</t>
  </si>
  <si>
    <t>Contractors $226-$250</t>
  </si>
  <si>
    <t>Contractors $251-$275</t>
  </si>
  <si>
    <t>Contractors $301-$325</t>
  </si>
  <si>
    <t>Contractors $326-$350</t>
  </si>
  <si>
    <t>Contractors $351-$375</t>
  </si>
  <si>
    <t>Contractors $376-$400</t>
  </si>
  <si>
    <r>
      <t>M</t>
    </r>
    <r>
      <rPr>
        <b/>
        <sz val="18"/>
        <color indexed="8"/>
        <rFont val="Arial"/>
        <family val="2"/>
      </rPr>
      <t xml:space="preserve"> A R G I N</t>
    </r>
  </si>
  <si>
    <t>SAP Cost</t>
  </si>
  <si>
    <t>Element</t>
  </si>
  <si>
    <t>MARGIN</t>
  </si>
  <si>
    <t>Total</t>
  </si>
  <si>
    <t>CASH</t>
  </si>
  <si>
    <t>44200000</t>
  </si>
  <si>
    <t>Services Revenues - Other Third parties</t>
  </si>
  <si>
    <t>62000000</t>
  </si>
  <si>
    <t>Interest Income - Third Party</t>
  </si>
  <si>
    <t>45019000</t>
  </si>
  <si>
    <t>Other Revenues - Third Party</t>
  </si>
  <si>
    <t>51009600</t>
  </si>
  <si>
    <t>Broker Fees</t>
  </si>
  <si>
    <t>63000000</t>
  </si>
  <si>
    <t>Dividends - Third Party</t>
  </si>
  <si>
    <t>Subtotal Cash</t>
  </si>
  <si>
    <t>NON-CASH</t>
  </si>
  <si>
    <t>40018000</t>
  </si>
  <si>
    <t>Natural Gas Revenues - Other Gas Revenues</t>
  </si>
  <si>
    <t>41026000</t>
  </si>
  <si>
    <t>Electricity Rev - Other</t>
  </si>
  <si>
    <t>42000000</t>
  </si>
  <si>
    <t>Unrealized MTM Revenue</t>
  </si>
  <si>
    <t>CS ACCOUNT</t>
  </si>
  <si>
    <t>Originations</t>
  </si>
  <si>
    <t>42005000</t>
  </si>
  <si>
    <t>Unrealized Fair Value of Merchant Assets</t>
  </si>
  <si>
    <t>45000000</t>
  </si>
  <si>
    <t>Other Commodity - Third Party</t>
  </si>
  <si>
    <t>60010000</t>
  </si>
  <si>
    <t>Equity Earnings of Unconsolidated Subs - Domestic</t>
  </si>
  <si>
    <t>45015000</t>
  </si>
  <si>
    <t>Financial Settlements - Third Party</t>
  </si>
  <si>
    <t>45016300</t>
  </si>
  <si>
    <t>Exchange Trading Income/Expense - Realized</t>
  </si>
  <si>
    <t>64020000</t>
  </si>
  <si>
    <t>Gain/Loss on Disposition of Assets *</t>
  </si>
  <si>
    <t>Depreciation ( Assets)</t>
  </si>
  <si>
    <t>Subtotal Non-cash</t>
  </si>
  <si>
    <t>* Complete the "Asset Sales Template" to provide gain/loss details</t>
  </si>
  <si>
    <t>TOTAL MARGIN</t>
  </si>
  <si>
    <t xml:space="preserve">      or Amy Spoede (3-7805)</t>
  </si>
  <si>
    <t xml:space="preserve">    or Amy Spoede (3-7805)</t>
  </si>
  <si>
    <t>G &amp; A Expense/ Capital Worksheet</t>
  </si>
  <si>
    <t>MONTHLY</t>
  </si>
  <si>
    <t>TOTAL</t>
  </si>
  <si>
    <t>AMOUNT</t>
  </si>
  <si>
    <t>2000</t>
  </si>
  <si>
    <t>Staffing Summary:</t>
  </si>
  <si>
    <t>Title</t>
  </si>
  <si>
    <t>HC- Expense</t>
  </si>
  <si>
    <t xml:space="preserve">  MD &amp; VP</t>
  </si>
  <si>
    <t xml:space="preserve">  Dir</t>
  </si>
  <si>
    <t xml:space="preserve">  Mgr</t>
  </si>
  <si>
    <t xml:space="preserve">  Total Comm.</t>
  </si>
  <si>
    <t>Assoc.</t>
  </si>
  <si>
    <t>Anal.</t>
  </si>
  <si>
    <t>Other Non Com</t>
  </si>
  <si>
    <t>Temp/ Consult</t>
  </si>
  <si>
    <t>Admin</t>
  </si>
  <si>
    <t xml:space="preserve">  Total Non-Comm.</t>
  </si>
  <si>
    <t xml:space="preserve">  Jan Salaries</t>
  </si>
  <si>
    <t>Other Compensation:</t>
  </si>
  <si>
    <t>Analysts/Associates</t>
  </si>
  <si>
    <t>Severance</t>
  </si>
  <si>
    <t>Personal Best Awards</t>
  </si>
  <si>
    <t>Interns &amp; Summer Hires</t>
  </si>
  <si>
    <t>Special Payments</t>
  </si>
  <si>
    <t>Phantom Stock/Stock Options</t>
  </si>
  <si>
    <t>Annual Bonus and Related Payroll Taxes</t>
  </si>
  <si>
    <t xml:space="preserve">   Total Compensation</t>
  </si>
  <si>
    <t>Benefits (excludes contract labor):</t>
  </si>
  <si>
    <t>$4800 flex &amp;Additional benefits (cash balance, saving plan…) 9.35%</t>
  </si>
  <si>
    <t xml:space="preserve">   Total Benefits</t>
  </si>
  <si>
    <t>Payroll Taxes (excludes contract labor):</t>
  </si>
  <si>
    <t>Monthly</t>
  </si>
  <si>
    <t xml:space="preserve">   Total Payroll Taxes</t>
  </si>
  <si>
    <t>Employee Expenses:</t>
  </si>
  <si>
    <t xml:space="preserve">Travel </t>
  </si>
  <si>
    <t xml:space="preserve">   Consultants</t>
  </si>
  <si>
    <t xml:space="preserve">Total Travel </t>
  </si>
  <si>
    <t>Overtime/Working Meals</t>
  </si>
  <si>
    <t xml:space="preserve">Conferences &amp; Training </t>
  </si>
  <si>
    <t>Pager/Cellular Exp</t>
  </si>
  <si>
    <t>Employee Memberships &amp; Dues</t>
  </si>
  <si>
    <t>Tuition Reimbursement</t>
  </si>
  <si>
    <t xml:space="preserve">  Total Employee Expenses</t>
  </si>
  <si>
    <t>Recruiting &amp; Relocations:</t>
  </si>
  <si>
    <t>Campus Recruiting</t>
  </si>
  <si>
    <t>Employment Ads</t>
  </si>
  <si>
    <t>Recruiting Agency Fees</t>
  </si>
  <si>
    <t>Interview Expenses</t>
  </si>
  <si>
    <t xml:space="preserve">Relocation Expenses </t>
  </si>
  <si>
    <t xml:space="preserve">   Total Recruiting &amp; Relocations</t>
  </si>
  <si>
    <t>Outside Services:</t>
  </si>
  <si>
    <t>Professional Consultants &amp; Contractors</t>
  </si>
  <si>
    <t>Temporaries (Prostaff)</t>
  </si>
  <si>
    <t>Other Outside Contractors - Development Expense</t>
  </si>
  <si>
    <t xml:space="preserve">  Total Outside Services</t>
  </si>
  <si>
    <t>Supplies &amp; Other Expenses:</t>
  </si>
  <si>
    <t>Company Memberships &amp; Dues</t>
  </si>
  <si>
    <t xml:space="preserve">  (FL Reliability, FMEA, Houston Energy)</t>
  </si>
  <si>
    <t>Non-Real Time Market Data</t>
  </si>
  <si>
    <t xml:space="preserve">  (Lexis/Nexis, Dialog, Disclosure)</t>
  </si>
  <si>
    <t>Real Time Market Data</t>
  </si>
  <si>
    <t>Office Supplies</t>
  </si>
  <si>
    <t>Subscriptions &amp; Periodicals</t>
  </si>
  <si>
    <t xml:space="preserve">  Total Supplies &amp; Expenses</t>
  </si>
  <si>
    <t>Marketing:</t>
  </si>
  <si>
    <t>Advertising &amp; Promotions</t>
  </si>
  <si>
    <t>Client Entertainment</t>
  </si>
  <si>
    <t>Other Marketing</t>
  </si>
  <si>
    <t xml:space="preserve">   Total Marketing Expenses</t>
  </si>
  <si>
    <t>Charitable Contributions:</t>
  </si>
  <si>
    <t xml:space="preserve">Donations &amp; Contrib </t>
  </si>
  <si>
    <t xml:space="preserve">   Total Charitable Contributions</t>
  </si>
  <si>
    <t>Rents:</t>
  </si>
  <si>
    <t>Rent - Office &amp; Warehouse</t>
  </si>
  <si>
    <t>Equipment Rental (fax)</t>
  </si>
  <si>
    <t>Technology</t>
  </si>
  <si>
    <t>Depreciation</t>
  </si>
  <si>
    <t>Amortization</t>
  </si>
  <si>
    <t>EPSC</t>
  </si>
  <si>
    <t>IT</t>
  </si>
  <si>
    <t>Other Expense (Development Projects)</t>
  </si>
  <si>
    <t>Total G &amp; A Expenses</t>
  </si>
  <si>
    <t>Enron Net Works</t>
  </si>
  <si>
    <t>2001 Plan</t>
  </si>
  <si>
    <t>Equipment Purchase</t>
  </si>
  <si>
    <t xml:space="preserve">   Merit Increase 4.00%</t>
  </si>
  <si>
    <t xml:space="preserve">   Prom, Equity,Increase 2.5%</t>
  </si>
  <si>
    <t xml:space="preserve">   Prudence 3.5%</t>
  </si>
  <si>
    <t>Total 2001 Compensation</t>
  </si>
  <si>
    <t>Total  2001Salaries Pre Merit</t>
  </si>
  <si>
    <t>Total 2001 Salaries &amp; Compensation</t>
  </si>
  <si>
    <t>Postage &amp; freight</t>
  </si>
  <si>
    <t>Captial Project</t>
  </si>
  <si>
    <t>Commodity Logic Platform</t>
  </si>
  <si>
    <t>Hardware</t>
  </si>
  <si>
    <t>Consultants</t>
  </si>
  <si>
    <t>Jan</t>
  </si>
  <si>
    <t>Feb</t>
  </si>
  <si>
    <t>Mar</t>
  </si>
  <si>
    <t>Apr</t>
  </si>
  <si>
    <t>May</t>
  </si>
  <si>
    <t>Jun</t>
  </si>
  <si>
    <t>Aug</t>
  </si>
  <si>
    <t>Sep</t>
  </si>
  <si>
    <t>Dec</t>
  </si>
  <si>
    <t>June</t>
  </si>
  <si>
    <t>July</t>
  </si>
  <si>
    <t>Oct</t>
  </si>
  <si>
    <t>Nov</t>
  </si>
  <si>
    <t>Project</t>
  </si>
  <si>
    <t>Other</t>
  </si>
  <si>
    <t>Asset Basis</t>
  </si>
  <si>
    <t>Salvage Value</t>
  </si>
  <si>
    <t>Monthly Depreciation</t>
  </si>
  <si>
    <t>Useful Life in yrs</t>
  </si>
  <si>
    <t>Est in Service</t>
  </si>
  <si>
    <t>10738</t>
  </si>
  <si>
    <t>Harry Arora</t>
  </si>
  <si>
    <t>103237</t>
  </si>
  <si>
    <t>Sr Spec</t>
  </si>
  <si>
    <t>Spec</t>
  </si>
  <si>
    <t>15 new computers</t>
  </si>
  <si>
    <t xml:space="preserve">   Domestic</t>
  </si>
  <si>
    <t xml:space="preserve">   International</t>
  </si>
  <si>
    <t>Salaries &amp; Wages</t>
  </si>
  <si>
    <t>Employee Expenses</t>
  </si>
  <si>
    <t>General Business</t>
  </si>
  <si>
    <t>Supplies &amp; Expense</t>
  </si>
  <si>
    <t>Outside Services</t>
  </si>
  <si>
    <t>Other Computer Costs</t>
  </si>
  <si>
    <t>Other Business Expense</t>
  </si>
  <si>
    <t>Subtotal</t>
  </si>
  <si>
    <t>Payroll Taxes</t>
  </si>
  <si>
    <t>Benefits</t>
  </si>
  <si>
    <t>EIS Charges</t>
  </si>
  <si>
    <t>Rent and Other EPCS</t>
  </si>
  <si>
    <t>Net Margin</t>
  </si>
  <si>
    <t>Captial Projects</t>
  </si>
  <si>
    <t xml:space="preserve">  Headcount</t>
  </si>
  <si>
    <t>Enron Employees</t>
  </si>
  <si>
    <t>Contractors</t>
  </si>
  <si>
    <t>Open</t>
  </si>
  <si>
    <t>Total Headcount</t>
  </si>
  <si>
    <t>Margin:</t>
  </si>
  <si>
    <t>Service Revenues</t>
  </si>
  <si>
    <t>Other Revenues</t>
  </si>
  <si>
    <t>Amortization/Depreciation</t>
  </si>
  <si>
    <t>Equity Earnings</t>
  </si>
  <si>
    <t>Fair Value</t>
  </si>
  <si>
    <t>Fees</t>
  </si>
  <si>
    <t>Gain/Loss on Sale of Assets</t>
  </si>
  <si>
    <t>Interest Income / Dividends</t>
  </si>
  <si>
    <t>Mark to Market</t>
  </si>
  <si>
    <t xml:space="preserve">Originations </t>
  </si>
  <si>
    <t>Overview</t>
  </si>
  <si>
    <t>Trading Margin</t>
  </si>
  <si>
    <t>Total Margin</t>
  </si>
  <si>
    <t>Capital Charge</t>
  </si>
  <si>
    <t>Margin Net of Capital Charge</t>
  </si>
  <si>
    <t>Direct Expenses:</t>
  </si>
  <si>
    <t>Compensation</t>
  </si>
  <si>
    <t>Benefits and Payroll Taxes</t>
  </si>
  <si>
    <t>Recruiting</t>
  </si>
  <si>
    <t>Supplies Expense</t>
  </si>
  <si>
    <t>Marketing</t>
  </si>
  <si>
    <t>Rent (3rd Party)</t>
  </si>
  <si>
    <t>Taxes Other Than Income</t>
  </si>
  <si>
    <t>Depreciation &amp; Amortization</t>
  </si>
  <si>
    <t>Total Direct Expenses</t>
  </si>
  <si>
    <t>Allocated Expenses:</t>
  </si>
  <si>
    <t>Information Technology</t>
  </si>
  <si>
    <t>Legal</t>
  </si>
  <si>
    <t>Energy Operations</t>
  </si>
  <si>
    <t>Enron Online</t>
  </si>
  <si>
    <t>ECM</t>
  </si>
  <si>
    <t>Risk Assessment &amp; Control</t>
  </si>
  <si>
    <t>Business Analysis &amp; Reporting</t>
  </si>
  <si>
    <t>Human Resources</t>
  </si>
  <si>
    <t>Other Allocations</t>
  </si>
  <si>
    <t>Total Allocated Expenses</t>
  </si>
  <si>
    <t>Expense Subtotal</t>
  </si>
  <si>
    <t>Unallocated Group Expenses</t>
  </si>
  <si>
    <t>Pre-Tax Income</t>
  </si>
  <si>
    <t>E-mail to Amy Spoede 5-7805</t>
  </si>
  <si>
    <t>EXPENSES</t>
  </si>
  <si>
    <t>Subtotal Commercial Expenses</t>
  </si>
  <si>
    <t>Group Allocated Expenses</t>
  </si>
  <si>
    <t>Capital Charges</t>
  </si>
  <si>
    <t>TOTAL EXPENSES</t>
  </si>
  <si>
    <t>TOTAL IBIT</t>
  </si>
  <si>
    <t>E N R O N   N ET WORKS</t>
  </si>
  <si>
    <t>Blue numbers - cells requiring input by Team owners</t>
  </si>
  <si>
    <t>2001 PLAN</t>
  </si>
  <si>
    <t>Red numbers - cells linked to IBIT file</t>
  </si>
  <si>
    <t>Cash Flow Statement  -  Indirect</t>
  </si>
  <si>
    <t>Green numbers - cells linked to support schedules in this file</t>
  </si>
  <si>
    <t>(in $000)</t>
  </si>
  <si>
    <t>Jul</t>
  </si>
  <si>
    <t>CASH FLOW FROM OPERATING ACTIVITIES</t>
  </si>
  <si>
    <t>Income Before Interest &amp; Taxes</t>
  </si>
  <si>
    <t>Items not affecting cash:</t>
  </si>
  <si>
    <t>Depreciation, depletion &amp; amortization</t>
  </si>
  <si>
    <t xml:space="preserve">Deferred income taxes  </t>
  </si>
  <si>
    <t>Unrealized (gain)/loss on price risk mgmt activities (See Schedule D)</t>
  </si>
  <si>
    <t>Oil &amp; gas exploration expenses</t>
  </si>
  <si>
    <t>Net (gain)/loss on sale of assets (See Schedule C)</t>
  </si>
  <si>
    <t>CASH FLOW FROM OPERATIONS</t>
  </si>
  <si>
    <t>Merchant Investing Activity (See Schedule B)</t>
  </si>
  <si>
    <t>Equity/Partnership Distributions</t>
  </si>
  <si>
    <t>Other Funds Flow (See Schedule E I.)</t>
  </si>
  <si>
    <t>FUNDS FLOW FROM OPERATIONS</t>
  </si>
  <si>
    <t>Working Capital Changes:</t>
  </si>
  <si>
    <t>Receivable/Payable - Corporate</t>
  </si>
  <si>
    <t>Accounts receivables/payables - Intercompany</t>
  </si>
  <si>
    <t>Receivables (Inc. Exchange Gas)</t>
  </si>
  <si>
    <t>Payables (Inc. Exchange Gas)</t>
  </si>
  <si>
    <t>Assigned Receivables (CAFCO)</t>
  </si>
  <si>
    <t>Accrued Taxes</t>
  </si>
  <si>
    <t>Accrued Interest - Third Party</t>
  </si>
  <si>
    <t>Other Working Capital (See Schedule E II.)</t>
  </si>
  <si>
    <t>TOTAL WORKING CAPITAL CHANGES</t>
  </si>
  <si>
    <t>CASH FROM OPERATING ACTIVITIES</t>
  </si>
  <si>
    <t>CASH FLOWS FROM INVESTING</t>
  </si>
  <si>
    <t>Capital Expenditures (See Schedule A)</t>
  </si>
  <si>
    <t>Cash paid for Business Acquisitions (See Schedule B)</t>
  </si>
  <si>
    <t>Intercompany Investing Activity</t>
  </si>
  <si>
    <t>Other Investing (See Schedule B)</t>
  </si>
  <si>
    <t>NET CASH FLOW</t>
  </si>
  <si>
    <t>CASH FLOWS FROM FINANCING</t>
  </si>
  <si>
    <t xml:space="preserve">Third party debt increase/(decrease) </t>
  </si>
  <si>
    <t>Stock (purchases) isssuances</t>
  </si>
  <si>
    <t>Dividends to Corp</t>
  </si>
  <si>
    <t>Dividends on Preferred Stock of Subs</t>
  </si>
  <si>
    <t>Dividends Paid to Outside</t>
  </si>
  <si>
    <t>Contributions from Parent</t>
  </si>
  <si>
    <t>Other Financing (See Schedule E III.)</t>
  </si>
  <si>
    <t>(INCREASE)/DECREASE IN CASH AND NOTE FROM CORPORATE</t>
  </si>
  <si>
    <t>Restricted/Retained Cash</t>
  </si>
  <si>
    <t>(INCREASE)/DECREASE IN CASH REQUIRED FROM CORPORATE</t>
  </si>
  <si>
    <t>(INCREASE)/DECREASE IN OTHER OBLIGATIONS (See Schedule F)</t>
  </si>
  <si>
    <t>(INCREASE)/DECREASE IN TOTAL OBLIGATIONS</t>
  </si>
  <si>
    <t>TOTAL OBLIGATIONS OPENING BALANCE</t>
  </si>
  <si>
    <t>TOTAL OBLIGATIONS ENDING BALANCE</t>
  </si>
  <si>
    <t>Hide    Indirect - Direct Check = 0</t>
  </si>
  <si>
    <t>Hide    Income Check = 0</t>
  </si>
  <si>
    <t>Hide    Template DD&amp;A Check = 0</t>
  </si>
  <si>
    <t>OK..........INDIRECT AGREES WITH DIRECT</t>
  </si>
  <si>
    <t>STOP......... INDIRECT NOT EQUAL TO DIRECT</t>
  </si>
  <si>
    <t>OK..........INCOME AGREES WITH IBIT FILE</t>
  </si>
  <si>
    <t>STOP......... INCOME NOT EQUAL TO IBIT FILE</t>
  </si>
  <si>
    <t>OK..........INDIRECT IBIT FILE DD&amp;A AGREES WITH TEMPLATE DD&amp;A</t>
  </si>
  <si>
    <t>STOP..........INDIRECT IBIT FILE DD&amp;A DOES NOT AGREE WITH TEMPLATE DD&amp;A</t>
  </si>
  <si>
    <t>E N R O N   N ET  WORKS</t>
  </si>
  <si>
    <t>Cash Flow Statement  -  Direct</t>
  </si>
  <si>
    <t>Check with</t>
  </si>
  <si>
    <t>Indirect</t>
  </si>
  <si>
    <t>CASH FLOWS FROM OPERATING ACTIVITIES:</t>
  </si>
  <si>
    <t xml:space="preserve">    Cash Received From Customers </t>
  </si>
  <si>
    <t xml:space="preserve">    Cash Paid to Customers/Suppliers</t>
  </si>
  <si>
    <t xml:space="preserve">    Net Cash (Paid)/Rec'd for Financial Settlements</t>
  </si>
  <si>
    <t xml:space="preserve">    Exchange Margin Payments/Receipts</t>
  </si>
  <si>
    <t xml:space="preserve">    OTC Margin &amp; Interest Payments/Receipts</t>
  </si>
  <si>
    <t xml:space="preserve">    Exchange Broker Fees, Realized P&amp;L, Option Premiums, etc.</t>
  </si>
  <si>
    <t xml:space="preserve">    Monetizations-Inflows</t>
  </si>
  <si>
    <t xml:space="preserve">    Monetizations-Settlements</t>
  </si>
  <si>
    <t xml:space="preserve">    Prepays-Inflows</t>
  </si>
  <si>
    <t xml:space="preserve">    Prepays-Settlements</t>
  </si>
  <si>
    <t xml:space="preserve">    Demand Charges (Internal Transfer Charge)</t>
  </si>
  <si>
    <t xml:space="preserve">    Lease/Other Fee Payments</t>
  </si>
  <si>
    <t xml:space="preserve">    Structure/Management  Fees </t>
  </si>
  <si>
    <t xml:space="preserve">    Commercial Expenses</t>
  </si>
  <si>
    <t xml:space="preserve">    Corporate Charges</t>
  </si>
  <si>
    <t xml:space="preserve">    Group Allocated Costs</t>
  </si>
  <si>
    <t>Merchant Investing Activity</t>
  </si>
  <si>
    <t xml:space="preserve">    Interest Income/(Expense)</t>
  </si>
  <si>
    <t xml:space="preserve">    Taxes - Other Than Income</t>
  </si>
  <si>
    <t xml:space="preserve">    Taxes - Income</t>
  </si>
  <si>
    <t xml:space="preserve">    Other Miscellaneous Payments (See schedule E IV)</t>
  </si>
  <si>
    <t>CASH FLOWS FROM INVESTING:</t>
  </si>
  <si>
    <t xml:space="preserve">    Capital Expenditures</t>
  </si>
  <si>
    <t xml:space="preserve">    Cash paid for Business Acquisitions</t>
  </si>
  <si>
    <t xml:space="preserve">    Intercompany Investing Activity</t>
  </si>
  <si>
    <t xml:space="preserve">    Other</t>
  </si>
  <si>
    <t xml:space="preserve">    Third Party Debt Increase/(Decrease)</t>
  </si>
  <si>
    <t xml:space="preserve">    Stock (purchases) isssuances</t>
  </si>
  <si>
    <t xml:space="preserve">    Dividends to Corp</t>
  </si>
  <si>
    <t xml:space="preserve">    Dividends on Preferred Stock of Subs</t>
  </si>
  <si>
    <t xml:space="preserve">    Dividends Paid to Outside</t>
  </si>
  <si>
    <t xml:space="preserve">    Contributions from Parent</t>
  </si>
  <si>
    <t xml:space="preserve">    Restricted/Retained Cash </t>
  </si>
  <si>
    <t>Hide   Commercial Expense Check = 0</t>
  </si>
  <si>
    <t>Hide   Group Allocated Costs Check = 0</t>
  </si>
  <si>
    <t>OK..........DIRECT COMMERCIAL EXPENSE AGREES WITH IBIT FILE</t>
  </si>
  <si>
    <t>STOP..........DIRECT COMMERCIAL EXPENSE DOES NOT AGREE WITH IBIT FILE</t>
  </si>
  <si>
    <t>OK..........DIRECT GROUP ALLOCATION COSTS AGREES WITH IBIT FILE</t>
  </si>
  <si>
    <t>STOP..........DIRECT GROUP ALLOCATION COSTS DOES NOT AGREE WITH IBIT FILE</t>
  </si>
  <si>
    <t>DETAILS OF CAPITAL EXPENDITURES</t>
  </si>
  <si>
    <t>(Thousands of Dollars)</t>
  </si>
  <si>
    <t>est.</t>
  </si>
  <si>
    <t>FY</t>
  </si>
  <si>
    <t>Project / Asset</t>
  </si>
  <si>
    <t>Total Capital Expenditures</t>
  </si>
  <si>
    <t>E N R O N   NET WORKS</t>
  </si>
  <si>
    <t>&amp; OTHER INVESTING ACTIVITIES</t>
  </si>
  <si>
    <t>Investment</t>
  </si>
  <si>
    <t>Cash Paid for Business Acquisitions</t>
  </si>
  <si>
    <t>Total Investing</t>
  </si>
  <si>
    <t>ANALYSIS OF ASSET SALES</t>
  </si>
  <si>
    <t>Please provide detailed descriptions of assets sold including sales price, book</t>
  </si>
  <si>
    <t>basis and resulting gain or loss.</t>
  </si>
  <si>
    <t>Date</t>
  </si>
  <si>
    <t xml:space="preserve">Net </t>
  </si>
  <si>
    <t>Book</t>
  </si>
  <si>
    <t>Gain /</t>
  </si>
  <si>
    <t>of Sale</t>
  </si>
  <si>
    <t>Proceeds</t>
  </si>
  <si>
    <t>Basis</t>
  </si>
  <si>
    <t>Loss</t>
  </si>
  <si>
    <t>Description of Asset Sold</t>
  </si>
  <si>
    <t>2000 Sales (Year-end estimate)</t>
  </si>
  <si>
    <t>Asset #1</t>
  </si>
  <si>
    <t>Asset #2</t>
  </si>
  <si>
    <t>Asset #3</t>
  </si>
  <si>
    <t>Asset #4</t>
  </si>
  <si>
    <t>Asset #5</t>
  </si>
  <si>
    <t>Asset #6</t>
  </si>
  <si>
    <t>Asset #7</t>
  </si>
  <si>
    <t>Asset #8</t>
  </si>
  <si>
    <t>Asset #9</t>
  </si>
  <si>
    <t>Asset #10</t>
  </si>
  <si>
    <t>Total 2000 Sales</t>
  </si>
  <si>
    <t>2001 Sales</t>
  </si>
  <si>
    <t>Total 2001 Sales</t>
  </si>
  <si>
    <t>DETAIL OF PRICE RISK MANAGEMENT ACTIVITIES</t>
  </si>
  <si>
    <t>Other Unrealized Activity</t>
  </si>
  <si>
    <t>Other Settlements</t>
  </si>
  <si>
    <t>Monetizations - Inflows</t>
  </si>
  <si>
    <t>Monetizations - Settlements</t>
  </si>
  <si>
    <t>Prepays - Inflows</t>
  </si>
  <si>
    <t>Prepays - Settlements</t>
  </si>
  <si>
    <t>Total Change in PRM Activities</t>
  </si>
  <si>
    <t>DETAIL OF OTHER</t>
  </si>
  <si>
    <t>INDIRECT:</t>
  </si>
  <si>
    <t>I.  DETAIL OF OTHER FUNDS FLOW</t>
  </si>
  <si>
    <t>Overview (placeholder)</t>
  </si>
  <si>
    <t xml:space="preserve">detail </t>
  </si>
  <si>
    <t>detail</t>
  </si>
  <si>
    <t>II.  DETAIL OF OTHER WORKING CAPITAL</t>
  </si>
  <si>
    <t>Inventory</t>
  </si>
  <si>
    <t>III.  DETAIL OF OTHER FINANCING</t>
  </si>
  <si>
    <t>DIRECT:</t>
  </si>
  <si>
    <t>IV.  DETAIL OF OTHER MISC PAYMENTS</t>
  </si>
  <si>
    <t>CAPITAL CHARGE CALCULATION</t>
  </si>
  <si>
    <t>Projected Cash</t>
  </si>
  <si>
    <t>Investment Balance</t>
  </si>
  <si>
    <t>@ 12/31/2000</t>
  </si>
  <si>
    <t>@ 12/31/2001</t>
  </si>
  <si>
    <t>Net Cash Flow</t>
  </si>
  <si>
    <t>n/a</t>
  </si>
  <si>
    <t>Ending Balance</t>
  </si>
  <si>
    <t>1Q Total</t>
  </si>
  <si>
    <t>2Q Total</t>
  </si>
  <si>
    <t>3Q Total</t>
  </si>
  <si>
    <t>4Q Total</t>
  </si>
  <si>
    <t>Monthly capital charge calculation:  Prior month cumulative balance plus one half of current month activity at 6.5%.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</si>
  <si>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NET WORKS</t>
    </r>
  </si>
  <si>
    <r>
      <t xml:space="preserve">Other Investing Activity </t>
    </r>
    <r>
      <rPr>
        <b/>
        <sz val="10"/>
        <color indexed="8"/>
        <rFont val="Arial"/>
        <family val="2"/>
      </rPr>
      <t>(e.g., Sithe)</t>
    </r>
  </si>
  <si>
    <t>Deal Bench</t>
  </si>
  <si>
    <t>DETAIL OF MERCHANT Deal Bench, EQUITY Deal Bench</t>
  </si>
  <si>
    <t>Merchant Deal Bench</t>
  </si>
  <si>
    <t>Equity Deal Bench (e.g., Invesments in JEDI)</t>
  </si>
  <si>
    <t xml:space="preserve">    Proceeds from Sale of Deal Bench</t>
  </si>
  <si>
    <t xml:space="preserve">    Equity Deal Bench</t>
  </si>
  <si>
    <t>Proceeds from Sale of Deal Bench (See Schedule C)</t>
  </si>
  <si>
    <t>Equity Deal Bench (See Schedule B)</t>
  </si>
  <si>
    <t>Deal Bench Cash and Non-Cash</t>
  </si>
  <si>
    <t>Captial Charge (Credit)</t>
  </si>
  <si>
    <t xml:space="preserve">  Revenues</t>
  </si>
  <si>
    <t>Revenues</t>
  </si>
  <si>
    <t xml:space="preserve">  Cost &amp; Expenses</t>
  </si>
  <si>
    <t>Total cost &amp; Expenses</t>
  </si>
  <si>
    <t xml:space="preserve">Legal </t>
  </si>
  <si>
    <t>Capital Charge Calculation 6.5%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</si>
</sst>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* #,##0.0000_);_(* \(#,##0.0000\);_(* &quot;-&quot;??_);_(@_)"/>
    <numFmt numFmtId="169" formatCode="0.00000"/>
    <numFmt numFmtId="170" formatCode="0.0000"/>
    <numFmt numFmtId="171" formatCode="0.000"/>
    <numFmt numFmtId="176" formatCode="_(* #,##0.000000000_);_(* \(#,##0.000000000\);_(* &quot;-&quot;??_);_(@_)"/>
    <numFmt numFmtId="189" formatCode="_(&quot;$&quot;* #,##0_);_(&quot;$&quot;* \(#,##0\);_(&quot;$&quot;* &quot;-&quot;??_);_(@_)"/>
    <numFmt numFmtId="191" formatCode="#,##0.0_);\(#,##0.0\)"/>
    <numFmt numFmtId="194" formatCode="#,##0.000_);\(#,##0.000\)"/>
    <numFmt numFmtId="201" formatCode="0.000%"/>
    <numFmt numFmtId="204" formatCode="000"/>
    <numFmt numFmtId="205" formatCode="0000"/>
    <numFmt numFmtId="213" formatCode="#,##0.000_);[Red]\(#,##0.000\)"/>
    <numFmt numFmtId="214" formatCode="#,##0.0_);[Red]\(#,##0.0\)"/>
    <numFmt numFmtId="218" formatCode="&quot;$&quot;#,##0.0_);[Red]\(&quot;$&quot;#,##0.0\)"/>
    <numFmt numFmtId="227" formatCode=".0000%"/>
    <numFmt numFmtId="229" formatCode="#,##0.0000_);[Red]\(#,##0.0000\)"/>
    <numFmt numFmtId="230" formatCode="_(* #,##0.0_);_(* \(#,##0.0\);_(* &quot;-&quot;_);_(@_)"/>
    <numFmt numFmtId="236" formatCode="&quot;£&quot;#,##0;[Red]\-&quot;£&quot;#,##0"/>
    <numFmt numFmtId="237" formatCode="&quot;£&quot;#,##0.00;\-&quot;£&quot;#,##0.00"/>
    <numFmt numFmtId="238" formatCode="&quot;£&quot;#,##0.00;[Red]\-&quot;£&quot;#,##0.00"/>
    <numFmt numFmtId="239" formatCode="_-&quot;£&quot;* #,##0_-;\-&quot;£&quot;* #,##0_-;_-&quot;£&quot;* &quot;-&quot;_-;_-@_-"/>
    <numFmt numFmtId="240" formatCode="_-* #,##0_-;\-* #,##0_-;_-* &quot;-&quot;_-;_-@_-"/>
    <numFmt numFmtId="241" formatCode="_-&quot;£&quot;* #,##0.00_-;\-&quot;£&quot;* #,##0.00_-;_-&quot;£&quot;* &quot;-&quot;??_-;_-@_-"/>
    <numFmt numFmtId="242" formatCode="_-* #,##0.00_-;\-* #,##0.00_-;_-* &quot;-&quot;??_-;_-@_-"/>
    <numFmt numFmtId="246" formatCode="#,##0.00_);\(#,##0.00\);\-\ \ "/>
    <numFmt numFmtId="248" formatCode="#,##0_);\(#,##0\);\-\ \ "/>
    <numFmt numFmtId="249" formatCode="#,##0.000_);\(#,##0.000\);\ \-\ \ "/>
    <numFmt numFmtId="250" formatCode="###0"/>
    <numFmt numFmtId="255" formatCode="0.0%;\(0.0\)%;\ \-\ \ "/>
    <numFmt numFmtId="275" formatCode="#.0,,;[Red]\(#.0,,\)"/>
    <numFmt numFmtId="276" formatCode="#,##0_);\(#,##0\)\-"/>
    <numFmt numFmtId="277" formatCode="#,##0_);\(#,##0\);\-"/>
    <numFmt numFmtId="278" formatCode="0.00_)"/>
    <numFmt numFmtId="282" formatCode="#,###.0_);\(#,##0.0\);\ \-\ _ "/>
    <numFmt numFmtId="283" formatCode="0.0_;"/>
    <numFmt numFmtId="292" formatCode="#,##0_);[Red]\(#,##0\);\-"/>
    <numFmt numFmtId="293" formatCode="&quot;$&quot;\ \ #,##0_);[Red]\(&quot;$&quot;\ \ #,##0\)"/>
    <numFmt numFmtId="294" formatCode="&quot;$&quot;\ \ #,##0.0_);[Red]\(&quot;$&quot;\ \ #,##0.0\)"/>
    <numFmt numFmtId="295" formatCode="&quot;$&quot;\ \ #,##0.00_);[Red]\(&quot;$&quot;\ \ #,##0.00\)"/>
    <numFmt numFmtId="296" formatCode="#,##0.0_);[Red]\(#,##0.0\);\-"/>
    <numFmt numFmtId="298" formatCode="&quot;$&quot;\ \ \ #,##0.00_);\(&quot;$&quot;\ \ \ #,##0.00\);&quot;$&quot;\ \ \ \ \ \ \ \ \ \ \-"/>
    <numFmt numFmtId="302" formatCode="&quot;$&quot;\ \ \ \ \ \ \ \ \ #,###.00_);&quot;$&quot;\ \ \ \ \ \ \ \ \ \(#,###.00\);&quot;$&quot;\ \ \ \ \ \ \ \ \ \ \ \ \ \ \-"/>
    <numFmt numFmtId="303" formatCode="&quot;$&quot;\ \ \ #,##0_);[Red]&quot;$&quot;\ \ \ \(#,##0\);&quot;$&quot;\ \ \ \ \ \ \ \ \ \-"/>
    <numFmt numFmtId="304" formatCode="&quot;$&quot;\ \ \ #,##0_);[Red]&quot;$&quot;\ \ \ \(#,##0\);&quot;$&quot;\ \ \ \ \ \ \ \ \ \ \ \ \-"/>
    <numFmt numFmtId="305" formatCode="&quot;$&quot;\ \ \ \ \ \ \ \ \ #,###.00_);&quot;$&quot;\ \ \ \ \ \ \ \ \ \(#,###.00\);&quot;$&quot;\ \ \ \ \ \ \ \ \ \ \ \ \ \ \ \-"/>
    <numFmt numFmtId="306" formatCode="&quot;$&quot;\ \ \ \ \ \ \ \ \ #,###.00_);&quot;$&quot;\ \ \ \ \ \ \ \ \ \(#,###.00\);&quot;$&quot;\ \ \ \ \ \ \ \ \ \ \ \ \ \ \ \ \-"/>
    <numFmt numFmtId="308" formatCode="&quot;$&quot;\ \ \ \ \ \ \ \ #,###.00_);&quot;$&quot;\ \ \ \ \ \ \ \ \(#,###.00\);&quot;$&quot;\ \ \ \ \ \ \ \ \ \ \ \ \ \ \ \ \-"/>
    <numFmt numFmtId="310" formatCode="&quot;$&quot;\ \ \ \ \ \ \ \ \ #,###.00_);&quot;$&quot;\ \ \ \ \ \ \ \(#,###.00\);&quot;$&quot;\ \ \ \ \ \ \ \ \ \ \ \ \ \ \ \ \-"/>
    <numFmt numFmtId="312" formatCode="#,##0.0000_);\(#,##0.0000\);_ \-\ \ "/>
    <numFmt numFmtId="313" formatCode="0.0_%;\(0.0\)%;\ \-\ \ \ "/>
    <numFmt numFmtId="314" formatCode="0.0%_;\(0.0\)%;\ \-\ \ \ "/>
    <numFmt numFmtId="315" formatCode="0.0%_);\(0.0\)%;\ \-"/>
    <numFmt numFmtId="316" formatCode="0.0%\);\(0.0\)%;\ \-"/>
    <numFmt numFmtId="317" formatCode="0.0%\ \)"/>
    <numFmt numFmtId="318" formatCode="0.0%\ ;\(0.0\)%\ ;\-\ \ \ "/>
    <numFmt numFmtId="319" formatCode="#,##0.00__;"/>
    <numFmt numFmtId="320" formatCode="#,##0_);\(#,##0\);\ \-\ \ \ \ "/>
    <numFmt numFmtId="321" formatCode="#,##0.00000___;"/>
    <numFmt numFmtId="322" formatCode="&quot;$&quot;#,##0;\-&quot;$&quot;#,##0"/>
    <numFmt numFmtId="323" formatCode="&quot;$&quot;#,##0;[Red]\-&quot;$&quot;#,##0"/>
    <numFmt numFmtId="325" formatCode="&quot;$&quot;#,##0.00;[Red]\-&quot;$&quot;#,##0.00"/>
    <numFmt numFmtId="326" formatCode="_-&quot;$&quot;* #,##0_-;\-&quot;$&quot;* #,##0_-;_-&quot;$&quot;* &quot;-&quot;_-;_-@_-"/>
    <numFmt numFmtId="327" formatCode="_-&quot;$&quot;* #,##0.00_-;\-&quot;$&quot;* #,##0.00_-;_-&quot;$&quot;* &quot;-&quot;??_-;_-@_-"/>
    <numFmt numFmtId="335" formatCode="#,##0.0________\);\(#,##0.0\);_______ \-\ \ "/>
    <numFmt numFmtId="336" formatCode="#,##0.0________\);\(#,##0.0\);________\ \-\ \ "/>
    <numFmt numFmtId="337" formatCode="#,##0.0_________);\(#,##0.0\);________\ \-\ \ "/>
    <numFmt numFmtId="338" formatCode="#,##0_________);\(#,##0\);_________-\ \ "/>
    <numFmt numFmtId="339" formatCode="#,##0.0_________);\(#,##0.0\);\ \-\ \ "/>
    <numFmt numFmtId="340" formatCode="#,##0.0_______);\(#,##0.0\);______\ \-\ \ "/>
    <numFmt numFmtId="342" formatCode="#,##0.0_);\(#,##0.0\);_ \ \-"/>
    <numFmt numFmtId="343" formatCode="#,##0.00__\);\(#,##0.00\);__\ \ \-"/>
    <numFmt numFmtId="344" formatCode="#,##0.00___);\(#,##0.00\);___ \ \-"/>
    <numFmt numFmtId="347" formatCode="#,##0___);\(#,##0\);\ \-\ __"/>
    <numFmt numFmtId="348" formatCode="#,###___);\(#,##0\);\ \-\ __"/>
    <numFmt numFmtId="349" formatCode="#,##0___);\(#,##0\);\ \-__\ \ "/>
    <numFmt numFmtId="350" formatCode="#,##0___);\(#,##0\)_;\ \-__\ \ "/>
    <numFmt numFmtId="351" formatCode="#,##0___);\(#,##0\)___;\ \-__\ \ "/>
    <numFmt numFmtId="352" formatCode="#,###_);\(#,##0\);\ \-_ "/>
    <numFmt numFmtId="354" formatCode="#,##0_)_ ;\(#,##0\)\ ;\ \-_ _)"/>
    <numFmt numFmtId="355" formatCode="#,##0_)_ ;\(#,##0\)\ ;\-_)_ _ "/>
    <numFmt numFmtId="356" formatCode="#,##0_);\(#,##0\)\ ;\-_)_ _ "/>
    <numFmt numFmtId="357" formatCode="_##,##0_);\(#,##0\)\ ;\-_)_ _ "/>
    <numFmt numFmtId="358" formatCode="_##,##0_);\(#,##0\);\-_)_ _ "/>
    <numFmt numFmtId="359" formatCode="#,###_)"/>
    <numFmt numFmtId="360" formatCode="#,###_)_ "/>
  </numFmts>
  <fonts count="137">
    <font>
      <sz val="10"/>
      <name val="Times New Roman"/>
    </font>
    <font>
      <sz val="10"/>
      <name val="Times New Roman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b/>
      <sz val="10"/>
      <name val="Arial Narrow"/>
    </font>
    <font>
      <sz val="8"/>
      <color indexed="81"/>
      <name val="Tahoma"/>
    </font>
    <font>
      <sz val="8"/>
      <name val="Arial Narrow"/>
      <family val="2"/>
    </font>
    <font>
      <sz val="8"/>
      <color indexed="12"/>
      <name val="Arial Narrow"/>
      <family val="2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10"/>
      <name val="Times New Roman"/>
      <family val="1"/>
    </font>
    <font>
      <sz val="8"/>
      <name val="Times New Roman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0"/>
      <name val="Times New Roman"/>
      <family val="1"/>
    </font>
    <font>
      <b/>
      <sz val="8"/>
      <color indexed="81"/>
      <name val="Tahoma"/>
    </font>
    <font>
      <sz val="10"/>
      <name val="Tahoma"/>
    </font>
    <font>
      <b/>
      <sz val="10"/>
      <color indexed="56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2"/>
      <color indexed="8"/>
      <name val="Arial Narrow"/>
      <family val="2"/>
    </font>
    <font>
      <b/>
      <sz val="14"/>
      <color indexed="8"/>
      <name val="Arial Narrow"/>
      <family val="2"/>
    </font>
    <font>
      <b/>
      <sz val="9"/>
      <color indexed="56"/>
      <name val="Arial Narrow"/>
      <family val="2"/>
    </font>
    <font>
      <sz val="10"/>
      <color indexed="56"/>
      <name val="Arial Narrow"/>
      <family val="2"/>
    </font>
    <font>
      <sz val="12"/>
      <color indexed="56"/>
      <name val="Arial Narrow"/>
      <family val="2"/>
    </font>
    <font>
      <b/>
      <sz val="12"/>
      <color indexed="56"/>
      <name val="Arial Narrow"/>
      <family val="2"/>
    </font>
    <font>
      <sz val="12"/>
      <name val="Arial Narrow"/>
      <family val="2"/>
    </font>
    <font>
      <b/>
      <sz val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2"/>
      <name val="Tahoma"/>
      <family val="2"/>
    </font>
    <font>
      <sz val="12"/>
      <name val="Tahoma"/>
      <family val="2"/>
    </font>
    <font>
      <b/>
      <sz val="8"/>
      <name val="Arial Narrow"/>
      <family val="2"/>
    </font>
    <font>
      <b/>
      <sz val="16"/>
      <name val="Arial Narrow"/>
      <family val="2"/>
    </font>
    <font>
      <b/>
      <sz val="11"/>
      <color indexed="56"/>
      <name val="Arial Narrow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57"/>
      <name val="Arial"/>
      <family val="2"/>
    </font>
    <font>
      <sz val="10"/>
      <color indexed="21"/>
      <name val="Arial"/>
      <family val="2"/>
    </font>
    <font>
      <sz val="10"/>
      <color indexed="17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1"/>
      <color indexed="8"/>
      <name val="Arial"/>
      <family val="2"/>
    </font>
    <font>
      <sz val="12"/>
      <color indexed="12"/>
      <name val="Arial"/>
      <family val="2"/>
    </font>
    <font>
      <sz val="10"/>
      <color indexed="8"/>
      <name val="Arial"/>
      <family val="2"/>
    </font>
    <font>
      <sz val="6"/>
      <name val="Arial"/>
      <family val="2"/>
    </font>
    <font>
      <u/>
      <sz val="12"/>
      <color indexed="12"/>
      <name val="Arial"/>
      <family val="2"/>
    </font>
    <font>
      <b/>
      <u/>
      <sz val="12"/>
      <name val="Arial"/>
      <family val="2"/>
    </font>
    <font>
      <sz val="12"/>
      <color indexed="10"/>
      <name val="Arial"/>
      <family val="2"/>
    </font>
    <font>
      <b/>
      <sz val="8"/>
      <color indexed="8"/>
      <name val="Arial"/>
      <family val="2"/>
    </font>
    <font>
      <sz val="11"/>
      <color indexed="11"/>
      <name val="Arial"/>
      <family val="2"/>
    </font>
    <font>
      <sz val="10"/>
      <color indexed="11"/>
      <name val="Arial"/>
      <family val="2"/>
    </font>
    <font>
      <sz val="9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</borders>
  <cellStyleXfs count="37">
    <xf numFmtId="0" fontId="0" fillId="0" borderId="0"/>
    <xf numFmtId="0" fontId="12" fillId="0" borderId="0"/>
    <xf numFmtId="298" fontId="9" fillId="2" borderId="1">
      <alignment horizontal="center" vertical="center"/>
    </xf>
    <xf numFmtId="343" fontId="9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5" fillId="0" borderId="0">
      <protection locked="0"/>
    </xf>
    <xf numFmtId="312" fontId="9" fillId="0" borderId="0">
      <protection locked="0"/>
    </xf>
    <xf numFmtId="38" fontId="31" fillId="4" borderId="0" applyNumberFormat="0" applyBorder="0" applyAlignment="0" applyProtection="0"/>
    <xf numFmtId="0" fontId="33" fillId="0" borderId="0" applyNumberFormat="0" applyFill="0" applyBorder="0" applyAlignment="0" applyProtection="0"/>
    <xf numFmtId="0" fontId="34" fillId="0" borderId="2" applyNumberFormat="0" applyAlignment="0" applyProtection="0">
      <alignment horizontal="left" vertical="center"/>
    </xf>
    <xf numFmtId="0" fontId="34" fillId="0" borderId="3">
      <alignment horizontal="left" vertical="center"/>
    </xf>
    <xf numFmtId="359" fontId="9" fillId="0" borderId="0">
      <protection locked="0"/>
    </xf>
    <xf numFmtId="359" fontId="9" fillId="0" borderId="0">
      <protection locked="0"/>
    </xf>
    <xf numFmtId="0" fontId="36" fillId="0" borderId="4" applyNumberFormat="0" applyFill="0" applyAlignment="0" applyProtection="0"/>
    <xf numFmtId="10" fontId="31" fillId="5" borderId="5" applyNumberFormat="0" applyBorder="0" applyAlignment="0" applyProtection="0"/>
    <xf numFmtId="37" fontId="37" fillId="0" borderId="0"/>
    <xf numFmtId="278" fontId="38" fillId="0" borderId="0"/>
    <xf numFmtId="0" fontId="9" fillId="0" borderId="0"/>
    <xf numFmtId="0" fontId="9" fillId="0" borderId="0"/>
    <xf numFmtId="191" fontId="42" fillId="0" borderId="0"/>
    <xf numFmtId="0" fontId="9" fillId="0" borderId="0"/>
    <xf numFmtId="0" fontId="9" fillId="0" borderId="0"/>
    <xf numFmtId="191" fontId="44" fillId="0" borderId="0"/>
    <xf numFmtId="0" fontId="85" fillId="0" borderId="0"/>
    <xf numFmtId="0" fontId="73" fillId="0" borderId="0"/>
    <xf numFmtId="191" fontId="42" fillId="0" borderId="0"/>
    <xf numFmtId="191" fontId="75" fillId="0" borderId="0"/>
    <xf numFmtId="191" fontId="39" fillId="0" borderId="0"/>
    <xf numFmtId="0" fontId="9" fillId="0" borderId="0"/>
    <xf numFmtId="9" fontId="1" fillId="0" borderId="0" applyFont="0" applyFill="0" applyBorder="0" applyAlignment="0" applyProtection="0"/>
    <xf numFmtId="10" fontId="9" fillId="0" borderId="0" applyFont="0" applyFill="0" applyBorder="0" applyAlignment="0" applyProtection="0"/>
    <xf numFmtId="359" fontId="9" fillId="0" borderId="7">
      <protection locked="0"/>
    </xf>
    <xf numFmtId="37" fontId="31" fillId="7" borderId="0" applyNumberFormat="0" applyBorder="0" applyAlignment="0" applyProtection="0"/>
    <xf numFmtId="37" fontId="27" fillId="0" borderId="0"/>
    <xf numFmtId="37" fontId="27" fillId="4" borderId="0" applyNumberFormat="0" applyBorder="0" applyAlignment="0" applyProtection="0"/>
    <xf numFmtId="3" fontId="82" fillId="0" borderId="4" applyProtection="0"/>
  </cellStyleXfs>
  <cellXfs count="400">
    <xf numFmtId="0" fontId="0" fillId="0" borderId="0" xfId="0"/>
    <xf numFmtId="0" fontId="2" fillId="0" borderId="0" xfId="0" applyFont="1"/>
    <xf numFmtId="49" fontId="2" fillId="0" borderId="0" xfId="0" applyNumberFormat="1" applyFont="1"/>
    <xf numFmtId="17" fontId="3" fillId="0" borderId="0" xfId="0" applyNumberFormat="1" applyFont="1" applyAlignment="1">
      <alignment horizontal="center"/>
    </xf>
    <xf numFmtId="0" fontId="3" fillId="0" borderId="0" xfId="0" applyFont="1" applyFill="1"/>
    <xf numFmtId="0" fontId="2" fillId="0" borderId="0" xfId="0" applyFont="1" applyFill="1"/>
    <xf numFmtId="0" fontId="2" fillId="0" borderId="0" xfId="0" applyFont="1" applyFill="1" applyAlignment="1"/>
    <xf numFmtId="0" fontId="3" fillId="0" borderId="0" xfId="0" applyFont="1" applyAlignment="1">
      <alignment horizontal="center"/>
    </xf>
    <xf numFmtId="0" fontId="3" fillId="5" borderId="5" xfId="0" applyFont="1" applyFill="1" applyBorder="1"/>
    <xf numFmtId="17" fontId="3" fillId="5" borderId="8" xfId="0" applyNumberFormat="1" applyFont="1" applyFill="1" applyBorder="1" applyAlignment="1">
      <alignment horizontal="center"/>
    </xf>
    <xf numFmtId="0" fontId="3" fillId="0" borderId="0" xfId="0" applyFont="1" applyFill="1" applyAlignment="1"/>
    <xf numFmtId="0" fontId="4" fillId="0" borderId="0" xfId="0" applyFont="1" applyFill="1"/>
    <xf numFmtId="0" fontId="3" fillId="0" borderId="0" xfId="0" applyFont="1" applyFill="1" applyAlignment="1">
      <alignment horizontal="left"/>
    </xf>
    <xf numFmtId="0" fontId="4" fillId="0" borderId="0" xfId="0" applyFont="1"/>
    <xf numFmtId="0" fontId="2" fillId="0" borderId="0" xfId="0" applyNumberFormat="1" applyFont="1"/>
    <xf numFmtId="0" fontId="3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NumberFormat="1" applyFont="1" applyProtection="1">
      <protection locked="0"/>
    </xf>
    <xf numFmtId="165" fontId="8" fillId="0" borderId="0" xfId="4" applyNumberFormat="1" applyFont="1" applyFill="1"/>
    <xf numFmtId="0" fontId="7" fillId="0" borderId="0" xfId="0" applyFont="1"/>
    <xf numFmtId="49" fontId="83" fillId="0" borderId="0" xfId="0" applyNumberFormat="1" applyFont="1"/>
    <xf numFmtId="0" fontId="8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 wrapText="1"/>
    </xf>
    <xf numFmtId="16" fontId="0" fillId="0" borderId="0" xfId="0" quotePrefix="1" applyNumberFormat="1" applyAlignment="1">
      <alignment wrapText="1"/>
    </xf>
    <xf numFmtId="165" fontId="2" fillId="0" borderId="0" xfId="0" applyNumberFormat="1" applyFont="1"/>
    <xf numFmtId="49" fontId="2" fillId="0" borderId="0" xfId="24" applyNumberFormat="1" applyFont="1" applyAlignment="1">
      <alignment horizontal="left" vertical="top"/>
    </xf>
    <xf numFmtId="49" fontId="2" fillId="0" borderId="0" xfId="24" applyNumberFormat="1" applyFont="1" applyAlignment="1">
      <alignment horizontal="left"/>
    </xf>
    <xf numFmtId="1" fontId="2" fillId="0" borderId="0" xfId="0" applyNumberFormat="1" applyFont="1" applyFill="1"/>
    <xf numFmtId="1" fontId="2" fillId="0" borderId="0" xfId="0" applyNumberFormat="1" applyFont="1"/>
    <xf numFmtId="1" fontId="2" fillId="8" borderId="0" xfId="0" applyNumberFormat="1" applyFont="1" applyFill="1"/>
    <xf numFmtId="0" fontId="2" fillId="0" borderId="0" xfId="0" applyNumberFormat="1" applyFont="1" applyAlignment="1">
      <alignment horizontal="right"/>
    </xf>
    <xf numFmtId="0" fontId="7" fillId="0" borderId="0" xfId="0" applyFont="1" applyFill="1"/>
    <xf numFmtId="0" fontId="87" fillId="0" borderId="0" xfId="0" applyFont="1" applyFill="1"/>
    <xf numFmtId="0" fontId="88" fillId="0" borderId="0" xfId="0" applyFont="1" applyFill="1" applyAlignment="1">
      <alignment horizontal="left"/>
    </xf>
    <xf numFmtId="0" fontId="90" fillId="0" borderId="0" xfId="0" applyFont="1" applyFill="1" applyAlignment="1">
      <alignment horizontal="left" vertical="center"/>
    </xf>
    <xf numFmtId="0" fontId="91" fillId="0" borderId="0" xfId="0" applyFont="1" applyFill="1" applyAlignment="1">
      <alignment horizontal="right"/>
    </xf>
    <xf numFmtId="0" fontId="87" fillId="0" borderId="0" xfId="0" applyFont="1" applyFill="1" applyAlignment="1">
      <alignment vertical="center"/>
    </xf>
    <xf numFmtId="0" fontId="88" fillId="0" borderId="0" xfId="0" applyFont="1" applyFill="1" applyAlignment="1">
      <alignment horizontal="right"/>
    </xf>
    <xf numFmtId="0" fontId="3" fillId="0" borderId="0" xfId="0" applyNumberFormat="1" applyFont="1" applyAlignment="1">
      <alignment horizontal="left"/>
    </xf>
    <xf numFmtId="165" fontId="92" fillId="0" borderId="9" xfId="4" applyNumberFormat="1" applyFont="1" applyFill="1" applyBorder="1"/>
    <xf numFmtId="49" fontId="2" fillId="0" borderId="10" xfId="24" applyNumberFormat="1" applyFont="1" applyBorder="1" applyAlignment="1">
      <alignment horizontal="left" vertical="top"/>
    </xf>
    <xf numFmtId="165" fontId="7" fillId="0" borderId="0" xfId="4" applyNumberFormat="1" applyFont="1" applyFill="1" applyBorder="1"/>
    <xf numFmtId="165" fontId="92" fillId="0" borderId="11" xfId="4" applyNumberFormat="1" applyFont="1" applyFill="1" applyBorder="1"/>
    <xf numFmtId="0" fontId="86" fillId="0" borderId="0" xfId="0" applyFont="1" applyFill="1" applyBorder="1" applyAlignment="1">
      <alignment horizontal="left"/>
    </xf>
    <xf numFmtId="165" fontId="92" fillId="0" borderId="12" xfId="4" applyNumberFormat="1" applyFont="1" applyFill="1" applyBorder="1"/>
    <xf numFmtId="0" fontId="86" fillId="0" borderId="0" xfId="0" applyFont="1" applyFill="1" applyBorder="1" applyAlignment="1"/>
    <xf numFmtId="49" fontId="2" fillId="0" borderId="10" xfId="24" applyNumberFormat="1" applyFont="1" applyBorder="1" applyAlignment="1">
      <alignment horizontal="left"/>
    </xf>
    <xf numFmtId="0" fontId="2" fillId="0" borderId="10" xfId="24" applyFont="1" applyBorder="1"/>
    <xf numFmtId="0" fontId="2" fillId="4" borderId="13" xfId="0" applyFont="1" applyFill="1" applyBorder="1"/>
    <xf numFmtId="0" fontId="86" fillId="4" borderId="6" xfId="0" applyFont="1" applyFill="1" applyBorder="1" applyAlignment="1"/>
    <xf numFmtId="0" fontId="2" fillId="4" borderId="6" xfId="0" applyFont="1" applyFill="1" applyBorder="1"/>
    <xf numFmtId="165" fontId="92" fillId="4" borderId="3" xfId="4" applyNumberFormat="1" applyFont="1" applyFill="1" applyBorder="1"/>
    <xf numFmtId="165" fontId="92" fillId="4" borderId="8" xfId="4" applyNumberFormat="1" applyFont="1" applyFill="1" applyBorder="1"/>
    <xf numFmtId="0" fontId="2" fillId="0" borderId="6" xfId="0" applyFont="1" applyBorder="1"/>
    <xf numFmtId="0" fontId="86" fillId="4" borderId="14" xfId="24" applyFont="1" applyFill="1" applyBorder="1"/>
    <xf numFmtId="0" fontId="93" fillId="4" borderId="9" xfId="0" applyNumberFormat="1" applyFont="1" applyFill="1" applyBorder="1"/>
    <xf numFmtId="0" fontId="93" fillId="4" borderId="9" xfId="0" applyNumberFormat="1" applyFont="1" applyFill="1" applyBorder="1" applyAlignment="1">
      <alignment horizontal="right"/>
    </xf>
    <xf numFmtId="0" fontId="86" fillId="4" borderId="12" xfId="24" applyFont="1" applyFill="1" applyBorder="1" applyAlignment="1">
      <alignment horizontal="right"/>
    </xf>
    <xf numFmtId="0" fontId="86" fillId="4" borderId="13" xfId="24" applyFont="1" applyFill="1" applyBorder="1"/>
    <xf numFmtId="0" fontId="86" fillId="4" borderId="6" xfId="0" applyFont="1" applyFill="1" applyBorder="1"/>
    <xf numFmtId="0" fontId="93" fillId="4" borderId="6" xfId="0" applyFont="1" applyFill="1" applyBorder="1"/>
    <xf numFmtId="17" fontId="86" fillId="4" borderId="6" xfId="0" applyNumberFormat="1" applyFont="1" applyFill="1" applyBorder="1" applyAlignment="1">
      <alignment horizontal="right"/>
    </xf>
    <xf numFmtId="0" fontId="86" fillId="4" borderId="15" xfId="24" applyFont="1" applyFill="1" applyBorder="1" applyAlignment="1">
      <alignment horizontal="right"/>
    </xf>
    <xf numFmtId="49" fontId="2" fillId="0" borderId="13" xfId="24" applyNumberFormat="1" applyFont="1" applyBorder="1" applyAlignment="1">
      <alignment horizontal="left" vertical="top"/>
    </xf>
    <xf numFmtId="0" fontId="86" fillId="0" borderId="6" xfId="0" applyFont="1" applyFill="1" applyBorder="1" applyAlignment="1"/>
    <xf numFmtId="0" fontId="86" fillId="4" borderId="9" xfId="24" applyFont="1" applyFill="1" applyBorder="1"/>
    <xf numFmtId="0" fontId="86" fillId="4" borderId="6" xfId="24" applyFont="1" applyFill="1" applyBorder="1"/>
    <xf numFmtId="49" fontId="2" fillId="0" borderId="16" xfId="0" applyNumberFormat="1" applyFont="1" applyBorder="1"/>
    <xf numFmtId="0" fontId="2" fillId="0" borderId="0" xfId="0" applyNumberFormat="1" applyFont="1" applyAlignment="1">
      <alignment horizontal="left"/>
    </xf>
    <xf numFmtId="49" fontId="2" fillId="9" borderId="10" xfId="24" applyNumberFormat="1" applyFont="1" applyFill="1" applyBorder="1" applyAlignment="1">
      <alignment horizontal="left" vertical="top"/>
    </xf>
    <xf numFmtId="0" fontId="2" fillId="9" borderId="0" xfId="0" applyFont="1" applyFill="1" applyBorder="1"/>
    <xf numFmtId="0" fontId="2" fillId="9" borderId="0" xfId="0" applyFont="1" applyFill="1" applyBorder="1" applyAlignment="1"/>
    <xf numFmtId="0" fontId="3" fillId="9" borderId="0" xfId="0" applyNumberFormat="1" applyFont="1" applyFill="1" applyAlignment="1">
      <alignment horizontal="right"/>
    </xf>
    <xf numFmtId="0" fontId="2" fillId="9" borderId="0" xfId="0" applyNumberFormat="1" applyFont="1" applyFill="1"/>
    <xf numFmtId="49" fontId="2" fillId="9" borderId="16" xfId="0" applyNumberFormat="1" applyFont="1" applyFill="1" applyBorder="1"/>
    <xf numFmtId="0" fontId="3" fillId="0" borderId="0" xfId="0" applyFont="1"/>
    <xf numFmtId="14" fontId="2" fillId="0" borderId="16" xfId="0" applyNumberFormat="1" applyFont="1" applyBorder="1"/>
    <xf numFmtId="0" fontId="93" fillId="4" borderId="14" xfId="0" applyNumberFormat="1" applyFont="1" applyFill="1" applyBorder="1" applyAlignment="1">
      <alignment horizontal="right"/>
    </xf>
    <xf numFmtId="17" fontId="86" fillId="4" borderId="13" xfId="0" applyNumberFormat="1" applyFont="1" applyFill="1" applyBorder="1" applyAlignment="1">
      <alignment horizontal="right"/>
    </xf>
    <xf numFmtId="165" fontId="2" fillId="0" borderId="0" xfId="4" applyNumberFormat="1" applyFont="1"/>
    <xf numFmtId="165" fontId="2" fillId="0" borderId="6" xfId="4" applyNumberFormat="1" applyFont="1" applyBorder="1"/>
    <xf numFmtId="49" fontId="2" fillId="0" borderId="0" xfId="0" applyNumberFormat="1" applyFont="1" applyBorder="1"/>
    <xf numFmtId="0" fontId="94" fillId="4" borderId="14" xfId="0" applyNumberFormat="1" applyFont="1" applyFill="1" applyBorder="1"/>
    <xf numFmtId="0" fontId="94" fillId="4" borderId="9" xfId="0" applyNumberFormat="1" applyFont="1" applyFill="1" applyBorder="1" applyAlignment="1">
      <alignment horizontal="right"/>
    </xf>
    <xf numFmtId="0" fontId="95" fillId="4" borderId="12" xfId="24" applyFont="1" applyFill="1" applyBorder="1" applyAlignment="1">
      <alignment horizontal="right"/>
    </xf>
    <xf numFmtId="0" fontId="96" fillId="0" borderId="0" xfId="0" applyNumberFormat="1" applyFont="1"/>
    <xf numFmtId="0" fontId="95" fillId="4" borderId="13" xfId="0" applyFont="1" applyFill="1" applyBorder="1"/>
    <xf numFmtId="17" fontId="95" fillId="4" borderId="6" xfId="0" applyNumberFormat="1" applyFont="1" applyFill="1" applyBorder="1" applyAlignment="1">
      <alignment horizontal="right"/>
    </xf>
    <xf numFmtId="0" fontId="95" fillId="4" borderId="15" xfId="24" quotePrefix="1" applyFont="1" applyFill="1" applyBorder="1" applyAlignment="1">
      <alignment horizontal="right"/>
    </xf>
    <xf numFmtId="0" fontId="96" fillId="0" borderId="10" xfId="0" applyFont="1" applyFill="1" applyBorder="1"/>
    <xf numFmtId="165" fontId="96" fillId="0" borderId="0" xfId="4" applyNumberFormat="1" applyFont="1" applyFill="1" applyBorder="1"/>
    <xf numFmtId="165" fontId="95" fillId="0" borderId="11" xfId="4" applyNumberFormat="1" applyFont="1" applyFill="1" applyBorder="1"/>
    <xf numFmtId="0" fontId="96" fillId="0" borderId="0" xfId="0" applyFont="1"/>
    <xf numFmtId="165" fontId="95" fillId="0" borderId="0" xfId="4" applyNumberFormat="1" applyFont="1" applyFill="1" applyBorder="1"/>
    <xf numFmtId="0" fontId="95" fillId="0" borderId="10" xfId="0" applyFont="1" applyFill="1" applyBorder="1" applyAlignment="1"/>
    <xf numFmtId="165" fontId="95" fillId="0" borderId="9" xfId="4" applyNumberFormat="1" applyFont="1" applyFill="1" applyBorder="1"/>
    <xf numFmtId="165" fontId="95" fillId="0" borderId="12" xfId="4" applyNumberFormat="1" applyFont="1" applyFill="1" applyBorder="1"/>
    <xf numFmtId="0" fontId="95" fillId="4" borderId="17" xfId="0" applyFont="1" applyFill="1" applyBorder="1" applyAlignment="1"/>
    <xf numFmtId="165" fontId="95" fillId="4" borderId="3" xfId="4" applyNumberFormat="1" applyFont="1" applyFill="1" applyBorder="1"/>
    <xf numFmtId="165" fontId="95" fillId="4" borderId="8" xfId="4" applyNumberFormat="1" applyFont="1" applyFill="1" applyBorder="1"/>
    <xf numFmtId="0" fontId="86" fillId="4" borderId="14" xfId="24" applyFont="1" applyFill="1" applyBorder="1" applyAlignment="1">
      <alignment horizontal="left"/>
    </xf>
    <xf numFmtId="0" fontId="86" fillId="4" borderId="13" xfId="24" applyFont="1" applyFill="1" applyBorder="1" applyAlignment="1">
      <alignment horizontal="left"/>
    </xf>
    <xf numFmtId="49" fontId="86" fillId="0" borderId="10" xfId="24" applyNumberFormat="1" applyFont="1" applyFill="1" applyBorder="1" applyAlignment="1">
      <alignment horizontal="left" vertical="top"/>
    </xf>
    <xf numFmtId="49" fontId="2" fillId="0" borderId="10" xfId="24" applyNumberFormat="1" applyFont="1" applyFill="1" applyBorder="1" applyAlignment="1">
      <alignment horizontal="left" vertical="top"/>
    </xf>
    <xf numFmtId="165" fontId="64" fillId="0" borderId="0" xfId="4" applyNumberFormat="1" applyFont="1" applyFill="1" applyBorder="1"/>
    <xf numFmtId="165" fontId="86" fillId="0" borderId="11" xfId="4" applyNumberFormat="1" applyFont="1" applyFill="1" applyBorder="1"/>
    <xf numFmtId="49" fontId="93" fillId="0" borderId="10" xfId="24" applyNumberFormat="1" applyFont="1" applyFill="1" applyBorder="1" applyAlignment="1">
      <alignment horizontal="left" vertical="top"/>
    </xf>
    <xf numFmtId="0" fontId="93" fillId="0" borderId="0" xfId="0" applyFont="1" applyFill="1" applyBorder="1"/>
    <xf numFmtId="165" fontId="93" fillId="0" borderId="9" xfId="4" applyNumberFormat="1" applyFont="1" applyFill="1" applyBorder="1"/>
    <xf numFmtId="165" fontId="93" fillId="0" borderId="12" xfId="4" applyNumberFormat="1" applyFont="1" applyFill="1" applyBorder="1"/>
    <xf numFmtId="0" fontId="93" fillId="0" borderId="0" xfId="0" applyFont="1" applyFill="1"/>
    <xf numFmtId="165" fontId="93" fillId="0" borderId="0" xfId="4" applyNumberFormat="1" applyFont="1" applyFill="1" applyBorder="1"/>
    <xf numFmtId="165" fontId="93" fillId="0" borderId="11" xfId="4" applyNumberFormat="1" applyFont="1" applyFill="1" applyBorder="1"/>
    <xf numFmtId="165" fontId="2" fillId="0" borderId="11" xfId="4" applyNumberFormat="1" applyFont="1" applyFill="1" applyBorder="1"/>
    <xf numFmtId="0" fontId="2" fillId="4" borderId="17" xfId="0" applyFont="1" applyFill="1" applyBorder="1" applyAlignment="1">
      <alignment horizontal="left"/>
    </xf>
    <xf numFmtId="0" fontId="86" fillId="4" borderId="3" xfId="0" applyFont="1" applyFill="1" applyBorder="1" applyAlignment="1"/>
    <xf numFmtId="0" fontId="2" fillId="4" borderId="3" xfId="0" applyFont="1" applyFill="1" applyBorder="1"/>
    <xf numFmtId="165" fontId="86" fillId="4" borderId="3" xfId="4" applyNumberFormat="1" applyFont="1" applyFill="1" applyBorder="1"/>
    <xf numFmtId="165" fontId="86" fillId="4" borderId="8" xfId="4" applyNumberFormat="1" applyFont="1" applyFill="1" applyBorder="1"/>
    <xf numFmtId="38" fontId="49" fillId="0" borderId="0" xfId="4" applyNumberFormat="1" applyFont="1" applyAlignment="1"/>
    <xf numFmtId="38" fontId="97" fillId="0" borderId="0" xfId="4" applyNumberFormat="1" applyFont="1" applyAlignment="1">
      <alignment horizontal="center"/>
    </xf>
    <xf numFmtId="0" fontId="9" fillId="0" borderId="0" xfId="19"/>
    <xf numFmtId="38" fontId="83" fillId="0" borderId="0" xfId="4" applyNumberFormat="1" applyFont="1" applyAlignment="1"/>
    <xf numFmtId="38" fontId="83" fillId="0" borderId="0" xfId="4" applyNumberFormat="1" applyFont="1" applyAlignment="1">
      <alignment horizontal="center"/>
    </xf>
    <xf numFmtId="38" fontId="49" fillId="0" borderId="0" xfId="4" applyNumberFormat="1" applyFont="1" applyAlignment="1">
      <alignment horizontal="center"/>
    </xf>
    <xf numFmtId="38" fontId="83" fillId="0" borderId="6" xfId="4" applyNumberFormat="1" applyFont="1" applyBorder="1" applyAlignment="1">
      <alignment horizontal="center"/>
    </xf>
    <xf numFmtId="38" fontId="83" fillId="0" borderId="0" xfId="4" applyNumberFormat="1" applyFont="1" applyBorder="1" applyAlignment="1">
      <alignment horizontal="center"/>
    </xf>
    <xf numFmtId="43" fontId="83" fillId="0" borderId="6" xfId="4" quotePrefix="1" applyFont="1" applyBorder="1" applyAlignment="1">
      <alignment horizontal="center"/>
    </xf>
    <xf numFmtId="38" fontId="98" fillId="0" borderId="0" xfId="4" applyNumberFormat="1" applyFont="1" applyBorder="1" applyAlignment="1">
      <alignment horizontal="left"/>
    </xf>
    <xf numFmtId="38" fontId="98" fillId="0" borderId="0" xfId="4" applyNumberFormat="1" applyFont="1" applyBorder="1" applyAlignment="1">
      <alignment horizontal="center"/>
    </xf>
    <xf numFmtId="214" fontId="49" fillId="0" borderId="0" xfId="4" applyNumberFormat="1" applyFont="1" applyAlignment="1">
      <alignment horizontal="right"/>
    </xf>
    <xf numFmtId="38" fontId="99" fillId="0" borderId="0" xfId="4" applyNumberFormat="1" applyFont="1" applyAlignment="1"/>
    <xf numFmtId="38" fontId="49" fillId="0" borderId="6" xfId="4" applyNumberFormat="1" applyFont="1" applyBorder="1" applyAlignment="1">
      <alignment horizontal="right"/>
    </xf>
    <xf numFmtId="38" fontId="49" fillId="0" borderId="0" xfId="4" applyNumberFormat="1" applyFont="1" applyBorder="1" applyAlignment="1">
      <alignment horizontal="right"/>
    </xf>
    <xf numFmtId="38" fontId="100" fillId="0" borderId="0" xfId="4" applyNumberFormat="1" applyFont="1" applyAlignment="1"/>
    <xf numFmtId="38" fontId="49" fillId="0" borderId="6" xfId="4" applyNumberFormat="1" applyFont="1" applyBorder="1" applyAlignment="1"/>
    <xf numFmtId="38" fontId="49" fillId="0" borderId="0" xfId="4" applyNumberFormat="1" applyFont="1" applyBorder="1" applyAlignment="1"/>
    <xf numFmtId="38" fontId="49" fillId="0" borderId="0" xfId="4" applyNumberFormat="1" applyFont="1" applyAlignment="1">
      <alignment horizontal="right"/>
    </xf>
    <xf numFmtId="38" fontId="83" fillId="0" borderId="0" xfId="4" applyNumberFormat="1" applyFont="1" applyAlignment="1">
      <alignment horizontal="right"/>
    </xf>
    <xf numFmtId="38" fontId="83" fillId="0" borderId="0" xfId="4" applyNumberFormat="1" applyFont="1" applyBorder="1" applyAlignment="1"/>
    <xf numFmtId="0" fontId="49" fillId="0" borderId="0" xfId="18" applyFont="1" applyAlignment="1"/>
    <xf numFmtId="38" fontId="49" fillId="0" borderId="0" xfId="4" applyNumberFormat="1" applyFont="1" applyBorder="1" applyAlignment="1">
      <alignment horizontal="center"/>
    </xf>
    <xf numFmtId="40" fontId="49" fillId="0" borderId="0" xfId="4" applyNumberFormat="1" applyFont="1" applyAlignment="1">
      <alignment horizontal="right"/>
    </xf>
    <xf numFmtId="40" fontId="83" fillId="0" borderId="0" xfId="4" applyNumberFormat="1" applyFont="1" applyAlignment="1">
      <alignment horizontal="right"/>
    </xf>
    <xf numFmtId="9" fontId="49" fillId="0" borderId="0" xfId="30" applyFont="1" applyAlignment="1">
      <alignment horizontal="center"/>
    </xf>
    <xf numFmtId="38" fontId="100" fillId="0" borderId="0" xfId="4" applyNumberFormat="1" applyFont="1" applyBorder="1" applyAlignment="1"/>
    <xf numFmtId="38" fontId="100" fillId="0" borderId="6" xfId="4" applyNumberFormat="1" applyFont="1" applyBorder="1" applyAlignment="1"/>
    <xf numFmtId="165" fontId="49" fillId="0" borderId="0" xfId="4" applyNumberFormat="1" applyFont="1" applyAlignment="1"/>
    <xf numFmtId="165" fontId="100" fillId="0" borderId="0" xfId="4" applyNumberFormat="1" applyFont="1" applyAlignment="1"/>
    <xf numFmtId="38" fontId="60" fillId="0" borderId="0" xfId="4" applyNumberFormat="1" applyFont="1" applyAlignment="1">
      <alignment horizontal="center"/>
    </xf>
    <xf numFmtId="0" fontId="3" fillId="9" borderId="0" xfId="0" applyNumberFormat="1" applyFont="1" applyFill="1" applyAlignment="1">
      <alignment horizontal="left"/>
    </xf>
    <xf numFmtId="0" fontId="2" fillId="9" borderId="0" xfId="0" applyNumberFormat="1" applyFont="1" applyFill="1" applyAlignment="1">
      <alignment horizontal="left"/>
    </xf>
    <xf numFmtId="165" fontId="49" fillId="0" borderId="6" xfId="4" applyNumberFormat="1" applyFont="1" applyBorder="1" applyAlignment="1"/>
    <xf numFmtId="38" fontId="83" fillId="0" borderId="3" xfId="4" applyNumberFormat="1" applyFont="1" applyBorder="1" applyAlignment="1"/>
    <xf numFmtId="38" fontId="83" fillId="0" borderId="7" xfId="4" applyNumberFormat="1" applyFont="1" applyBorder="1" applyAlignment="1"/>
    <xf numFmtId="38" fontId="99" fillId="0" borderId="0" xfId="4" applyNumberFormat="1" applyFont="1" applyBorder="1" applyAlignment="1"/>
    <xf numFmtId="38" fontId="99" fillId="0" borderId="3" xfId="4" applyNumberFormat="1" applyFont="1" applyBorder="1" applyAlignment="1"/>
    <xf numFmtId="0" fontId="101" fillId="0" borderId="0" xfId="0" applyFont="1" applyAlignment="1">
      <alignment horizontal="center"/>
    </xf>
    <xf numFmtId="0" fontId="102" fillId="0" borderId="0" xfId="0" applyFont="1" applyAlignment="1">
      <alignment horizontal="center"/>
    </xf>
    <xf numFmtId="0" fontId="55" fillId="0" borderId="0" xfId="0" applyFont="1"/>
    <xf numFmtId="0" fontId="55" fillId="0" borderId="0" xfId="0" applyFont="1" applyAlignment="1">
      <alignment horizontal="center"/>
    </xf>
    <xf numFmtId="0" fontId="0" fillId="0" borderId="6" xfId="0" applyBorder="1"/>
    <xf numFmtId="165" fontId="49" fillId="0" borderId="0" xfId="4" applyNumberFormat="1" applyFont="1"/>
    <xf numFmtId="165" fontId="49" fillId="0" borderId="6" xfId="4" applyNumberFormat="1" applyFont="1" applyBorder="1"/>
    <xf numFmtId="165" fontId="55" fillId="0" borderId="0" xfId="4" applyNumberFormat="1" applyFont="1"/>
    <xf numFmtId="165" fontId="0" fillId="0" borderId="0" xfId="0" applyNumberFormat="1"/>
    <xf numFmtId="165" fontId="0" fillId="0" borderId="6" xfId="0" applyNumberFormat="1" applyBorder="1"/>
    <xf numFmtId="165" fontId="55" fillId="0" borderId="0" xfId="4" applyNumberFormat="1" applyFont="1" applyAlignment="1">
      <alignment horizontal="center"/>
    </xf>
    <xf numFmtId="189" fontId="55" fillId="0" borderId="0" xfId="5" applyNumberFormat="1" applyFont="1"/>
    <xf numFmtId="17" fontId="0" fillId="0" borderId="0" xfId="0" applyNumberFormat="1"/>
    <xf numFmtId="165" fontId="49" fillId="0" borderId="0" xfId="4" applyNumberFormat="1" applyFont="1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55" fillId="0" borderId="6" xfId="0" applyFont="1" applyBorder="1" applyAlignment="1">
      <alignment horizontal="center"/>
    </xf>
    <xf numFmtId="17" fontId="55" fillId="0" borderId="6" xfId="0" applyNumberFormat="1" applyFont="1" applyBorder="1" applyAlignment="1">
      <alignment horizontal="center"/>
    </xf>
    <xf numFmtId="165" fontId="55" fillId="0" borderId="3" xfId="4" applyNumberFormat="1" applyFont="1" applyBorder="1"/>
    <xf numFmtId="165" fontId="49" fillId="0" borderId="0" xfId="4" applyNumberFormat="1" applyFont="1" applyBorder="1" applyAlignment="1"/>
    <xf numFmtId="0" fontId="9" fillId="0" borderId="0" xfId="29"/>
    <xf numFmtId="0" fontId="103" fillId="0" borderId="0" xfId="29" applyFont="1" applyBorder="1"/>
    <xf numFmtId="0" fontId="104" fillId="0" borderId="0" xfId="29" applyFont="1"/>
    <xf numFmtId="38" fontId="104" fillId="0" borderId="0" xfId="29" applyNumberFormat="1" applyFont="1"/>
    <xf numFmtId="0" fontId="104" fillId="0" borderId="0" xfId="29" applyFont="1" applyBorder="1"/>
    <xf numFmtId="0" fontId="103" fillId="0" borderId="0" xfId="29" applyFont="1" applyBorder="1" applyAlignment="1">
      <alignment horizontal="center"/>
    </xf>
    <xf numFmtId="38" fontId="104" fillId="0" borderId="0" xfId="29" applyNumberFormat="1" applyFont="1" applyBorder="1"/>
    <xf numFmtId="38" fontId="104" fillId="0" borderId="9" xfId="29" applyNumberFormat="1" applyFont="1" applyBorder="1"/>
    <xf numFmtId="0" fontId="103" fillId="0" borderId="0" xfId="29" applyFont="1" applyAlignment="1">
      <alignment horizontal="left"/>
    </xf>
    <xf numFmtId="0" fontId="103" fillId="0" borderId="0" xfId="29" applyFont="1"/>
    <xf numFmtId="38" fontId="103" fillId="0" borderId="0" xfId="29" applyNumberFormat="1" applyFont="1" applyBorder="1"/>
    <xf numFmtId="189" fontId="103" fillId="0" borderId="7" xfId="5" applyNumberFormat="1" applyFont="1" applyBorder="1"/>
    <xf numFmtId="43" fontId="0" fillId="0" borderId="0" xfId="0" applyNumberFormat="1"/>
    <xf numFmtId="165" fontId="9" fillId="0" borderId="0" xfId="4" applyNumberFormat="1" applyFont="1"/>
    <xf numFmtId="38" fontId="104" fillId="0" borderId="6" xfId="29" applyNumberFormat="1" applyFont="1" applyBorder="1"/>
    <xf numFmtId="38" fontId="104" fillId="0" borderId="18" xfId="29" applyNumberFormat="1" applyFont="1" applyBorder="1"/>
    <xf numFmtId="189" fontId="103" fillId="0" borderId="0" xfId="5" applyNumberFormat="1" applyFont="1" applyBorder="1"/>
    <xf numFmtId="189" fontId="103" fillId="0" borderId="0" xfId="5" applyNumberFormat="1" applyFont="1"/>
    <xf numFmtId="0" fontId="2" fillId="0" borderId="0" xfId="21" applyFont="1"/>
    <xf numFmtId="17" fontId="3" fillId="0" borderId="6" xfId="21" applyNumberFormat="1" applyFont="1" applyBorder="1" applyAlignment="1">
      <alignment horizontal="center"/>
    </xf>
    <xf numFmtId="0" fontId="3" fillId="0" borderId="6" xfId="21" applyFont="1" applyBorder="1" applyAlignment="1">
      <alignment horizontal="center"/>
    </xf>
    <xf numFmtId="0" fontId="3" fillId="0" borderId="0" xfId="21" applyFont="1"/>
    <xf numFmtId="165" fontId="3" fillId="0" borderId="0" xfId="4" applyNumberFormat="1" applyFont="1"/>
    <xf numFmtId="0" fontId="2" fillId="0" borderId="0" xfId="21" applyFont="1" applyFill="1" applyAlignment="1"/>
    <xf numFmtId="0" fontId="3" fillId="0" borderId="0" xfId="21" applyFont="1" applyFill="1" applyAlignment="1">
      <alignment horizontal="left" indent="1"/>
    </xf>
    <xf numFmtId="165" fontId="3" fillId="0" borderId="9" xfId="4" applyNumberFormat="1" applyFont="1" applyBorder="1"/>
    <xf numFmtId="0" fontId="3" fillId="0" borderId="0" xfId="21" applyFont="1" applyFill="1" applyAlignment="1">
      <alignment horizontal="left"/>
    </xf>
    <xf numFmtId="165" fontId="3" fillId="0" borderId="6" xfId="4" applyNumberFormat="1" applyFont="1" applyBorder="1"/>
    <xf numFmtId="0" fontId="2" fillId="0" borderId="0" xfId="21" quotePrefix="1" applyFont="1" applyAlignment="1">
      <alignment horizontal="left"/>
    </xf>
    <xf numFmtId="165" fontId="105" fillId="0" borderId="0" xfId="4" applyNumberFormat="1" applyFont="1" applyBorder="1"/>
    <xf numFmtId="165" fontId="3" fillId="0" borderId="0" xfId="4" applyNumberFormat="1" applyFont="1" applyBorder="1"/>
    <xf numFmtId="165" fontId="3" fillId="0" borderId="7" xfId="4" applyNumberFormat="1" applyFont="1" applyBorder="1"/>
    <xf numFmtId="165" fontId="7" fillId="0" borderId="0" xfId="4" applyNumberFormat="1" applyFont="1"/>
    <xf numFmtId="0" fontId="9" fillId="0" borderId="0" xfId="21" applyAlignment="1">
      <alignment horizontal="left"/>
    </xf>
    <xf numFmtId="0" fontId="7" fillId="0" borderId="0" xfId="21" applyFont="1" applyFill="1"/>
    <xf numFmtId="0" fontId="87" fillId="0" borderId="0" xfId="21" applyFont="1" applyFill="1"/>
    <xf numFmtId="0" fontId="7" fillId="0" borderId="0" xfId="21" applyFont="1"/>
    <xf numFmtId="0" fontId="88" fillId="0" borderId="0" xfId="21" applyFont="1" applyFill="1" applyAlignment="1">
      <alignment horizontal="left"/>
    </xf>
    <xf numFmtId="0" fontId="90" fillId="0" borderId="0" xfId="21" applyFont="1" applyFill="1" applyAlignment="1">
      <alignment horizontal="left" vertical="center"/>
    </xf>
    <xf numFmtId="0" fontId="91" fillId="0" borderId="0" xfId="21" applyFont="1" applyFill="1" applyAlignment="1">
      <alignment horizontal="right"/>
    </xf>
    <xf numFmtId="0" fontId="87" fillId="0" borderId="0" xfId="21" applyFont="1" applyFill="1" applyAlignment="1">
      <alignment vertical="center"/>
    </xf>
    <xf numFmtId="0" fontId="88" fillId="0" borderId="0" xfId="21" applyFont="1" applyFill="1" applyAlignment="1">
      <alignment horizontal="right"/>
    </xf>
    <xf numFmtId="0" fontId="2" fillId="0" borderId="0" xfId="21" applyNumberFormat="1" applyFont="1"/>
    <xf numFmtId="0" fontId="3" fillId="0" borderId="0" xfId="21" applyNumberFormat="1" applyFont="1" applyAlignment="1">
      <alignment horizontal="right"/>
    </xf>
    <xf numFmtId="0" fontId="5" fillId="0" borderId="0" xfId="21" applyNumberFormat="1" applyFont="1" applyAlignment="1">
      <alignment horizontal="right"/>
    </xf>
    <xf numFmtId="0" fontId="2" fillId="0" borderId="0" xfId="21" applyNumberFormat="1" applyFont="1" applyProtection="1">
      <protection locked="0"/>
    </xf>
    <xf numFmtId="49" fontId="2" fillId="0" borderId="0" xfId="21" applyNumberFormat="1" applyFont="1" applyBorder="1"/>
    <xf numFmtId="0" fontId="3" fillId="0" borderId="0" xfId="21" applyNumberFormat="1" applyFont="1" applyAlignment="1">
      <alignment horizontal="left"/>
    </xf>
    <xf numFmtId="0" fontId="2" fillId="0" borderId="16" xfId="21" applyNumberFormat="1" applyFont="1" applyBorder="1"/>
    <xf numFmtId="0" fontId="2" fillId="0" borderId="0" xfId="21" applyNumberFormat="1" applyFont="1" applyAlignment="1">
      <alignment horizontal="left"/>
    </xf>
    <xf numFmtId="0" fontId="93" fillId="4" borderId="9" xfId="21" applyNumberFormat="1" applyFont="1" applyFill="1" applyBorder="1"/>
    <xf numFmtId="0" fontId="93" fillId="4" borderId="9" xfId="21" applyNumberFormat="1" applyFont="1" applyFill="1" applyBorder="1" applyAlignment="1">
      <alignment horizontal="right"/>
    </xf>
    <xf numFmtId="0" fontId="86" fillId="4" borderId="6" xfId="21" applyFont="1" applyFill="1" applyBorder="1"/>
    <xf numFmtId="0" fontId="93" fillId="4" borderId="6" xfId="21" applyFont="1" applyFill="1" applyBorder="1"/>
    <xf numFmtId="17" fontId="86" fillId="4" borderId="6" xfId="21" applyNumberFormat="1" applyFont="1" applyFill="1" applyBorder="1" applyAlignment="1">
      <alignment horizontal="right"/>
    </xf>
    <xf numFmtId="0" fontId="2" fillId="0" borderId="0" xfId="21" applyFont="1" applyFill="1" applyBorder="1"/>
    <xf numFmtId="0" fontId="2" fillId="0" borderId="0" xfId="21" applyFont="1" applyFill="1"/>
    <xf numFmtId="0" fontId="93" fillId="0" borderId="0" xfId="21" applyFont="1" applyFill="1" applyBorder="1"/>
    <xf numFmtId="0" fontId="93" fillId="0" borderId="0" xfId="21" applyFont="1" applyFill="1"/>
    <xf numFmtId="0" fontId="2" fillId="4" borderId="17" xfId="21" applyFont="1" applyFill="1" applyBorder="1" applyAlignment="1">
      <alignment horizontal="left"/>
    </xf>
    <xf numFmtId="0" fontId="86" fillId="4" borderId="3" xfId="21" applyFont="1" applyFill="1" applyBorder="1" applyAlignment="1"/>
    <xf numFmtId="0" fontId="2" fillId="4" borderId="3" xfId="21" applyFont="1" applyFill="1" applyBorder="1"/>
    <xf numFmtId="0" fontId="86" fillId="4" borderId="6" xfId="21" quotePrefix="1" applyFont="1" applyFill="1" applyBorder="1" applyAlignment="1">
      <alignment horizontal="left"/>
    </xf>
    <xf numFmtId="0" fontId="2" fillId="0" borderId="0" xfId="21" applyFont="1" applyBorder="1"/>
    <xf numFmtId="0" fontId="86" fillId="0" borderId="0" xfId="21" applyFont="1" applyFill="1" applyBorder="1" applyAlignment="1">
      <alignment horizontal="left"/>
    </xf>
    <xf numFmtId="0" fontId="2" fillId="0" borderId="0" xfId="21" applyFont="1" applyFill="1" applyBorder="1" applyAlignment="1"/>
    <xf numFmtId="0" fontId="86" fillId="0" borderId="0" xfId="21" applyFont="1" applyFill="1" applyBorder="1" applyAlignment="1"/>
    <xf numFmtId="0" fontId="3" fillId="0" borderId="0" xfId="21" quotePrefix="1" applyFont="1" applyFill="1" applyBorder="1" applyAlignment="1">
      <alignment horizontal="left"/>
    </xf>
    <xf numFmtId="0" fontId="2" fillId="4" borderId="13" xfId="21" applyFont="1" applyFill="1" applyBorder="1"/>
    <xf numFmtId="0" fontId="2" fillId="4" borderId="6" xfId="21" applyFont="1" applyFill="1" applyBorder="1"/>
    <xf numFmtId="0" fontId="96" fillId="4" borderId="17" xfId="21" applyFont="1" applyFill="1" applyBorder="1"/>
    <xf numFmtId="0" fontId="95" fillId="4" borderId="3" xfId="21" applyFont="1" applyFill="1" applyBorder="1" applyAlignment="1"/>
    <xf numFmtId="0" fontId="96" fillId="4" borderId="3" xfId="21" applyFont="1" applyFill="1" applyBorder="1"/>
    <xf numFmtId="165" fontId="107" fillId="4" borderId="3" xfId="4" applyNumberFormat="1" applyFont="1" applyFill="1" applyBorder="1"/>
    <xf numFmtId="0" fontId="96" fillId="0" borderId="3" xfId="21" applyFont="1" applyBorder="1"/>
    <xf numFmtId="0" fontId="108" fillId="0" borderId="0" xfId="22" applyFont="1" applyFill="1" applyAlignment="1">
      <alignment horizontal="left"/>
    </xf>
    <xf numFmtId="0" fontId="9" fillId="0" borderId="0" xfId="22"/>
    <xf numFmtId="0" fontId="9" fillId="9" borderId="0" xfId="22" applyFill="1"/>
    <xf numFmtId="0" fontId="108" fillId="0" borderId="0" xfId="22" quotePrefix="1" applyFont="1" applyFill="1" applyAlignment="1">
      <alignment horizontal="left"/>
    </xf>
    <xf numFmtId="0" fontId="9" fillId="9" borderId="0" xfId="22" quotePrefix="1" applyFill="1" applyAlignment="1">
      <alignment horizontal="left"/>
    </xf>
    <xf numFmtId="0" fontId="109" fillId="0" borderId="0" xfId="22" quotePrefix="1" applyFont="1" applyAlignment="1">
      <alignment horizontal="left"/>
    </xf>
    <xf numFmtId="0" fontId="109" fillId="9" borderId="0" xfId="22" applyFont="1" applyFill="1"/>
    <xf numFmtId="0" fontId="109" fillId="0" borderId="0" xfId="22" applyFont="1"/>
    <xf numFmtId="0" fontId="109" fillId="0" borderId="6" xfId="22" applyFont="1" applyBorder="1" applyAlignment="1">
      <alignment horizontal="center"/>
    </xf>
    <xf numFmtId="37" fontId="109" fillId="0" borderId="0" xfId="23" applyNumberFormat="1" applyFont="1" applyProtection="1"/>
    <xf numFmtId="37" fontId="11" fillId="0" borderId="0" xfId="23" applyNumberFormat="1" applyFont="1" applyProtection="1"/>
    <xf numFmtId="37" fontId="108" fillId="0" borderId="0" xfId="23" applyNumberFormat="1" applyFont="1" applyProtection="1"/>
    <xf numFmtId="37" fontId="110" fillId="0" borderId="0" xfId="22" applyNumberFormat="1" applyFont="1"/>
    <xf numFmtId="37" fontId="109" fillId="0" borderId="0" xfId="4" applyNumberFormat="1" applyFont="1"/>
    <xf numFmtId="37" fontId="111" fillId="0" borderId="0" xfId="22" applyNumberFormat="1" applyFont="1"/>
    <xf numFmtId="37" fontId="11" fillId="0" borderId="0" xfId="23" applyNumberFormat="1" applyFont="1" applyFill="1" applyProtection="1"/>
    <xf numFmtId="37" fontId="11" fillId="10" borderId="0" xfId="23" applyNumberFormat="1" applyFont="1" applyFill="1" applyProtection="1"/>
    <xf numFmtId="37" fontId="11" fillId="0" borderId="0" xfId="23" quotePrefix="1" applyNumberFormat="1" applyFont="1" applyAlignment="1" applyProtection="1">
      <alignment horizontal="left"/>
    </xf>
    <xf numFmtId="37" fontId="110" fillId="0" borderId="6" xfId="22" applyNumberFormat="1" applyFont="1" applyBorder="1"/>
    <xf numFmtId="37" fontId="109" fillId="0" borderId="6" xfId="4" applyNumberFormat="1" applyFont="1" applyBorder="1"/>
    <xf numFmtId="37" fontId="9" fillId="0" borderId="0" xfId="22" applyNumberFormat="1"/>
    <xf numFmtId="37" fontId="110" fillId="0" borderId="0" xfId="22" applyNumberFormat="1" applyFont="1" applyBorder="1"/>
    <xf numFmtId="37" fontId="36" fillId="0" borderId="0" xfId="4" applyNumberFormat="1" applyFont="1"/>
    <xf numFmtId="37" fontId="111" fillId="0" borderId="6" xfId="22" applyNumberFormat="1" applyFont="1" applyBorder="1"/>
    <xf numFmtId="37" fontId="109" fillId="0" borderId="0" xfId="23" applyNumberFormat="1" applyFont="1" applyFill="1" applyProtection="1"/>
    <xf numFmtId="37" fontId="112" fillId="0" borderId="6" xfId="22" applyNumberFormat="1" applyFont="1" applyBorder="1"/>
    <xf numFmtId="37" fontId="109" fillId="0" borderId="19" xfId="23" applyNumberFormat="1" applyFont="1" applyBorder="1" applyProtection="1"/>
    <xf numFmtId="37" fontId="112" fillId="0" borderId="0" xfId="22" applyNumberFormat="1" applyFont="1"/>
    <xf numFmtId="37" fontId="11" fillId="0" borderId="19" xfId="23" applyNumberFormat="1" applyFont="1" applyBorder="1" applyProtection="1"/>
    <xf numFmtId="37" fontId="11" fillId="0" borderId="0" xfId="23" quotePrefix="1" applyNumberFormat="1" applyFont="1" applyProtection="1"/>
    <xf numFmtId="37" fontId="113" fillId="0" borderId="6" xfId="22" applyNumberFormat="1" applyFont="1" applyBorder="1"/>
    <xf numFmtId="37" fontId="109" fillId="0" borderId="0" xfId="23" quotePrefix="1" applyNumberFormat="1" applyFont="1" applyProtection="1"/>
    <xf numFmtId="37" fontId="114" fillId="0" borderId="0" xfId="23" applyNumberFormat="1" applyFont="1" applyProtection="1"/>
    <xf numFmtId="37" fontId="108" fillId="0" borderId="0" xfId="23" applyNumberFormat="1" applyFont="1" applyBorder="1" applyProtection="1"/>
    <xf numFmtId="37" fontId="11" fillId="10" borderId="0" xfId="23" quotePrefix="1" applyNumberFormat="1" applyFont="1" applyFill="1" applyProtection="1"/>
    <xf numFmtId="0" fontId="9" fillId="0" borderId="6" xfId="22" applyBorder="1"/>
    <xf numFmtId="37" fontId="109" fillId="10" borderId="0" xfId="23" applyNumberFormat="1" applyFont="1" applyFill="1" applyProtection="1"/>
    <xf numFmtId="37" fontId="109" fillId="0" borderId="20" xfId="23" applyNumberFormat="1" applyFont="1" applyBorder="1" applyProtection="1"/>
    <xf numFmtId="37" fontId="31" fillId="0" borderId="0" xfId="23" applyNumberFormat="1" applyFont="1" applyAlignment="1" applyProtection="1">
      <alignment horizontal="centerContinuous"/>
    </xf>
    <xf numFmtId="0" fontId="65" fillId="0" borderId="0" xfId="22" applyNumberFormat="1" applyFont="1"/>
    <xf numFmtId="37" fontId="110" fillId="0" borderId="0" xfId="23" applyNumberFormat="1" applyFont="1" applyProtection="1"/>
    <xf numFmtId="37" fontId="31" fillId="0" borderId="0" xfId="23" applyNumberFormat="1" applyFont="1" applyProtection="1"/>
    <xf numFmtId="0" fontId="115" fillId="0" borderId="0" xfId="22" applyFont="1"/>
    <xf numFmtId="37" fontId="116" fillId="0" borderId="0" xfId="28" applyNumberFormat="1" applyFont="1" applyProtection="1"/>
    <xf numFmtId="37" fontId="31" fillId="0" borderId="0" xfId="28" applyNumberFormat="1" applyFont="1" applyProtection="1"/>
    <xf numFmtId="37" fontId="117" fillId="0" borderId="0" xfId="28" applyNumberFormat="1" applyFont="1" applyProtection="1"/>
    <xf numFmtId="37" fontId="31" fillId="10" borderId="0" xfId="28" applyNumberFormat="1" applyFont="1" applyFill="1" applyProtection="1"/>
    <xf numFmtId="37" fontId="31" fillId="0" borderId="0" xfId="28" applyNumberFormat="1" applyFont="1" applyAlignment="1" applyProtection="1">
      <alignment horizontal="left" indent="1"/>
    </xf>
    <xf numFmtId="37" fontId="117" fillId="0" borderId="0" xfId="28" applyNumberFormat="1" applyFont="1" applyAlignment="1" applyProtection="1">
      <alignment horizontal="left" indent="1"/>
    </xf>
    <xf numFmtId="37" fontId="113" fillId="0" borderId="0" xfId="4" applyNumberFormat="1" applyFont="1"/>
    <xf numFmtId="37" fontId="9" fillId="0" borderId="6" xfId="22" applyNumberFormat="1" applyBorder="1"/>
    <xf numFmtId="37" fontId="113" fillId="0" borderId="0" xfId="22" applyNumberFormat="1" applyFont="1"/>
    <xf numFmtId="37" fontId="116" fillId="0" borderId="0" xfId="23" applyNumberFormat="1" applyFont="1" applyProtection="1"/>
    <xf numFmtId="37" fontId="11" fillId="0" borderId="0" xfId="28" applyNumberFormat="1" applyFont="1" applyProtection="1"/>
    <xf numFmtId="37" fontId="11" fillId="0" borderId="18" xfId="28" applyNumberFormat="1" applyFont="1" applyBorder="1" applyProtection="1"/>
    <xf numFmtId="37" fontId="9" fillId="0" borderId="18" xfId="22" applyNumberFormat="1" applyBorder="1"/>
    <xf numFmtId="0" fontId="11" fillId="0" borderId="0" xfId="22" applyFont="1"/>
    <xf numFmtId="37" fontId="31" fillId="0" borderId="0" xfId="28" applyNumberFormat="1" applyFont="1" applyBorder="1" applyProtection="1"/>
    <xf numFmtId="0" fontId="9" fillId="0" borderId="0" xfId="22" applyBorder="1"/>
    <xf numFmtId="0" fontId="11" fillId="0" borderId="0" xfId="22" applyFont="1" applyBorder="1"/>
    <xf numFmtId="37" fontId="118" fillId="0" borderId="0" xfId="28" applyNumberFormat="1" applyFont="1" applyProtection="1"/>
    <xf numFmtId="37" fontId="31" fillId="0" borderId="0" xfId="23" quotePrefix="1" applyNumberFormat="1" applyFont="1" applyAlignment="1" applyProtection="1">
      <alignment horizontal="left"/>
    </xf>
    <xf numFmtId="37" fontId="119" fillId="0" borderId="0" xfId="26" applyNumberFormat="1" applyFont="1" applyAlignment="1" applyProtection="1">
      <alignment horizontal="center"/>
    </xf>
    <xf numFmtId="37" fontId="122" fillId="0" borderId="6" xfId="26" applyNumberFormat="1" applyFont="1" applyBorder="1" applyAlignment="1" applyProtection="1">
      <alignment horizontal="center"/>
    </xf>
    <xf numFmtId="37" fontId="123" fillId="0" borderId="0" xfId="26" applyNumberFormat="1" applyFont="1" applyProtection="1"/>
    <xf numFmtId="37" fontId="124" fillId="0" borderId="0" xfId="26" applyNumberFormat="1" applyFont="1" applyProtection="1"/>
    <xf numFmtId="37" fontId="125" fillId="0" borderId="0" xfId="26" applyNumberFormat="1" applyFont="1" applyBorder="1" applyAlignment="1" applyProtection="1">
      <alignment horizontal="center"/>
    </xf>
    <xf numFmtId="37" fontId="126" fillId="0" borderId="0" xfId="26" applyNumberFormat="1" applyFont="1" applyBorder="1" applyProtection="1"/>
    <xf numFmtId="37" fontId="125" fillId="0" borderId="6" xfId="26" quotePrefix="1" applyNumberFormat="1" applyFont="1" applyBorder="1" applyAlignment="1" applyProtection="1">
      <alignment horizontal="center"/>
    </xf>
    <xf numFmtId="37" fontId="124" fillId="0" borderId="0" xfId="26" applyNumberFormat="1" applyFont="1" applyBorder="1" applyProtection="1"/>
    <xf numFmtId="37" fontId="127" fillId="0" borderId="0" xfId="20" applyNumberFormat="1" applyFont="1" applyProtection="1">
      <protection locked="0"/>
    </xf>
    <xf numFmtId="37" fontId="36" fillId="0" borderId="0" xfId="26" applyNumberFormat="1" applyFont="1" applyBorder="1" applyProtection="1"/>
    <xf numFmtId="37" fontId="36" fillId="0" borderId="6" xfId="26" applyNumberFormat="1" applyFont="1" applyBorder="1" applyProtection="1"/>
    <xf numFmtId="37" fontId="128" fillId="0" borderId="0" xfId="26" applyNumberFormat="1" applyFont="1" applyProtection="1"/>
    <xf numFmtId="37" fontId="125" fillId="0" borderId="0" xfId="26" applyNumberFormat="1" applyFont="1" applyProtection="1"/>
    <xf numFmtId="37" fontId="108" fillId="0" borderId="18" xfId="26" applyNumberFormat="1" applyFont="1" applyBorder="1" applyProtection="1"/>
    <xf numFmtId="37" fontId="129" fillId="0" borderId="0" xfId="25" applyNumberFormat="1" applyFont="1" applyProtection="1"/>
    <xf numFmtId="37" fontId="40" fillId="0" borderId="0" xfId="26" applyNumberFormat="1" applyFont="1" applyProtection="1"/>
    <xf numFmtId="0" fontId="129" fillId="0" borderId="0" xfId="25" applyNumberFormat="1" applyFont="1" applyAlignment="1" applyProtection="1">
      <alignment horizontal="left"/>
    </xf>
    <xf numFmtId="37" fontId="121" fillId="0" borderId="0" xfId="20" applyNumberFormat="1" applyFont="1" applyAlignment="1" applyProtection="1">
      <alignment horizontal="centerContinuous"/>
    </xf>
    <xf numFmtId="37" fontId="125" fillId="0" borderId="0" xfId="26" applyNumberFormat="1" applyFont="1" applyBorder="1" applyProtection="1"/>
    <xf numFmtId="37" fontId="127" fillId="0" borderId="0" xfId="20" applyNumberFormat="1" applyFont="1" applyAlignment="1" applyProtection="1">
      <alignment horizontal="left"/>
      <protection locked="0"/>
    </xf>
    <xf numFmtId="37" fontId="130" fillId="0" borderId="0" xfId="20" applyNumberFormat="1" applyFont="1" applyAlignment="1" applyProtection="1">
      <alignment horizontal="left"/>
      <protection locked="0"/>
    </xf>
    <xf numFmtId="37" fontId="40" fillId="0" borderId="0" xfId="20" applyNumberFormat="1" applyFont="1" applyAlignment="1" applyProtection="1">
      <alignment horizontal="left"/>
    </xf>
    <xf numFmtId="37" fontId="128" fillId="0" borderId="7" xfId="26" applyNumberFormat="1" applyFont="1" applyBorder="1" applyProtection="1"/>
    <xf numFmtId="37" fontId="110" fillId="0" borderId="0" xfId="26" applyNumberFormat="1" applyFont="1" applyBorder="1" applyProtection="1"/>
    <xf numFmtId="37" fontId="122" fillId="0" borderId="6" xfId="26" applyNumberFormat="1" applyFont="1" applyBorder="1" applyAlignment="1" applyProtection="1">
      <alignment horizontal="left"/>
    </xf>
    <xf numFmtId="37" fontId="40" fillId="0" borderId="0" xfId="20" applyNumberFormat="1" applyFont="1" applyAlignment="1" applyProtection="1"/>
    <xf numFmtId="37" fontId="34" fillId="0" borderId="0" xfId="20" applyNumberFormat="1" applyFont="1" applyProtection="1"/>
    <xf numFmtId="37" fontId="40" fillId="0" borderId="0" xfId="20" applyNumberFormat="1" applyFont="1" applyProtection="1"/>
    <xf numFmtId="37" fontId="34" fillId="0" borderId="0" xfId="20" applyNumberFormat="1" applyFont="1" applyAlignment="1" applyProtection="1">
      <alignment horizontal="center"/>
    </xf>
    <xf numFmtId="37" fontId="131" fillId="0" borderId="0" xfId="20" applyNumberFormat="1" applyFont="1" applyAlignment="1" applyProtection="1">
      <alignment horizontal="center"/>
    </xf>
    <xf numFmtId="37" fontId="131" fillId="0" borderId="0" xfId="20" applyNumberFormat="1" applyFont="1" applyProtection="1"/>
    <xf numFmtId="37" fontId="34" fillId="0" borderId="0" xfId="20" quotePrefix="1" applyNumberFormat="1" applyFont="1" applyAlignment="1" applyProtection="1">
      <alignment horizontal="left"/>
    </xf>
    <xf numFmtId="37" fontId="127" fillId="0" borderId="0" xfId="20" quotePrefix="1" applyNumberFormat="1" applyFont="1" applyProtection="1"/>
    <xf numFmtId="37" fontId="127" fillId="0" borderId="0" xfId="20" applyNumberFormat="1" applyFont="1" applyProtection="1"/>
    <xf numFmtId="37" fontId="127" fillId="0" borderId="0" xfId="20" quotePrefix="1" applyNumberFormat="1" applyFont="1" applyBorder="1" applyProtection="1"/>
    <xf numFmtId="37" fontId="127" fillId="0" borderId="0" xfId="20" applyNumberFormat="1" applyFont="1" applyBorder="1" applyProtection="1"/>
    <xf numFmtId="37" fontId="40" fillId="0" borderId="0" xfId="20" applyNumberFormat="1" applyFont="1" applyBorder="1" applyProtection="1"/>
    <xf numFmtId="37" fontId="40" fillId="0" borderId="21" xfId="20" applyNumberFormat="1" applyFont="1" applyBorder="1" applyProtection="1"/>
    <xf numFmtId="37" fontId="129" fillId="0" borderId="0" xfId="20" applyNumberFormat="1" applyFont="1" applyProtection="1"/>
    <xf numFmtId="37" fontId="132" fillId="0" borderId="0" xfId="20" applyNumberFormat="1" applyFont="1" applyProtection="1"/>
    <xf numFmtId="37" fontId="36" fillId="0" borderId="0" xfId="22" applyNumberFormat="1" applyFont="1"/>
    <xf numFmtId="37" fontId="132" fillId="0" borderId="0" xfId="20" quotePrefix="1" applyNumberFormat="1" applyFont="1" applyAlignment="1" applyProtection="1">
      <alignment horizontal="left"/>
    </xf>
    <xf numFmtId="37" fontId="121" fillId="0" borderId="0" xfId="22" applyNumberFormat="1" applyFont="1" applyProtection="1"/>
    <xf numFmtId="37" fontId="109" fillId="0" borderId="0" xfId="20" applyNumberFormat="1" applyFont="1" applyAlignment="1" applyProtection="1">
      <alignment horizontal="left"/>
    </xf>
    <xf numFmtId="37" fontId="9" fillId="0" borderId="0" xfId="22" applyNumberFormat="1" applyProtection="1"/>
    <xf numFmtId="37" fontId="110" fillId="0" borderId="0" xfId="22" applyNumberFormat="1" applyFont="1" applyProtection="1">
      <protection locked="0"/>
    </xf>
    <xf numFmtId="37" fontId="110" fillId="0" borderId="0" xfId="22" quotePrefix="1" applyNumberFormat="1" applyFont="1" applyAlignment="1" applyProtection="1">
      <alignment horizontal="left"/>
      <protection locked="0"/>
    </xf>
    <xf numFmtId="37" fontId="36" fillId="0" borderId="0" xfId="22" applyNumberFormat="1" applyFont="1" applyProtection="1">
      <protection locked="0"/>
    </xf>
    <xf numFmtId="37" fontId="36" fillId="0" borderId="6" xfId="22" applyNumberFormat="1" applyFont="1" applyBorder="1" applyProtection="1">
      <protection locked="0"/>
    </xf>
    <xf numFmtId="37" fontId="9" fillId="0" borderId="7" xfId="22" applyNumberFormat="1" applyBorder="1"/>
    <xf numFmtId="37" fontId="9" fillId="0" borderId="0" xfId="22" applyNumberFormat="1" applyProtection="1">
      <protection locked="0"/>
    </xf>
    <xf numFmtId="37" fontId="133" fillId="0" borderId="0" xfId="26" applyNumberFormat="1" applyFont="1" applyBorder="1" applyAlignment="1" applyProtection="1">
      <alignment horizontal="center"/>
    </xf>
    <xf numFmtId="37" fontId="133" fillId="0" borderId="6" xfId="26" quotePrefix="1" applyNumberFormat="1" applyFont="1" applyBorder="1" applyAlignment="1" applyProtection="1">
      <alignment horizontal="center"/>
    </xf>
    <xf numFmtId="37" fontId="125" fillId="0" borderId="0" xfId="26" quotePrefix="1" applyNumberFormat="1" applyFont="1" applyBorder="1" applyAlignment="1" applyProtection="1">
      <alignment horizontal="center"/>
    </xf>
    <xf numFmtId="37" fontId="134" fillId="0" borderId="0" xfId="26" applyNumberFormat="1" applyFont="1" applyBorder="1" applyProtection="1"/>
    <xf numFmtId="37" fontId="109" fillId="0" borderId="0" xfId="26" applyNumberFormat="1" applyFont="1" applyBorder="1" applyProtection="1"/>
    <xf numFmtId="37" fontId="11" fillId="0" borderId="0" xfId="26" applyNumberFormat="1" applyFont="1" applyBorder="1" applyAlignment="1" applyProtection="1">
      <alignment horizontal="center"/>
    </xf>
    <xf numFmtId="37" fontId="111" fillId="0" borderId="0" xfId="26" applyNumberFormat="1" applyFont="1" applyBorder="1" applyProtection="1"/>
    <xf numFmtId="37" fontId="11" fillId="0" borderId="0" xfId="26" applyNumberFormat="1" applyFont="1" applyFill="1" applyBorder="1" applyProtection="1"/>
    <xf numFmtId="37" fontId="135" fillId="0" borderId="0" xfId="26" applyNumberFormat="1" applyFont="1" applyBorder="1" applyProtection="1"/>
    <xf numFmtId="37" fontId="128" fillId="0" borderId="0" xfId="26" applyNumberFormat="1" applyFont="1" applyBorder="1" applyProtection="1"/>
    <xf numFmtId="37" fontId="36" fillId="0" borderId="0" xfId="27" applyNumberFormat="1" applyFont="1" applyAlignment="1" applyProtection="1"/>
    <xf numFmtId="37" fontId="11" fillId="0" borderId="0" xfId="26" applyNumberFormat="1" applyFont="1" applyBorder="1" applyProtection="1"/>
    <xf numFmtId="37" fontId="128" fillId="0" borderId="0" xfId="26" applyNumberFormat="1" applyFont="1" applyBorder="1" applyAlignment="1" applyProtection="1">
      <alignment horizontal="center"/>
    </xf>
    <xf numFmtId="37" fontId="123" fillId="0" borderId="0" xfId="26" applyNumberFormat="1" applyFont="1" applyBorder="1" applyProtection="1"/>
    <xf numFmtId="37" fontId="108" fillId="0" borderId="17" xfId="26" applyNumberFormat="1" applyFont="1" applyBorder="1" applyAlignment="1" applyProtection="1">
      <alignment horizontal="right"/>
    </xf>
    <xf numFmtId="37" fontId="108" fillId="0" borderId="8" xfId="26" applyNumberFormat="1" applyFont="1" applyBorder="1" applyProtection="1"/>
    <xf numFmtId="37" fontId="108" fillId="0" borderId="17" xfId="26" quotePrefix="1" applyNumberFormat="1" applyFont="1" applyBorder="1" applyAlignment="1" applyProtection="1">
      <alignment horizontal="right"/>
    </xf>
    <xf numFmtId="37" fontId="108" fillId="0" borderId="0" xfId="26" applyNumberFormat="1" applyFont="1" applyBorder="1" applyAlignment="1" applyProtection="1">
      <alignment horizontal="right"/>
    </xf>
    <xf numFmtId="37" fontId="108" fillId="0" borderId="0" xfId="26" applyNumberFormat="1" applyFont="1" applyBorder="1" applyProtection="1"/>
    <xf numFmtId="37" fontId="136" fillId="0" borderId="0" xfId="26" applyNumberFormat="1" applyFont="1" applyBorder="1" applyProtection="1"/>
    <xf numFmtId="165" fontId="2" fillId="0" borderId="0" xfId="21" applyNumberFormat="1" applyFont="1"/>
    <xf numFmtId="0" fontId="55" fillId="0" borderId="0" xfId="0" applyFont="1" applyAlignment="1">
      <alignment horizontal="center"/>
    </xf>
    <xf numFmtId="0" fontId="9" fillId="0" borderId="0" xfId="21" applyNumberFormat="1" applyAlignment="1">
      <alignment horizontal="left"/>
    </xf>
    <xf numFmtId="0" fontId="106" fillId="0" borderId="0" xfId="21" quotePrefix="1" applyNumberFormat="1" applyFont="1" applyAlignment="1">
      <alignment horizontal="left"/>
    </xf>
    <xf numFmtId="0" fontId="106" fillId="0" borderId="0" xfId="21" applyNumberFormat="1" applyFont="1" applyAlignment="1">
      <alignment horizontal="left"/>
    </xf>
    <xf numFmtId="37" fontId="122" fillId="0" borderId="0" xfId="26" applyNumberFormat="1" applyFont="1" applyAlignment="1" applyProtection="1">
      <alignment horizontal="center"/>
    </xf>
    <xf numFmtId="37" fontId="120" fillId="0" borderId="0" xfId="26" applyNumberFormat="1" applyFont="1" applyAlignment="1" applyProtection="1">
      <alignment horizontal="center"/>
    </xf>
    <xf numFmtId="37" fontId="121" fillId="0" borderId="0" xfId="20" applyNumberFormat="1" applyFont="1" applyAlignment="1" applyProtection="1">
      <alignment horizontal="center"/>
    </xf>
    <xf numFmtId="0" fontId="120" fillId="0" borderId="0" xfId="22" applyFont="1" applyFill="1" applyAlignment="1">
      <alignment horizontal="center"/>
    </xf>
    <xf numFmtId="37" fontId="121" fillId="0" borderId="0" xfId="20" quotePrefix="1" applyNumberFormat="1" applyFont="1" applyAlignment="1" applyProtection="1">
      <alignment horizontal="center"/>
    </xf>
  </cellXfs>
  <cellStyles count="37">
    <cellStyle name="??_?.????" xfId="1"/>
    <cellStyle name="Actual Date" xfId="2"/>
    <cellStyle name="Calc Currency (0)" xfId="3"/>
    <cellStyle name="Comma" xfId="4" builtinId="3"/>
    <cellStyle name="Currency" xfId="5" builtinId="4"/>
    <cellStyle name="Date" xfId="6"/>
    <cellStyle name="Fixed" xfId="7"/>
    <cellStyle name="Grey" xfId="8"/>
    <cellStyle name="HEADER" xfId="9"/>
    <cellStyle name="Header1" xfId="10"/>
    <cellStyle name="Header2" xfId="11"/>
    <cellStyle name="Heading1" xfId="12"/>
    <cellStyle name="Heading2" xfId="13"/>
    <cellStyle name="HIGHLIGHT" xfId="14"/>
    <cellStyle name="Input [yellow]" xfId="15"/>
    <cellStyle name="no dec" xfId="16"/>
    <cellStyle name="Normal" xfId="0" builtinId="0"/>
    <cellStyle name="Normal - Style1" xfId="17"/>
    <cellStyle name="Normal_0635" xfId="18"/>
    <cellStyle name="Normal_Book4" xfId="19"/>
    <cellStyle name="Normal_CAPEX_AN" xfId="20"/>
    <cellStyle name="Normal_East Midstream Orig IS" xfId="21"/>
    <cellStyle name="Normal_EastMidOrig" xfId="22"/>
    <cellStyle name="Normal_FORMAT" xfId="23"/>
    <cellStyle name="Normal_Hyp-SAP COA" xfId="24"/>
    <cellStyle name="Normal_MAJASSUM" xfId="25"/>
    <cellStyle name="Normal_OBLIGDET" xfId="26"/>
    <cellStyle name="Normal_Other Obligations" xfId="27"/>
    <cellStyle name="Normal_PLAN_DIR" xfId="28"/>
    <cellStyle name="Normal_presentation summary" xfId="29"/>
    <cellStyle name="Percent" xfId="30" builtinId="5"/>
    <cellStyle name="Percent [2]" xfId="31"/>
    <cellStyle name="Total" xfId="32" builtinId="25" customBuiltin="1"/>
    <cellStyle name="Unprot" xfId="33"/>
    <cellStyle name="Unprot$" xfId="34"/>
    <cellStyle name="Unprot_CurrencySKorea" xfId="35"/>
    <cellStyle name="Unprotect" xfId="3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7</xdr:col>
      <xdr:colOff>281940</xdr:colOff>
      <xdr:row>8</xdr:row>
      <xdr:rowOff>91440</xdr:rowOff>
    </xdr:to>
    <xdr:sp macro="" textlink="">
      <xdr:nvSpPr>
        <xdr:cNvPr id="8193" name="Rectangle 1"/>
        <xdr:cNvSpPr>
          <a:spLocks noChangeArrowheads="1"/>
        </xdr:cNvSpPr>
      </xdr:nvSpPr>
      <xdr:spPr bwMode="auto">
        <a:xfrm>
          <a:off x="0" y="7620"/>
          <a:ext cx="6888480" cy="1424940"/>
        </a:xfrm>
        <a:prstGeom prst="rect">
          <a:avLst/>
        </a:prstGeom>
        <a:solidFill>
          <a:srgbClr val="0066FF">
            <a:alpha val="5000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Enron Net Works</a:t>
          </a:r>
        </a:p>
        <a:p>
          <a:pPr algn="ctr" rtl="0"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2001 Plan</a:t>
          </a:r>
        </a:p>
        <a:p>
          <a:pPr algn="ctr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Deal Bench - Harry Arora</a:t>
          </a:r>
        </a:p>
        <a:p>
          <a:pPr algn="ctr" rtl="0">
            <a:defRPr sz="1000"/>
          </a:pPr>
          <a:endParaRPr lang="en-US" sz="2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327660</xdr:colOff>
          <xdr:row>0</xdr:row>
          <xdr:rowOff>137160</xdr:rowOff>
        </xdr:from>
        <xdr:to>
          <xdr:col>1</xdr:col>
          <xdr:colOff>53340</xdr:colOff>
          <xdr:row>4</xdr:row>
          <xdr:rowOff>45720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76200</xdr:rowOff>
    </xdr:from>
    <xdr:to>
      <xdr:col>11</xdr:col>
      <xdr:colOff>548640</xdr:colOff>
      <xdr:row>0</xdr:row>
      <xdr:rowOff>76200</xdr:rowOff>
    </xdr:to>
    <xdr:sp macro="" textlink="">
      <xdr:nvSpPr>
        <xdr:cNvPr id="14337" name="Line 1"/>
        <xdr:cNvSpPr>
          <a:spLocks noChangeShapeType="1"/>
        </xdr:cNvSpPr>
      </xdr:nvSpPr>
      <xdr:spPr bwMode="auto">
        <a:xfrm flipH="1" flipV="1">
          <a:off x="2346960" y="76200"/>
          <a:ext cx="63169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76200</xdr:rowOff>
    </xdr:from>
    <xdr:to>
      <xdr:col>11</xdr:col>
      <xdr:colOff>548640</xdr:colOff>
      <xdr:row>0</xdr:row>
      <xdr:rowOff>76200</xdr:rowOff>
    </xdr:to>
    <xdr:sp macro="" textlink="">
      <xdr:nvSpPr>
        <xdr:cNvPr id="15361" name="Line 1"/>
        <xdr:cNvSpPr>
          <a:spLocks noChangeShapeType="1"/>
        </xdr:cNvSpPr>
      </xdr:nvSpPr>
      <xdr:spPr bwMode="auto">
        <a:xfrm flipH="1" flipV="1">
          <a:off x="2903220" y="76200"/>
          <a:ext cx="63169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76200</xdr:rowOff>
    </xdr:from>
    <xdr:to>
      <xdr:col>11</xdr:col>
      <xdr:colOff>548640</xdr:colOff>
      <xdr:row>0</xdr:row>
      <xdr:rowOff>76200</xdr:rowOff>
    </xdr:to>
    <xdr:sp macro="" textlink="">
      <xdr:nvSpPr>
        <xdr:cNvPr id="16385" name="Line 1"/>
        <xdr:cNvSpPr>
          <a:spLocks noChangeShapeType="1"/>
        </xdr:cNvSpPr>
      </xdr:nvSpPr>
      <xdr:spPr bwMode="auto">
        <a:xfrm flipH="1" flipV="1">
          <a:off x="2834640" y="76200"/>
          <a:ext cx="63169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76200</xdr:rowOff>
    </xdr:from>
    <xdr:to>
      <xdr:col>11</xdr:col>
      <xdr:colOff>548640</xdr:colOff>
      <xdr:row>0</xdr:row>
      <xdr:rowOff>76200</xdr:rowOff>
    </xdr:to>
    <xdr:sp macro="" textlink="">
      <xdr:nvSpPr>
        <xdr:cNvPr id="17409" name="Line 1"/>
        <xdr:cNvSpPr>
          <a:spLocks noChangeShapeType="1"/>
        </xdr:cNvSpPr>
      </xdr:nvSpPr>
      <xdr:spPr bwMode="auto">
        <a:xfrm flipH="1" flipV="1">
          <a:off x="2788920" y="76200"/>
          <a:ext cx="63169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9</xdr:col>
      <xdr:colOff>228600</xdr:colOff>
      <xdr:row>0</xdr:row>
      <xdr:rowOff>53340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 flipH="1" flipV="1">
          <a:off x="0" y="45720"/>
          <a:ext cx="922782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</xdr:colOff>
      <xdr:row>3</xdr:row>
      <xdr:rowOff>30480</xdr:rowOff>
    </xdr:from>
    <xdr:to>
      <xdr:col>15</xdr:col>
      <xdr:colOff>754380</xdr:colOff>
      <xdr:row>3</xdr:row>
      <xdr:rowOff>30480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H="1">
          <a:off x="6256020" y="838200"/>
          <a:ext cx="91668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9</xdr:col>
      <xdr:colOff>228600</xdr:colOff>
      <xdr:row>0</xdr:row>
      <xdr:rowOff>53340</xdr:rowOff>
    </xdr:to>
    <xdr:sp macro="" textlink="">
      <xdr:nvSpPr>
        <xdr:cNvPr id="2088" name="Line 40"/>
        <xdr:cNvSpPr>
          <a:spLocks noChangeShapeType="1"/>
        </xdr:cNvSpPr>
      </xdr:nvSpPr>
      <xdr:spPr bwMode="auto">
        <a:xfrm flipH="1" flipV="1">
          <a:off x="0" y="45720"/>
          <a:ext cx="893826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</xdr:colOff>
      <xdr:row>3</xdr:row>
      <xdr:rowOff>30480</xdr:rowOff>
    </xdr:from>
    <xdr:to>
      <xdr:col>15</xdr:col>
      <xdr:colOff>754380</xdr:colOff>
      <xdr:row>3</xdr:row>
      <xdr:rowOff>30480</xdr:rowOff>
    </xdr:to>
    <xdr:sp macro="" textlink="">
      <xdr:nvSpPr>
        <xdr:cNvPr id="2090" name="Line 42"/>
        <xdr:cNvSpPr>
          <a:spLocks noChangeShapeType="1"/>
        </xdr:cNvSpPr>
      </xdr:nvSpPr>
      <xdr:spPr bwMode="auto">
        <a:xfrm flipH="1">
          <a:off x="6377940" y="838200"/>
          <a:ext cx="79324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8</xdr:col>
      <xdr:colOff>213360</xdr:colOff>
      <xdr:row>0</xdr:row>
      <xdr:rowOff>53340</xdr:rowOff>
    </xdr:to>
    <xdr:sp macro="" textlink="">
      <xdr:nvSpPr>
        <xdr:cNvPr id="6145" name="Line 1"/>
        <xdr:cNvSpPr>
          <a:spLocks noChangeShapeType="1"/>
        </xdr:cNvSpPr>
      </xdr:nvSpPr>
      <xdr:spPr bwMode="auto">
        <a:xfrm flipH="1" flipV="1">
          <a:off x="0" y="45720"/>
          <a:ext cx="822198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716280</xdr:colOff>
      <xdr:row>3</xdr:row>
      <xdr:rowOff>30480</xdr:rowOff>
    </xdr:from>
    <xdr:to>
      <xdr:col>15</xdr:col>
      <xdr:colOff>571500</xdr:colOff>
      <xdr:row>3</xdr:row>
      <xdr:rowOff>30480</xdr:rowOff>
    </xdr:to>
    <xdr:sp macro="" textlink="">
      <xdr:nvSpPr>
        <xdr:cNvPr id="6146" name="Line 2"/>
        <xdr:cNvSpPr>
          <a:spLocks noChangeShapeType="1"/>
        </xdr:cNvSpPr>
      </xdr:nvSpPr>
      <xdr:spPr bwMode="auto">
        <a:xfrm flipH="1">
          <a:off x="6301740" y="838200"/>
          <a:ext cx="79324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8</xdr:col>
      <xdr:colOff>213360</xdr:colOff>
      <xdr:row>0</xdr:row>
      <xdr:rowOff>53340</xdr:rowOff>
    </xdr:to>
    <xdr:sp macro="" textlink="">
      <xdr:nvSpPr>
        <xdr:cNvPr id="9217" name="Line 1"/>
        <xdr:cNvSpPr>
          <a:spLocks noChangeShapeType="1"/>
        </xdr:cNvSpPr>
      </xdr:nvSpPr>
      <xdr:spPr bwMode="auto">
        <a:xfrm flipH="1" flipV="1">
          <a:off x="0" y="45720"/>
          <a:ext cx="990600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716280</xdr:colOff>
      <xdr:row>3</xdr:row>
      <xdr:rowOff>30480</xdr:rowOff>
    </xdr:from>
    <xdr:to>
      <xdr:col>15</xdr:col>
      <xdr:colOff>571500</xdr:colOff>
      <xdr:row>3</xdr:row>
      <xdr:rowOff>30480</xdr:rowOff>
    </xdr:to>
    <xdr:sp macro="" textlink="">
      <xdr:nvSpPr>
        <xdr:cNvPr id="9218" name="Line 2"/>
        <xdr:cNvSpPr>
          <a:spLocks noChangeShapeType="1"/>
        </xdr:cNvSpPr>
      </xdr:nvSpPr>
      <xdr:spPr bwMode="auto">
        <a:xfrm flipH="1">
          <a:off x="7734300" y="838200"/>
          <a:ext cx="87706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60960</xdr:rowOff>
    </xdr:from>
    <xdr:to>
      <xdr:col>11</xdr:col>
      <xdr:colOff>205740</xdr:colOff>
      <xdr:row>0</xdr:row>
      <xdr:rowOff>68580</xdr:rowOff>
    </xdr:to>
    <xdr:sp macro="" textlink="">
      <xdr:nvSpPr>
        <xdr:cNvPr id="10241" name="Line 1"/>
        <xdr:cNvSpPr>
          <a:spLocks noChangeShapeType="1"/>
        </xdr:cNvSpPr>
      </xdr:nvSpPr>
      <xdr:spPr bwMode="auto">
        <a:xfrm flipH="1" flipV="1">
          <a:off x="0" y="60960"/>
          <a:ext cx="1189482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16</xdr:col>
      <xdr:colOff>228600</xdr:colOff>
      <xdr:row>0</xdr:row>
      <xdr:rowOff>60960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 flipH="1" flipV="1">
          <a:off x="0" y="45720"/>
          <a:ext cx="16024860" cy="1524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76200</xdr:rowOff>
    </xdr:from>
    <xdr:to>
      <xdr:col>11</xdr:col>
      <xdr:colOff>548640</xdr:colOff>
      <xdr:row>0</xdr:row>
      <xdr:rowOff>76200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 flipH="1" flipV="1">
          <a:off x="3596640" y="76200"/>
          <a:ext cx="64084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0</xdr:row>
      <xdr:rowOff>83820</xdr:rowOff>
    </xdr:from>
    <xdr:to>
      <xdr:col>11</xdr:col>
      <xdr:colOff>243840</xdr:colOff>
      <xdr:row>0</xdr:row>
      <xdr:rowOff>83820</xdr:rowOff>
    </xdr:to>
    <xdr:sp macro="" textlink="">
      <xdr:nvSpPr>
        <xdr:cNvPr id="13313" name="Line 1"/>
        <xdr:cNvSpPr>
          <a:spLocks noChangeShapeType="1"/>
        </xdr:cNvSpPr>
      </xdr:nvSpPr>
      <xdr:spPr bwMode="auto">
        <a:xfrm flipH="1" flipV="1">
          <a:off x="4168140" y="83820"/>
          <a:ext cx="6324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PLAN/1999/Expense_Temps/Exp_WEATH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%20Net%20Works/Accounting/2001%20Plan/Corporate%20Alloca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Assumptions"/>
      <sheetName val="Input"/>
      <sheetName val="Load"/>
    </sheetNames>
    <sheetDataSet>
      <sheetData sheetId="0" refreshError="1"/>
      <sheetData sheetId="1" refreshError="1"/>
      <sheetData sheetId="2" refreshError="1">
        <row r="25">
          <cell r="O25" t="str">
            <v>Total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62">
          <cell r="J262">
            <v>151.04208988845375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67"/>
  <sheetViews>
    <sheetView topLeftCell="B1" workbookViewId="0">
      <selection activeCell="C5" sqref="C5"/>
    </sheetView>
  </sheetViews>
  <sheetFormatPr defaultRowHeight="13.2"/>
  <cols>
    <col min="1" max="1" width="5" hidden="1" customWidth="1"/>
    <col min="2" max="2" width="32.6640625" customWidth="1"/>
    <col min="3" max="3" width="12.77734375" customWidth="1"/>
    <col min="4" max="4" width="70" customWidth="1"/>
    <col min="5" max="5" width="35.33203125" customWidth="1"/>
    <col min="6" max="6" width="108.6640625" customWidth="1"/>
  </cols>
  <sheetData>
    <row r="1" spans="1:6">
      <c r="A1" s="22" t="s">
        <v>56</v>
      </c>
    </row>
    <row r="2" spans="1:6">
      <c r="A2" s="23" t="s">
        <v>51</v>
      </c>
    </row>
    <row r="5" spans="1:6" ht="13.8">
      <c r="A5" s="8" t="s">
        <v>57</v>
      </c>
      <c r="B5" s="8" t="s">
        <v>0</v>
      </c>
      <c r="C5" s="9" t="str">
        <f>+[1]Input!O25</f>
        <v>Total</v>
      </c>
      <c r="D5" s="9" t="s">
        <v>52</v>
      </c>
      <c r="E5" s="9" t="s">
        <v>53</v>
      </c>
      <c r="F5" s="9" t="s">
        <v>54</v>
      </c>
    </row>
    <row r="6" spans="1:6" ht="13.8">
      <c r="A6" s="25"/>
      <c r="B6" s="1"/>
      <c r="C6" s="3" t="s">
        <v>55</v>
      </c>
      <c r="D6" s="24"/>
      <c r="E6" s="24"/>
      <c r="F6" s="24"/>
    </row>
    <row r="7" spans="1:6" ht="13.8">
      <c r="A7" s="25"/>
      <c r="B7" s="1" t="e">
        <f>+#REF!</f>
        <v>#REF!</v>
      </c>
      <c r="C7" s="20" t="e">
        <f>+#REF!</f>
        <v>#REF!</v>
      </c>
      <c r="D7" s="24" t="s">
        <v>89</v>
      </c>
      <c r="E7" s="24"/>
      <c r="F7" s="24"/>
    </row>
    <row r="8" spans="1:6" ht="13.8">
      <c r="A8" s="25"/>
      <c r="B8" s="1" t="e">
        <f>+#REF!</f>
        <v>#REF!</v>
      </c>
      <c r="C8" s="20" t="e">
        <f>+#REF!</f>
        <v>#REF!</v>
      </c>
      <c r="D8" s="24"/>
      <c r="E8" s="24"/>
      <c r="F8" s="24"/>
    </row>
    <row r="9" spans="1:6" ht="13.8">
      <c r="A9" s="25"/>
      <c r="B9" s="12" t="e">
        <f>+#REF!</f>
        <v>#REF!</v>
      </c>
      <c r="C9" s="20" t="e">
        <f>+#REF!</f>
        <v>#REF!</v>
      </c>
      <c r="D9" s="24"/>
      <c r="E9" s="24"/>
      <c r="F9" s="24"/>
    </row>
    <row r="10" spans="1:6" ht="13.8">
      <c r="A10" s="25"/>
      <c r="B10" s="6" t="e">
        <f>+#REF!</f>
        <v>#REF!</v>
      </c>
      <c r="C10" s="20" t="e">
        <f>+#REF!</f>
        <v>#REF!</v>
      </c>
      <c r="D10" s="24"/>
      <c r="E10" s="24"/>
      <c r="F10" s="24"/>
    </row>
    <row r="11" spans="1:6" ht="13.8">
      <c r="A11" s="25"/>
      <c r="B11" s="5" t="e">
        <f>+#REF!</f>
        <v>#REF!</v>
      </c>
      <c r="C11" s="20" t="e">
        <f>+#REF!</f>
        <v>#REF!</v>
      </c>
      <c r="D11" s="24"/>
      <c r="E11" s="24"/>
      <c r="F11" s="24"/>
    </row>
    <row r="12" spans="1:6" ht="13.8">
      <c r="A12" s="25"/>
      <c r="B12" s="10" t="e">
        <f>+#REF!</f>
        <v>#REF!</v>
      </c>
      <c r="C12" s="20" t="e">
        <f>+#REF!</f>
        <v>#REF!</v>
      </c>
      <c r="D12" s="24"/>
      <c r="E12" s="24"/>
      <c r="F12" s="24"/>
    </row>
    <row r="13" spans="1:6" ht="13.8">
      <c r="A13" s="26" t="s">
        <v>58</v>
      </c>
      <c r="B13" s="5" t="e">
        <f>+#REF!</f>
        <v>#REF!</v>
      </c>
      <c r="C13" s="20" t="e">
        <f>+#REF!</f>
        <v>#REF!</v>
      </c>
      <c r="D13" s="24" t="s">
        <v>93</v>
      </c>
      <c r="E13" s="24"/>
      <c r="F13" s="24"/>
    </row>
    <row r="14" spans="1:6" ht="13.8">
      <c r="A14" s="26" t="s">
        <v>59</v>
      </c>
      <c r="B14" s="5" t="e">
        <f>+#REF!</f>
        <v>#REF!</v>
      </c>
      <c r="C14" s="20" t="e">
        <f>+#REF!</f>
        <v>#REF!</v>
      </c>
      <c r="D14" s="24"/>
      <c r="E14" s="24"/>
      <c r="F14" s="24"/>
    </row>
    <row r="15" spans="1:6" ht="13.8">
      <c r="A15" s="26" t="s">
        <v>60</v>
      </c>
      <c r="B15" s="5" t="e">
        <f>+#REF!</f>
        <v>#REF!</v>
      </c>
      <c r="C15" s="20" t="e">
        <f>+#REF!</f>
        <v>#REF!</v>
      </c>
      <c r="D15" s="24" t="s">
        <v>69</v>
      </c>
      <c r="E15" s="24"/>
      <c r="F15" s="24"/>
    </row>
    <row r="16" spans="1:6" ht="13.8">
      <c r="A16" s="25">
        <v>175</v>
      </c>
      <c r="B16" s="5" t="e">
        <f>+#REF!</f>
        <v>#REF!</v>
      </c>
      <c r="C16" s="20" t="e">
        <f>+#REF!</f>
        <v>#REF!</v>
      </c>
      <c r="D16" s="24" t="s">
        <v>90</v>
      </c>
      <c r="E16" s="24"/>
      <c r="F16" s="24"/>
    </row>
    <row r="17" spans="1:6" ht="27">
      <c r="A17" s="26" t="s">
        <v>61</v>
      </c>
      <c r="B17" s="5" t="e">
        <f>+#REF!</f>
        <v>#REF!</v>
      </c>
      <c r="C17" s="20" t="e">
        <f>+#REF!</f>
        <v>#REF!</v>
      </c>
      <c r="D17" s="24" t="s">
        <v>92</v>
      </c>
      <c r="E17" s="24"/>
      <c r="F17" s="24"/>
    </row>
    <row r="18" spans="1:6" ht="13.8">
      <c r="A18" s="26" t="s">
        <v>62</v>
      </c>
      <c r="B18" s="5" t="e">
        <f>+#REF!</f>
        <v>#REF!</v>
      </c>
      <c r="C18" s="20" t="e">
        <f>+#REF!</f>
        <v>#REF!</v>
      </c>
      <c r="D18" s="24"/>
      <c r="E18" s="24"/>
      <c r="F18" s="24"/>
    </row>
    <row r="19" spans="1:6" ht="13.8">
      <c r="A19" s="26" t="s">
        <v>63</v>
      </c>
      <c r="B19" s="5" t="e">
        <f>+#REF!</f>
        <v>#REF!</v>
      </c>
      <c r="C19" s="20" t="e">
        <f>+#REF!</f>
        <v>#REF!</v>
      </c>
      <c r="D19" s="24" t="s">
        <v>70</v>
      </c>
      <c r="E19" s="24"/>
      <c r="F19" s="24"/>
    </row>
    <row r="20" spans="1:6" ht="13.8">
      <c r="A20" s="25"/>
      <c r="B20" s="10" t="e">
        <f>+#REF!</f>
        <v>#REF!</v>
      </c>
      <c r="C20" s="20" t="e">
        <f>+#REF!</f>
        <v>#REF!</v>
      </c>
      <c r="D20" s="24"/>
      <c r="E20" s="24"/>
      <c r="F20" s="24"/>
    </row>
    <row r="21" spans="1:6" ht="13.8">
      <c r="A21" s="26" t="s">
        <v>64</v>
      </c>
      <c r="B21" s="5" t="e">
        <f>+#REF!</f>
        <v>#REF!</v>
      </c>
      <c r="C21" s="20" t="e">
        <f>+#REF!</f>
        <v>#REF!</v>
      </c>
      <c r="D21" s="24"/>
      <c r="E21" s="24"/>
      <c r="F21" s="24"/>
    </row>
    <row r="22" spans="1:6" ht="13.8">
      <c r="A22" s="25"/>
      <c r="B22" s="5" t="e">
        <f>+#REF!</f>
        <v>#REF!</v>
      </c>
      <c r="C22" s="20" t="e">
        <f>+#REF!</f>
        <v>#REF!</v>
      </c>
      <c r="D22" s="24"/>
      <c r="E22" s="24"/>
      <c r="F22" s="24"/>
    </row>
    <row r="23" spans="1:6" ht="13.8">
      <c r="A23" s="26" t="s">
        <v>65</v>
      </c>
      <c r="B23" s="5" t="e">
        <f>+#REF!</f>
        <v>#REF!</v>
      </c>
      <c r="C23" s="20" t="e">
        <f>+#REF!</f>
        <v>#REF!</v>
      </c>
      <c r="D23" s="24"/>
      <c r="E23" s="24" t="s">
        <v>78</v>
      </c>
      <c r="F23" s="28" t="s">
        <v>84</v>
      </c>
    </row>
    <row r="24" spans="1:6" ht="13.8">
      <c r="A24" s="25"/>
      <c r="B24" s="5" t="e">
        <f>+#REF!</f>
        <v>#REF!</v>
      </c>
      <c r="C24" s="20" t="e">
        <f>+#REF!</f>
        <v>#REF!</v>
      </c>
      <c r="D24" s="24"/>
      <c r="E24" s="24" t="s">
        <v>79</v>
      </c>
      <c r="F24" s="24"/>
    </row>
    <row r="25" spans="1:6" ht="13.8">
      <c r="A25" s="26" t="s">
        <v>66</v>
      </c>
      <c r="B25" s="5" t="e">
        <f>+#REF!</f>
        <v>#REF!</v>
      </c>
      <c r="C25" s="20" t="e">
        <f>+#REF!</f>
        <v>#REF!</v>
      </c>
      <c r="D25" s="24"/>
      <c r="E25" s="24" t="s">
        <v>80</v>
      </c>
      <c r="F25" s="24" t="s">
        <v>85</v>
      </c>
    </row>
    <row r="26" spans="1:6" ht="13.8">
      <c r="A26" s="25"/>
      <c r="B26" s="5" t="e">
        <f>+#REF!</f>
        <v>#REF!</v>
      </c>
      <c r="C26" s="20" t="e">
        <f>+#REF!</f>
        <v>#REF!</v>
      </c>
      <c r="D26" s="24"/>
      <c r="E26" s="24"/>
      <c r="F26" s="24"/>
    </row>
    <row r="27" spans="1:6" ht="13.8">
      <c r="A27" s="25"/>
      <c r="B27" s="10" t="e">
        <f>+#REF!</f>
        <v>#REF!</v>
      </c>
      <c r="C27" s="20" t="e">
        <f>+#REF!</f>
        <v>#REF!</v>
      </c>
      <c r="D27" s="24"/>
      <c r="E27" s="24"/>
      <c r="F27" s="24"/>
    </row>
    <row r="28" spans="1:6" ht="13.8">
      <c r="A28" s="25">
        <v>201</v>
      </c>
      <c r="B28" s="5" t="e">
        <f>+#REF!</f>
        <v>#REF!</v>
      </c>
      <c r="C28" s="20" t="e">
        <f>+#REF!</f>
        <v>#REF!</v>
      </c>
      <c r="D28" s="24" t="s">
        <v>71</v>
      </c>
      <c r="E28" s="24"/>
      <c r="F28" s="24"/>
    </row>
    <row r="29" spans="1:6" ht="13.8">
      <c r="A29" s="25">
        <v>206</v>
      </c>
      <c r="B29" s="5" t="e">
        <f>+#REF!</f>
        <v>#REF!</v>
      </c>
      <c r="C29" s="20" t="e">
        <f>+#REF!</f>
        <v>#REF!</v>
      </c>
      <c r="D29" s="24" t="s">
        <v>72</v>
      </c>
      <c r="E29" s="24"/>
      <c r="F29" s="24"/>
    </row>
    <row r="30" spans="1:6" ht="13.8">
      <c r="A30" s="25"/>
      <c r="B30" s="5" t="e">
        <f>+#REF!</f>
        <v>#REF!</v>
      </c>
      <c r="C30" s="20" t="e">
        <f>+#REF!</f>
        <v>#REF!</v>
      </c>
      <c r="D30" s="24" t="s">
        <v>91</v>
      </c>
      <c r="E30" s="24"/>
      <c r="F30" s="24"/>
    </row>
    <row r="31" spans="1:6" ht="13.8">
      <c r="A31" s="25"/>
      <c r="B31" s="10" t="e">
        <f>+#REF!</f>
        <v>#REF!</v>
      </c>
      <c r="C31" s="20" t="e">
        <f>+#REF!</f>
        <v>#REF!</v>
      </c>
      <c r="D31" s="24"/>
      <c r="E31" s="24"/>
      <c r="F31" s="24"/>
    </row>
    <row r="32" spans="1:6" ht="13.8">
      <c r="A32" s="25">
        <v>157</v>
      </c>
      <c r="B32" s="5" t="e">
        <f>+#REF!</f>
        <v>#REF!</v>
      </c>
      <c r="C32" s="20" t="e">
        <f>+#REF!</f>
        <v>#REF!</v>
      </c>
      <c r="D32" s="24" t="s">
        <v>69</v>
      </c>
      <c r="E32" s="24"/>
      <c r="F32" s="24"/>
    </row>
    <row r="33" spans="1:6" ht="13.8">
      <c r="A33" s="25">
        <v>352</v>
      </c>
      <c r="B33" s="5" t="e">
        <f>+#REF!</f>
        <v>#REF!</v>
      </c>
      <c r="C33" s="20" t="e">
        <f>+#REF!</f>
        <v>#REF!</v>
      </c>
      <c r="D33" s="24"/>
      <c r="E33" s="24"/>
      <c r="F33" s="24"/>
    </row>
    <row r="34" spans="1:6" ht="13.8">
      <c r="A34" s="25">
        <v>165</v>
      </c>
      <c r="B34" s="5" t="e">
        <f>+#REF!</f>
        <v>#REF!</v>
      </c>
      <c r="C34" s="20" t="e">
        <f>+#REF!</f>
        <v>#REF!</v>
      </c>
      <c r="D34" s="24"/>
      <c r="E34" s="24"/>
      <c r="F34" s="24"/>
    </row>
    <row r="35" spans="1:6" ht="13.8">
      <c r="A35" s="25">
        <v>160</v>
      </c>
      <c r="B35" s="5" t="e">
        <f>+#REF!</f>
        <v>#REF!</v>
      </c>
      <c r="C35" s="20" t="e">
        <f>+#REF!</f>
        <v>#REF!</v>
      </c>
      <c r="D35" s="24"/>
      <c r="E35" s="24"/>
      <c r="F35" s="24"/>
    </row>
    <row r="36" spans="1:6" ht="27">
      <c r="A36" s="25">
        <v>351</v>
      </c>
      <c r="B36" s="5" t="e">
        <f>+#REF!</f>
        <v>#REF!</v>
      </c>
      <c r="C36" s="20" t="e">
        <f>+#REF!</f>
        <v>#REF!</v>
      </c>
      <c r="D36" s="24" t="s">
        <v>88</v>
      </c>
      <c r="E36" s="24" t="s">
        <v>81</v>
      </c>
      <c r="F36" s="24"/>
    </row>
    <row r="37" spans="1:6" ht="13.8">
      <c r="A37" s="25">
        <v>153</v>
      </c>
      <c r="B37" s="5" t="e">
        <f>+#REF!</f>
        <v>#REF!</v>
      </c>
      <c r="C37" s="20" t="e">
        <f>+#REF!</f>
        <v>#REF!</v>
      </c>
      <c r="D37" s="24"/>
      <c r="E37" s="24"/>
      <c r="F37" s="24"/>
    </row>
    <row r="38" spans="1:6" ht="13.8">
      <c r="A38" s="25">
        <v>161</v>
      </c>
      <c r="B38" s="5" t="e">
        <f>+#REF!</f>
        <v>#REF!</v>
      </c>
      <c r="C38" s="20" t="e">
        <f>+#REF!</f>
        <v>#REF!</v>
      </c>
      <c r="D38" s="24" t="s">
        <v>69</v>
      </c>
      <c r="E38" s="24"/>
      <c r="F38" s="24"/>
    </row>
    <row r="39" spans="1:6" ht="13.8">
      <c r="A39" s="25"/>
      <c r="B39" s="10" t="e">
        <f>+#REF!</f>
        <v>#REF!</v>
      </c>
      <c r="C39" s="20" t="e">
        <f>+#REF!</f>
        <v>#REF!</v>
      </c>
      <c r="D39" s="24" t="s">
        <v>73</v>
      </c>
      <c r="E39" s="24"/>
      <c r="F39" s="24"/>
    </row>
    <row r="40" spans="1:6" ht="13.8">
      <c r="A40" s="25">
        <v>697</v>
      </c>
      <c r="B40" s="5" t="e">
        <f>+#REF!</f>
        <v>#REF!</v>
      </c>
      <c r="C40" s="20" t="e">
        <f>+#REF!</f>
        <v>#REF!</v>
      </c>
      <c r="D40" s="24" t="s">
        <v>69</v>
      </c>
      <c r="E40" s="24" t="s">
        <v>82</v>
      </c>
      <c r="F40" s="24" t="s">
        <v>86</v>
      </c>
    </row>
    <row r="41" spans="1:6" ht="13.8">
      <c r="A41" s="26" t="s">
        <v>67</v>
      </c>
      <c r="B41" s="5" t="e">
        <f>+#REF!</f>
        <v>#REF!</v>
      </c>
      <c r="C41" s="20" t="e">
        <f>+#REF!</f>
        <v>#REF!</v>
      </c>
      <c r="D41" s="24" t="s">
        <v>69</v>
      </c>
      <c r="E41" s="24"/>
      <c r="F41" s="24"/>
    </row>
    <row r="42" spans="1:6" ht="13.8">
      <c r="A42" s="25">
        <v>657</v>
      </c>
      <c r="B42" s="5" t="e">
        <f>+#REF!</f>
        <v>#REF!</v>
      </c>
      <c r="C42" s="20" t="e">
        <f>+#REF!</f>
        <v>#REF!</v>
      </c>
      <c r="D42" s="24" t="s">
        <v>69</v>
      </c>
      <c r="E42" s="24"/>
      <c r="F42" s="24"/>
    </row>
    <row r="43" spans="1:6" ht="13.8">
      <c r="A43" s="25"/>
      <c r="B43" s="5" t="e">
        <f>+#REF!</f>
        <v>#REF!</v>
      </c>
      <c r="C43" s="20" t="e">
        <f>+#REF!</f>
        <v>#REF!</v>
      </c>
      <c r="D43" s="24"/>
      <c r="E43" s="24"/>
      <c r="F43" s="24"/>
    </row>
    <row r="44" spans="1:6" ht="13.8">
      <c r="A44" s="25"/>
      <c r="B44" s="10" t="e">
        <f>+#REF!</f>
        <v>#REF!</v>
      </c>
      <c r="C44" s="20" t="e">
        <f>+#REF!</f>
        <v>#REF!</v>
      </c>
      <c r="D44" s="24"/>
      <c r="E44" s="24"/>
      <c r="F44" s="24"/>
    </row>
    <row r="45" spans="1:6" ht="13.8">
      <c r="A45" s="25"/>
      <c r="B45" s="4" t="e">
        <f>+#REF!</f>
        <v>#REF!</v>
      </c>
      <c r="C45" s="20" t="e">
        <f>+#REF!</f>
        <v>#REF!</v>
      </c>
      <c r="D45" s="24"/>
      <c r="E45" s="24"/>
      <c r="F45" s="24"/>
    </row>
    <row r="46" spans="1:6" ht="27">
      <c r="A46" s="25"/>
      <c r="B46" s="5" t="e">
        <f>+#REF!</f>
        <v>#REF!</v>
      </c>
      <c r="C46" s="20" t="e">
        <f>+#REF!</f>
        <v>#REF!</v>
      </c>
      <c r="D46" s="24" t="s">
        <v>74</v>
      </c>
      <c r="E46" s="24" t="s">
        <v>83</v>
      </c>
      <c r="F46" s="24" t="s">
        <v>87</v>
      </c>
    </row>
    <row r="47" spans="1:6" ht="13.8">
      <c r="A47" s="25">
        <v>252</v>
      </c>
      <c r="B47" s="5" t="e">
        <f>+#REF!</f>
        <v>#REF!</v>
      </c>
      <c r="C47" s="20" t="e">
        <f>+#REF!</f>
        <v>#REF!</v>
      </c>
      <c r="D47" s="24" t="s">
        <v>75</v>
      </c>
      <c r="E47" s="24"/>
      <c r="F47" s="24"/>
    </row>
    <row r="48" spans="1:6" ht="13.8">
      <c r="A48" s="25"/>
      <c r="B48" s="10" t="e">
        <f>+#REF!</f>
        <v>#REF!</v>
      </c>
      <c r="C48" s="20" t="e">
        <f>+#REF!</f>
        <v>#REF!</v>
      </c>
      <c r="D48" s="24"/>
      <c r="E48" s="24"/>
      <c r="F48" s="24"/>
    </row>
    <row r="49" spans="1:6" ht="53.4">
      <c r="A49" s="27" t="s">
        <v>68</v>
      </c>
      <c r="B49" s="5" t="e">
        <f>+#REF!</f>
        <v>#REF!</v>
      </c>
      <c r="C49" s="20" t="e">
        <f>+#REF!</f>
        <v>#REF!</v>
      </c>
      <c r="D49" s="24" t="s">
        <v>76</v>
      </c>
      <c r="E49" s="24"/>
      <c r="F49" s="24"/>
    </row>
    <row r="50" spans="1:6" ht="13.8">
      <c r="A50" s="25"/>
      <c r="B50" s="5" t="e">
        <f>+#REF!</f>
        <v>#REF!</v>
      </c>
      <c r="C50" s="20" t="e">
        <f>+#REF!</f>
        <v>#REF!</v>
      </c>
      <c r="D50" s="24"/>
      <c r="E50" s="24"/>
      <c r="F50" s="24"/>
    </row>
    <row r="51" spans="1:6" ht="13.8">
      <c r="A51" s="25">
        <v>845</v>
      </c>
      <c r="B51" s="5" t="e">
        <f>+#REF!</f>
        <v>#REF!</v>
      </c>
      <c r="C51" s="20" t="e">
        <f>+#REF!</f>
        <v>#REF!</v>
      </c>
      <c r="D51" s="24"/>
      <c r="E51" s="24"/>
      <c r="F51" s="24"/>
    </row>
    <row r="52" spans="1:6" ht="13.8">
      <c r="A52" s="25">
        <v>810</v>
      </c>
      <c r="B52" s="5" t="e">
        <f>+#REF!</f>
        <v>#REF!</v>
      </c>
      <c r="C52" s="20" t="e">
        <f>+#REF!</f>
        <v>#REF!</v>
      </c>
      <c r="D52" s="24"/>
      <c r="E52" s="24"/>
      <c r="F52" s="24"/>
    </row>
    <row r="53" spans="1:6" ht="13.8">
      <c r="A53" s="25"/>
      <c r="B53" s="5" t="e">
        <f>+#REF!</f>
        <v>#REF!</v>
      </c>
      <c r="C53" s="20" t="e">
        <f>+#REF!</f>
        <v>#REF!</v>
      </c>
      <c r="D53" s="24"/>
      <c r="E53" s="24"/>
      <c r="F53" s="24"/>
    </row>
    <row r="54" spans="1:6" ht="13.8">
      <c r="A54" s="25"/>
      <c r="B54" s="10" t="e">
        <f>+#REF!</f>
        <v>#REF!</v>
      </c>
      <c r="C54" s="20" t="e">
        <f>+#REF!</f>
        <v>#REF!</v>
      </c>
      <c r="D54" s="24"/>
      <c r="E54" s="24"/>
      <c r="F54" s="24"/>
    </row>
    <row r="55" spans="1:6" ht="13.8">
      <c r="A55" s="25"/>
      <c r="B55" s="5" t="e">
        <f>+#REF!</f>
        <v>#REF!</v>
      </c>
      <c r="C55" s="20" t="e">
        <f>+#REF!</f>
        <v>#REF!</v>
      </c>
      <c r="D55" s="24" t="s">
        <v>77</v>
      </c>
      <c r="E55" s="24"/>
      <c r="F55" s="24"/>
    </row>
    <row r="56" spans="1:6" ht="13.8">
      <c r="A56" s="25"/>
      <c r="B56" s="5" t="e">
        <f>+#REF!</f>
        <v>#REF!</v>
      </c>
      <c r="C56" s="20" t="e">
        <f>+#REF!</f>
        <v>#REF!</v>
      </c>
      <c r="D56" s="24"/>
      <c r="E56" s="24"/>
      <c r="F56" s="24"/>
    </row>
    <row r="57" spans="1:6" ht="13.8">
      <c r="A57" s="25"/>
      <c r="B57" s="10" t="e">
        <f>+#REF!</f>
        <v>#REF!</v>
      </c>
      <c r="C57" s="20" t="e">
        <f>+#REF!</f>
        <v>#REF!</v>
      </c>
      <c r="D57" s="24"/>
      <c r="E57" s="24"/>
      <c r="F57" s="24"/>
    </row>
    <row r="58" spans="1:6" ht="13.8">
      <c r="A58" s="25"/>
      <c r="B58" s="7" t="e">
        <f>+#REF!</f>
        <v>#REF!</v>
      </c>
      <c r="C58" s="20" t="e">
        <f>+#REF!</f>
        <v>#REF!</v>
      </c>
      <c r="D58" s="24"/>
      <c r="E58" s="24"/>
      <c r="F58" s="24"/>
    </row>
    <row r="59" spans="1:6" ht="13.8">
      <c r="B59" s="1"/>
      <c r="C59" s="20"/>
      <c r="D59" s="24"/>
      <c r="E59" s="24"/>
      <c r="F59" s="24"/>
    </row>
    <row r="60" spans="1:6" ht="13.8">
      <c r="B60" s="1"/>
      <c r="C60" s="20"/>
      <c r="D60" s="24"/>
      <c r="E60" s="24"/>
      <c r="F60" s="24"/>
    </row>
    <row r="61" spans="1:6" ht="13.8">
      <c r="B61" s="4"/>
      <c r="F61" s="24"/>
    </row>
    <row r="62" spans="1:6" ht="13.8">
      <c r="B62" s="4"/>
      <c r="F62" s="24"/>
    </row>
    <row r="63" spans="1:6">
      <c r="B63" s="11" t="str">
        <f ca="1">CELL("FILENAME")</f>
        <v>O:\Enron Net Works\Accounting\2001 Plan\Deal Bench\[Deal Bench 2001 Plan.xls]Cash and Non-Cash</v>
      </c>
      <c r="F63" s="24"/>
    </row>
    <row r="64" spans="1:6">
      <c r="F64" s="24"/>
    </row>
    <row r="65" spans="6:6">
      <c r="F65" s="24"/>
    </row>
    <row r="66" spans="6:6">
      <c r="F66" s="24"/>
    </row>
    <row r="67" spans="6:6">
      <c r="F67" s="24"/>
    </row>
  </sheetData>
  <printOptions gridLines="1"/>
  <pageMargins left="0.2" right="0.22" top="0.35" bottom="0.2" header="0.5" footer="0.5"/>
  <pageSetup scale="58" orientation="landscape" verticalDpi="30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98"/>
  <sheetViews>
    <sheetView workbookViewId="0"/>
  </sheetViews>
  <sheetFormatPr defaultColWidth="10.6640625" defaultRowHeight="13.2"/>
  <cols>
    <col min="1" max="2" width="2.77734375" style="258" customWidth="1"/>
    <col min="3" max="3" width="64.77734375" style="258" customWidth="1"/>
    <col min="4" max="4" width="12.44140625" style="258" customWidth="1"/>
    <col min="5" max="5" width="13" style="258" customWidth="1"/>
    <col min="6" max="16" width="12.44140625" style="258" customWidth="1"/>
    <col min="17" max="16384" width="10.6640625" style="258"/>
  </cols>
  <sheetData>
    <row r="2" spans="1:16">
      <c r="A2" s="257" t="s">
        <v>422</v>
      </c>
      <c r="E2" s="259" t="s">
        <v>423</v>
      </c>
      <c r="F2" s="259"/>
      <c r="G2" s="259"/>
      <c r="H2" s="259"/>
      <c r="I2" s="259"/>
      <c r="J2" s="259"/>
    </row>
    <row r="3" spans="1:16" ht="12.75" customHeight="1">
      <c r="A3" s="260" t="s">
        <v>424</v>
      </c>
      <c r="E3" s="261" t="s">
        <v>425</v>
      </c>
      <c r="F3" s="259"/>
      <c r="G3" s="259"/>
      <c r="H3" s="259"/>
      <c r="I3" s="259"/>
      <c r="J3" s="259"/>
    </row>
    <row r="4" spans="1:16">
      <c r="A4" s="262" t="s">
        <v>426</v>
      </c>
      <c r="E4" s="259" t="s">
        <v>427</v>
      </c>
      <c r="F4" s="259"/>
      <c r="G4" s="259"/>
      <c r="H4" s="259"/>
      <c r="I4" s="259"/>
      <c r="J4" s="259"/>
    </row>
    <row r="5" spans="1:16">
      <c r="A5" s="263" t="s">
        <v>599</v>
      </c>
      <c r="B5" s="259"/>
      <c r="C5" s="259"/>
    </row>
    <row r="6" spans="1:16">
      <c r="A6" s="264" t="s">
        <v>428</v>
      </c>
    </row>
    <row r="7" spans="1:16">
      <c r="D7" s="265" t="s">
        <v>328</v>
      </c>
      <c r="E7" s="265" t="s">
        <v>329</v>
      </c>
      <c r="F7" s="265" t="s">
        <v>330</v>
      </c>
      <c r="G7" s="265" t="s">
        <v>331</v>
      </c>
      <c r="H7" s="265" t="s">
        <v>332</v>
      </c>
      <c r="I7" s="265" t="s">
        <v>333</v>
      </c>
      <c r="J7" s="265" t="s">
        <v>429</v>
      </c>
      <c r="K7" s="265" t="s">
        <v>334</v>
      </c>
      <c r="L7" s="265" t="s">
        <v>335</v>
      </c>
      <c r="M7" s="265" t="s">
        <v>339</v>
      </c>
      <c r="N7" s="265" t="s">
        <v>340</v>
      </c>
      <c r="O7" s="265" t="s">
        <v>336</v>
      </c>
      <c r="P7" s="265" t="s">
        <v>191</v>
      </c>
    </row>
    <row r="8" spans="1:16">
      <c r="A8" s="266" t="s">
        <v>430</v>
      </c>
      <c r="B8" s="267"/>
      <c r="C8" s="267"/>
    </row>
    <row r="9" spans="1:16">
      <c r="A9" s="268" t="s">
        <v>431</v>
      </c>
      <c r="B9" s="268"/>
      <c r="C9" s="268"/>
      <c r="D9" s="269">
        <f>ROUND(('Cash and Non-Cash'!D93)/1000,0)</f>
        <v>-381</v>
      </c>
      <c r="E9" s="269">
        <f>ROUND(('Cash and Non-Cash'!E93)/1000,0)</f>
        <v>-372</v>
      </c>
      <c r="F9" s="269">
        <f>ROUND(('Cash and Non-Cash'!F93)/1000,0)</f>
        <v>-372</v>
      </c>
      <c r="G9" s="269">
        <f>ROUND(('Cash and Non-Cash'!G93)/1000,0)</f>
        <v>-373</v>
      </c>
      <c r="H9" s="269">
        <f>ROUND(('Cash and Non-Cash'!H93)/1000,0)</f>
        <v>-377</v>
      </c>
      <c r="I9" s="269">
        <f>ROUND(('Cash and Non-Cash'!I93)/1000,0)</f>
        <v>-374</v>
      </c>
      <c r="J9" s="269">
        <f>ROUND(('Cash and Non-Cash'!J93)/1000,0)</f>
        <v>-374</v>
      </c>
      <c r="K9" s="269">
        <f>ROUND(('Cash and Non-Cash'!K93)/1000,0)</f>
        <v>-377</v>
      </c>
      <c r="L9" s="269">
        <f>ROUND(('Cash and Non-Cash'!L93)/1000,0)</f>
        <v>-374</v>
      </c>
      <c r="M9" s="269">
        <f>ROUND(('Cash and Non-Cash'!M93)/1000,0)</f>
        <v>-374</v>
      </c>
      <c r="N9" s="269">
        <f>ROUND(('Cash and Non-Cash'!N93)/1000,0)</f>
        <v>-374</v>
      </c>
      <c r="O9" s="269">
        <f>ROUND(('Cash and Non-Cash'!O93)/1000,0)</f>
        <v>-374</v>
      </c>
      <c r="P9" s="270">
        <f t="shared" ref="P9:P15" si="0">SUM(D9:O9)</f>
        <v>-4496</v>
      </c>
    </row>
    <row r="10" spans="1:16">
      <c r="A10" s="267" t="s">
        <v>432</v>
      </c>
      <c r="B10" s="267"/>
      <c r="C10" s="267"/>
      <c r="D10" s="271"/>
      <c r="E10" s="271"/>
      <c r="F10" s="271"/>
      <c r="G10" s="271"/>
      <c r="H10" s="271"/>
      <c r="I10" s="271"/>
      <c r="J10" s="271"/>
      <c r="K10" s="271"/>
      <c r="L10" s="271"/>
      <c r="M10" s="271"/>
      <c r="N10" s="271"/>
      <c r="O10" s="271"/>
      <c r="P10" s="270">
        <f t="shared" si="0"/>
        <v>0</v>
      </c>
    </row>
    <row r="11" spans="1:16">
      <c r="A11" s="267"/>
      <c r="B11" s="272" t="s">
        <v>433</v>
      </c>
      <c r="C11" s="267"/>
      <c r="D11" s="269">
        <f>ROUND(('Cash and Non-Cash'!D90+'Cash and Non-Cash'!D28)/1000,0)</f>
        <v>0</v>
      </c>
      <c r="E11" s="269">
        <f>ROUND(('Cash and Non-Cash'!E90+'Cash and Non-Cash'!E28)/1000,0)</f>
        <v>0</v>
      </c>
      <c r="F11" s="269">
        <f>ROUND(('Cash and Non-Cash'!F90+'Cash and Non-Cash'!F28)/1000,0)</f>
        <v>0</v>
      </c>
      <c r="G11" s="269">
        <f>ROUND(('Cash and Non-Cash'!G90+'Cash and Non-Cash'!G28)/1000,0)</f>
        <v>0</v>
      </c>
      <c r="H11" s="269">
        <f>ROUND(('Cash and Non-Cash'!H90+'Cash and Non-Cash'!H28)/1000,0)</f>
        <v>0</v>
      </c>
      <c r="I11" s="269">
        <f>ROUND(('Cash and Non-Cash'!I90+'Cash and Non-Cash'!I28)/1000,0)</f>
        <v>0</v>
      </c>
      <c r="J11" s="269">
        <f>ROUND(('Cash and Non-Cash'!J90+'Cash and Non-Cash'!J28)/1000,0)</f>
        <v>0</v>
      </c>
      <c r="K11" s="269">
        <f>ROUND(('Cash and Non-Cash'!K90+'Cash and Non-Cash'!K28)/1000,0)</f>
        <v>0</v>
      </c>
      <c r="L11" s="269">
        <f>ROUND(('Cash and Non-Cash'!L90+'Cash and Non-Cash'!L28)/1000,0)</f>
        <v>0</v>
      </c>
      <c r="M11" s="269">
        <f>ROUND(('Cash and Non-Cash'!M90+'Cash and Non-Cash'!M28)/1000,0)</f>
        <v>0</v>
      </c>
      <c r="N11" s="269">
        <f>ROUND(('Cash and Non-Cash'!N90+'Cash and Non-Cash'!N28)/1000,0)</f>
        <v>0</v>
      </c>
      <c r="O11" s="269">
        <f>ROUND(('Cash and Non-Cash'!O90+'Cash and Non-Cash'!O28)/1000,0)</f>
        <v>0</v>
      </c>
      <c r="P11" s="270">
        <f t="shared" si="0"/>
        <v>0</v>
      </c>
    </row>
    <row r="12" spans="1:16" hidden="1">
      <c r="A12" s="267"/>
      <c r="B12" s="273" t="s">
        <v>434</v>
      </c>
      <c r="C12" s="267"/>
      <c r="D12" s="271"/>
      <c r="P12" s="270">
        <f t="shared" si="0"/>
        <v>0</v>
      </c>
    </row>
    <row r="13" spans="1:16">
      <c r="A13" s="267"/>
      <c r="B13" s="274" t="s">
        <v>435</v>
      </c>
      <c r="C13" s="267"/>
      <c r="D13" s="271">
        <f>+'Schedule D - PRM Detail'!D21</f>
        <v>0</v>
      </c>
      <c r="E13" s="271">
        <f>+'Schedule D - PRM Detail'!E21</f>
        <v>0</v>
      </c>
      <c r="F13" s="271">
        <f>+'Schedule D - PRM Detail'!F21</f>
        <v>0</v>
      </c>
      <c r="G13" s="271">
        <f>+'Schedule D - PRM Detail'!G21</f>
        <v>0</v>
      </c>
      <c r="H13" s="271">
        <f>+'Schedule D - PRM Detail'!H21</f>
        <v>0</v>
      </c>
      <c r="I13" s="271">
        <f>+'Schedule D - PRM Detail'!I21</f>
        <v>0</v>
      </c>
      <c r="J13" s="271">
        <f>+'Schedule D - PRM Detail'!J21</f>
        <v>0</v>
      </c>
      <c r="K13" s="271">
        <f>+'Schedule D - PRM Detail'!K21</f>
        <v>0</v>
      </c>
      <c r="L13" s="271">
        <f>+'Schedule D - PRM Detail'!L21</f>
        <v>0</v>
      </c>
      <c r="M13" s="271">
        <f>+'Schedule D - PRM Detail'!M21</f>
        <v>0</v>
      </c>
      <c r="N13" s="271">
        <f>+'Schedule D - PRM Detail'!N21</f>
        <v>0</v>
      </c>
      <c r="O13" s="271">
        <f>+'Schedule D - PRM Detail'!O21</f>
        <v>0</v>
      </c>
      <c r="P13" s="270">
        <f t="shared" si="0"/>
        <v>0</v>
      </c>
    </row>
    <row r="14" spans="1:16" hidden="1">
      <c r="A14" s="267"/>
      <c r="B14" s="273" t="s">
        <v>436</v>
      </c>
      <c r="C14" s="267"/>
      <c r="P14" s="270">
        <f t="shared" si="0"/>
        <v>0</v>
      </c>
    </row>
    <row r="15" spans="1:16">
      <c r="A15" s="267"/>
      <c r="B15" s="267" t="s">
        <v>437</v>
      </c>
      <c r="C15" s="267"/>
      <c r="D15" s="275">
        <f>-ROUND(('Cash and Non-Cash'!D27)/1000,0)</f>
        <v>0</v>
      </c>
      <c r="E15" s="275">
        <f>-ROUND(('Cash and Non-Cash'!E27)/1000,0)</f>
        <v>0</v>
      </c>
      <c r="F15" s="275">
        <f>-ROUND(('Cash and Non-Cash'!F27)/1000,0)</f>
        <v>0</v>
      </c>
      <c r="G15" s="275">
        <f>-ROUND(('Cash and Non-Cash'!G27)/1000,0)</f>
        <v>0</v>
      </c>
      <c r="H15" s="275">
        <f>-ROUND(('Cash and Non-Cash'!H27)/1000,0)</f>
        <v>0</v>
      </c>
      <c r="I15" s="275">
        <f>-ROUND(('Cash and Non-Cash'!I27)/1000,0)</f>
        <v>0</v>
      </c>
      <c r="J15" s="275">
        <f>-ROUND(('Cash and Non-Cash'!J27)/1000,0)</f>
        <v>0</v>
      </c>
      <c r="K15" s="275">
        <f>-ROUND(('Cash and Non-Cash'!K27)/1000,0)</f>
        <v>0</v>
      </c>
      <c r="L15" s="275">
        <f>-ROUND(('Cash and Non-Cash'!L27)/1000,0)</f>
        <v>0</v>
      </c>
      <c r="M15" s="275">
        <f>-ROUND(('Cash and Non-Cash'!M27)/1000,0)</f>
        <v>0</v>
      </c>
      <c r="N15" s="275">
        <f>-ROUND(('Cash and Non-Cash'!N27)/1000,0)</f>
        <v>0</v>
      </c>
      <c r="O15" s="275">
        <f>-ROUND(('Cash and Non-Cash'!O27)/1000,0)</f>
        <v>0</v>
      </c>
      <c r="P15" s="276">
        <f t="shared" si="0"/>
        <v>0</v>
      </c>
    </row>
    <row r="16" spans="1:16">
      <c r="A16" s="267"/>
      <c r="B16" s="267"/>
      <c r="C16" s="267"/>
      <c r="P16" s="277"/>
    </row>
    <row r="17" spans="1:16">
      <c r="A17" s="266"/>
      <c r="B17" s="266"/>
      <c r="C17" s="266" t="s">
        <v>438</v>
      </c>
      <c r="D17" s="266">
        <f t="shared" ref="D17:P17" si="1">SUM(D9:D15)</f>
        <v>-381</v>
      </c>
      <c r="E17" s="266">
        <f t="shared" si="1"/>
        <v>-372</v>
      </c>
      <c r="F17" s="266">
        <f t="shared" si="1"/>
        <v>-372</v>
      </c>
      <c r="G17" s="266">
        <f t="shared" si="1"/>
        <v>-373</v>
      </c>
      <c r="H17" s="266">
        <f t="shared" si="1"/>
        <v>-377</v>
      </c>
      <c r="I17" s="266">
        <f t="shared" si="1"/>
        <v>-374</v>
      </c>
      <c r="J17" s="266">
        <f t="shared" si="1"/>
        <v>-374</v>
      </c>
      <c r="K17" s="266">
        <f t="shared" si="1"/>
        <v>-377</v>
      </c>
      <c r="L17" s="266">
        <f t="shared" si="1"/>
        <v>-374</v>
      </c>
      <c r="M17" s="266">
        <f t="shared" si="1"/>
        <v>-374</v>
      </c>
      <c r="N17" s="266">
        <f t="shared" si="1"/>
        <v>-374</v>
      </c>
      <c r="O17" s="266">
        <f t="shared" si="1"/>
        <v>-374</v>
      </c>
      <c r="P17" s="266">
        <f t="shared" si="1"/>
        <v>-4496</v>
      </c>
    </row>
    <row r="18" spans="1:16">
      <c r="A18" s="267"/>
      <c r="B18" s="267"/>
      <c r="C18" s="267"/>
      <c r="P18" s="277"/>
    </row>
    <row r="19" spans="1:16">
      <c r="A19" s="267"/>
      <c r="B19" s="274" t="s">
        <v>439</v>
      </c>
      <c r="C19" s="267"/>
      <c r="D19" s="271">
        <f>+'Schedule B - Investing'!D15</f>
        <v>0</v>
      </c>
      <c r="E19" s="271">
        <f>+'Schedule B - Investing'!E15</f>
        <v>0</v>
      </c>
      <c r="F19" s="271">
        <f>+'Schedule B - Investing'!F15</f>
        <v>0</v>
      </c>
      <c r="G19" s="271">
        <f>+'Schedule B - Investing'!G15</f>
        <v>0</v>
      </c>
      <c r="H19" s="271">
        <f>+'Schedule B - Investing'!H15</f>
        <v>0</v>
      </c>
      <c r="I19" s="271">
        <f>+'Schedule B - Investing'!I15</f>
        <v>0</v>
      </c>
      <c r="J19" s="271">
        <f>+'Schedule B - Investing'!J15</f>
        <v>0</v>
      </c>
      <c r="K19" s="271">
        <f>+'Schedule B - Investing'!K15</f>
        <v>0</v>
      </c>
      <c r="L19" s="271">
        <f>+'Schedule B - Investing'!L15</f>
        <v>0</v>
      </c>
      <c r="M19" s="271">
        <f>+'Schedule B - Investing'!M15</f>
        <v>0</v>
      </c>
      <c r="N19" s="271">
        <f>+'Schedule B - Investing'!N15</f>
        <v>0</v>
      </c>
      <c r="O19" s="271">
        <f>+'Schedule B - Investing'!O15</f>
        <v>0</v>
      </c>
      <c r="P19" s="270">
        <f>SUM(D19:O19)</f>
        <v>0</v>
      </c>
    </row>
    <row r="20" spans="1:16">
      <c r="A20" s="267"/>
      <c r="B20" s="267" t="s">
        <v>379</v>
      </c>
      <c r="C20" s="267"/>
      <c r="D20" s="278">
        <f>-ROUND(('Cash and Non-Cash'!D24)/1000,0)</f>
        <v>0</v>
      </c>
      <c r="E20" s="278">
        <f>-ROUND(('Cash and Non-Cash'!E24)/1000,0)</f>
        <v>0</v>
      </c>
      <c r="F20" s="278">
        <f>-ROUND(('Cash and Non-Cash'!F24)/1000,0)</f>
        <v>0</v>
      </c>
      <c r="G20" s="278">
        <f>-ROUND(('Cash and Non-Cash'!G24)/1000,0)</f>
        <v>0</v>
      </c>
      <c r="H20" s="278">
        <f>-ROUND(('Cash and Non-Cash'!H24)/1000,0)</f>
        <v>0</v>
      </c>
      <c r="I20" s="278">
        <f>-ROUND(('Cash and Non-Cash'!I24)/1000,0)</f>
        <v>0</v>
      </c>
      <c r="J20" s="278">
        <f>-ROUND(('Cash and Non-Cash'!J24)/1000,0)</f>
        <v>0</v>
      </c>
      <c r="K20" s="278">
        <f>-ROUND(('Cash and Non-Cash'!K24)/1000,0)</f>
        <v>0</v>
      </c>
      <c r="L20" s="278">
        <f>-ROUND(('Cash and Non-Cash'!L24)/1000,0)</f>
        <v>0</v>
      </c>
      <c r="M20" s="278">
        <f>-ROUND(('Cash and Non-Cash'!M24)/1000,0)</f>
        <v>0</v>
      </c>
      <c r="N20" s="278">
        <f>-ROUND(('Cash and Non-Cash'!N24)/1000,0)</f>
        <v>0</v>
      </c>
      <c r="O20" s="278">
        <f>-ROUND(('Cash and Non-Cash'!O24)/1000,0)</f>
        <v>0</v>
      </c>
      <c r="P20" s="270">
        <f>SUM(D20:O20)</f>
        <v>0</v>
      </c>
    </row>
    <row r="21" spans="1:16">
      <c r="A21" s="267"/>
      <c r="B21" s="267" t="s">
        <v>440</v>
      </c>
      <c r="C21" s="267"/>
      <c r="D21" s="279">
        <v>0</v>
      </c>
      <c r="E21" s="279">
        <v>0</v>
      </c>
      <c r="F21" s="279">
        <v>0</v>
      </c>
      <c r="G21" s="279">
        <v>0</v>
      </c>
      <c r="H21" s="279">
        <v>0</v>
      </c>
      <c r="I21" s="279">
        <v>0</v>
      </c>
      <c r="J21" s="279">
        <v>0</v>
      </c>
      <c r="K21" s="279">
        <v>0</v>
      </c>
      <c r="L21" s="279">
        <v>0</v>
      </c>
      <c r="M21" s="279">
        <v>0</v>
      </c>
      <c r="N21" s="279">
        <v>0</v>
      </c>
      <c r="O21" s="279">
        <v>0</v>
      </c>
      <c r="P21" s="270">
        <f>SUM(D21:O21)</f>
        <v>0</v>
      </c>
    </row>
    <row r="22" spans="1:16">
      <c r="A22" s="267"/>
      <c r="B22" s="267" t="s">
        <v>441</v>
      </c>
      <c r="C22" s="267"/>
      <c r="D22" s="280">
        <f>+'Schedule E - Other'!D18</f>
        <v>0</v>
      </c>
      <c r="E22" s="280">
        <f>+'Schedule E - Other'!E18</f>
        <v>0</v>
      </c>
      <c r="F22" s="280">
        <f>+'Schedule E - Other'!F18</f>
        <v>0</v>
      </c>
      <c r="G22" s="280">
        <f>+'Schedule E - Other'!G18</f>
        <v>0</v>
      </c>
      <c r="H22" s="280">
        <f>+'Schedule E - Other'!H18</f>
        <v>0</v>
      </c>
      <c r="I22" s="280">
        <f>+'Schedule E - Other'!I18</f>
        <v>0</v>
      </c>
      <c r="J22" s="280">
        <f>+'Schedule E - Other'!J18</f>
        <v>0</v>
      </c>
      <c r="K22" s="280">
        <f>+'Schedule E - Other'!K18</f>
        <v>0</v>
      </c>
      <c r="L22" s="280">
        <f>+'Schedule E - Other'!L18</f>
        <v>0</v>
      </c>
      <c r="M22" s="280">
        <f>+'Schedule E - Other'!M18</f>
        <v>0</v>
      </c>
      <c r="N22" s="280">
        <f>+'Schedule E - Other'!N18</f>
        <v>0</v>
      </c>
      <c r="O22" s="280">
        <f>+'Schedule E - Other'!O18</f>
        <v>0</v>
      </c>
      <c r="P22" s="276">
        <f>SUM(D22:O22)</f>
        <v>0</v>
      </c>
    </row>
    <row r="23" spans="1:16">
      <c r="A23" s="267"/>
      <c r="B23" s="267"/>
      <c r="C23" s="267"/>
      <c r="P23" s="277"/>
    </row>
    <row r="24" spans="1:16">
      <c r="A24" s="267"/>
      <c r="B24" s="267"/>
      <c r="C24" s="266" t="s">
        <v>442</v>
      </c>
      <c r="D24" s="266">
        <f t="shared" ref="D24:P24" si="2">SUM(D17:D23)</f>
        <v>-381</v>
      </c>
      <c r="E24" s="266">
        <f t="shared" si="2"/>
        <v>-372</v>
      </c>
      <c r="F24" s="266">
        <f t="shared" si="2"/>
        <v>-372</v>
      </c>
      <c r="G24" s="266">
        <f t="shared" si="2"/>
        <v>-373</v>
      </c>
      <c r="H24" s="266">
        <f t="shared" si="2"/>
        <v>-377</v>
      </c>
      <c r="I24" s="266">
        <f t="shared" si="2"/>
        <v>-374</v>
      </c>
      <c r="J24" s="266">
        <f t="shared" si="2"/>
        <v>-374</v>
      </c>
      <c r="K24" s="266">
        <f t="shared" si="2"/>
        <v>-377</v>
      </c>
      <c r="L24" s="266">
        <f t="shared" si="2"/>
        <v>-374</v>
      </c>
      <c r="M24" s="266">
        <f t="shared" si="2"/>
        <v>-374</v>
      </c>
      <c r="N24" s="266">
        <f t="shared" si="2"/>
        <v>-374</v>
      </c>
      <c r="O24" s="266">
        <f t="shared" si="2"/>
        <v>-374</v>
      </c>
      <c r="P24" s="266">
        <f t="shared" si="2"/>
        <v>-4496</v>
      </c>
    </row>
    <row r="25" spans="1:16">
      <c r="A25" s="267"/>
      <c r="B25" s="267"/>
      <c r="C25" s="267"/>
      <c r="P25" s="277"/>
    </row>
    <row r="26" spans="1:16">
      <c r="A26" s="267" t="s">
        <v>443</v>
      </c>
      <c r="B26" s="267"/>
      <c r="C26" s="267"/>
      <c r="P26" s="277"/>
    </row>
    <row r="27" spans="1:16" hidden="1">
      <c r="A27" s="267"/>
      <c r="B27" s="273" t="s">
        <v>444</v>
      </c>
      <c r="C27" s="267"/>
      <c r="D27" s="279">
        <v>0</v>
      </c>
      <c r="E27" s="279">
        <v>0</v>
      </c>
      <c r="F27" s="279">
        <v>0</v>
      </c>
      <c r="G27" s="279">
        <v>0</v>
      </c>
      <c r="H27" s="279">
        <v>0</v>
      </c>
      <c r="I27" s="279">
        <v>0</v>
      </c>
      <c r="J27" s="279">
        <v>0</v>
      </c>
      <c r="K27" s="279">
        <v>0</v>
      </c>
      <c r="L27" s="279">
        <v>0</v>
      </c>
      <c r="M27" s="279">
        <v>0</v>
      </c>
      <c r="N27" s="279">
        <v>0</v>
      </c>
      <c r="O27" s="279">
        <v>0</v>
      </c>
      <c r="P27" s="270">
        <f t="shared" ref="P27:P34" si="3">SUM(D27:O27)</f>
        <v>0</v>
      </c>
    </row>
    <row r="28" spans="1:16">
      <c r="A28" s="267"/>
      <c r="B28" s="272" t="s">
        <v>445</v>
      </c>
      <c r="C28" s="281"/>
      <c r="D28" s="279">
        <v>0</v>
      </c>
      <c r="E28" s="279">
        <v>0</v>
      </c>
      <c r="F28" s="279">
        <v>0</v>
      </c>
      <c r="G28" s="279">
        <v>0</v>
      </c>
      <c r="H28" s="279">
        <v>0</v>
      </c>
      <c r="I28" s="279">
        <v>0</v>
      </c>
      <c r="J28" s="279">
        <v>0</v>
      </c>
      <c r="K28" s="279">
        <v>0</v>
      </c>
      <c r="L28" s="279">
        <v>0</v>
      </c>
      <c r="M28" s="279">
        <v>0</v>
      </c>
      <c r="N28" s="279">
        <v>0</v>
      </c>
      <c r="O28" s="279">
        <v>0</v>
      </c>
      <c r="P28" s="270">
        <f t="shared" si="3"/>
        <v>0</v>
      </c>
    </row>
    <row r="29" spans="1:16">
      <c r="A29" s="267"/>
      <c r="B29" s="267" t="s">
        <v>446</v>
      </c>
      <c r="C29" s="267"/>
      <c r="D29" s="279">
        <v>0</v>
      </c>
      <c r="E29" s="279">
        <v>0</v>
      </c>
      <c r="F29" s="279">
        <v>0</v>
      </c>
      <c r="G29" s="279">
        <v>0</v>
      </c>
      <c r="H29" s="279">
        <v>0</v>
      </c>
      <c r="I29" s="279">
        <v>0</v>
      </c>
      <c r="J29" s="279">
        <v>0</v>
      </c>
      <c r="K29" s="279">
        <v>0</v>
      </c>
      <c r="L29" s="279">
        <v>0</v>
      </c>
      <c r="M29" s="279">
        <v>0</v>
      </c>
      <c r="N29" s="279">
        <v>0</v>
      </c>
      <c r="O29" s="279">
        <v>0</v>
      </c>
      <c r="P29" s="270">
        <f t="shared" si="3"/>
        <v>0</v>
      </c>
    </row>
    <row r="30" spans="1:16">
      <c r="A30" s="267"/>
      <c r="B30" s="267" t="s">
        <v>447</v>
      </c>
      <c r="C30" s="267"/>
      <c r="D30" s="279">
        <v>0</v>
      </c>
      <c r="E30" s="279">
        <v>0</v>
      </c>
      <c r="F30" s="279">
        <v>0</v>
      </c>
      <c r="G30" s="279">
        <v>0</v>
      </c>
      <c r="H30" s="279">
        <v>0</v>
      </c>
      <c r="I30" s="279">
        <v>0</v>
      </c>
      <c r="J30" s="279">
        <v>0</v>
      </c>
      <c r="K30" s="279">
        <v>0</v>
      </c>
      <c r="L30" s="279">
        <v>0</v>
      </c>
      <c r="M30" s="279">
        <v>0</v>
      </c>
      <c r="N30" s="279">
        <v>0</v>
      </c>
      <c r="O30" s="279">
        <v>0</v>
      </c>
      <c r="P30" s="270">
        <f t="shared" si="3"/>
        <v>0</v>
      </c>
    </row>
    <row r="31" spans="1:16" hidden="1">
      <c r="A31" s="267"/>
      <c r="B31" s="273" t="s">
        <v>448</v>
      </c>
      <c r="C31" s="267"/>
      <c r="D31" s="279">
        <v>0</v>
      </c>
      <c r="E31" s="279">
        <v>0</v>
      </c>
      <c r="F31" s="279">
        <v>0</v>
      </c>
      <c r="G31" s="279">
        <v>0</v>
      </c>
      <c r="H31" s="279">
        <v>0</v>
      </c>
      <c r="I31" s="279">
        <v>0</v>
      </c>
      <c r="J31" s="279">
        <v>0</v>
      </c>
      <c r="K31" s="279">
        <v>0</v>
      </c>
      <c r="L31" s="279">
        <v>0</v>
      </c>
      <c r="M31" s="279">
        <v>0</v>
      </c>
      <c r="N31" s="279">
        <v>0</v>
      </c>
      <c r="O31" s="279">
        <v>0</v>
      </c>
      <c r="P31" s="270">
        <f t="shared" si="3"/>
        <v>0</v>
      </c>
    </row>
    <row r="32" spans="1:16">
      <c r="A32" s="267"/>
      <c r="B32" s="272" t="s">
        <v>449</v>
      </c>
      <c r="C32" s="267"/>
      <c r="D32" s="279">
        <v>0</v>
      </c>
      <c r="E32" s="279">
        <v>0</v>
      </c>
      <c r="F32" s="279">
        <v>0</v>
      </c>
      <c r="G32" s="279">
        <v>0</v>
      </c>
      <c r="H32" s="279">
        <v>0</v>
      </c>
      <c r="I32" s="279">
        <v>0</v>
      </c>
      <c r="J32" s="279">
        <v>0</v>
      </c>
      <c r="K32" s="279">
        <v>0</v>
      </c>
      <c r="L32" s="279">
        <v>0</v>
      </c>
      <c r="M32" s="279">
        <v>0</v>
      </c>
      <c r="N32" s="279">
        <v>0</v>
      </c>
      <c r="O32" s="279">
        <v>0</v>
      </c>
      <c r="P32" s="270">
        <f t="shared" si="3"/>
        <v>0</v>
      </c>
    </row>
    <row r="33" spans="1:16">
      <c r="A33" s="267"/>
      <c r="B33" s="267" t="s">
        <v>450</v>
      </c>
      <c r="C33" s="267"/>
      <c r="D33" s="279">
        <v>0</v>
      </c>
      <c r="E33" s="279">
        <v>0</v>
      </c>
      <c r="F33" s="279">
        <v>0</v>
      </c>
      <c r="G33" s="279">
        <v>0</v>
      </c>
      <c r="H33" s="279">
        <v>0</v>
      </c>
      <c r="I33" s="279">
        <v>0</v>
      </c>
      <c r="J33" s="279">
        <v>0</v>
      </c>
      <c r="K33" s="279">
        <v>0</v>
      </c>
      <c r="L33" s="279">
        <v>0</v>
      </c>
      <c r="M33" s="279">
        <v>0</v>
      </c>
      <c r="N33" s="279">
        <v>0</v>
      </c>
      <c r="O33" s="279">
        <v>0</v>
      </c>
      <c r="P33" s="270">
        <f t="shared" si="3"/>
        <v>0</v>
      </c>
    </row>
    <row r="34" spans="1:16">
      <c r="A34" s="267"/>
      <c r="B34" s="267" t="s">
        <v>451</v>
      </c>
      <c r="C34" s="267"/>
      <c r="D34" s="282">
        <f>+'Schedule E - Other'!D32</f>
        <v>0</v>
      </c>
      <c r="E34" s="282">
        <f>+'Schedule E - Other'!E32</f>
        <v>0</v>
      </c>
      <c r="F34" s="282">
        <f>+'Schedule E - Other'!F32</f>
        <v>0</v>
      </c>
      <c r="G34" s="282">
        <f>+'Schedule E - Other'!G32</f>
        <v>0</v>
      </c>
      <c r="H34" s="282">
        <f>+'Schedule E - Other'!H32</f>
        <v>0</v>
      </c>
      <c r="I34" s="282">
        <f>+'Schedule E - Other'!I32</f>
        <v>0</v>
      </c>
      <c r="J34" s="282">
        <f>+'Schedule E - Other'!J32</f>
        <v>0</v>
      </c>
      <c r="K34" s="282">
        <f>+'Schedule E - Other'!K32</f>
        <v>0</v>
      </c>
      <c r="L34" s="282">
        <f>+'Schedule E - Other'!L32</f>
        <v>0</v>
      </c>
      <c r="M34" s="282">
        <f>+'Schedule E - Other'!M32</f>
        <v>0</v>
      </c>
      <c r="N34" s="282">
        <f>+'Schedule E - Other'!N32</f>
        <v>0</v>
      </c>
      <c r="O34" s="282">
        <f>+'Schedule E - Other'!O32</f>
        <v>0</v>
      </c>
      <c r="P34" s="276">
        <f t="shared" si="3"/>
        <v>0</v>
      </c>
    </row>
    <row r="35" spans="1:16">
      <c r="A35" s="267"/>
      <c r="B35" s="267"/>
      <c r="C35" s="267"/>
      <c r="P35" s="277"/>
    </row>
    <row r="36" spans="1:16">
      <c r="A36" s="266"/>
      <c r="B36" s="266" t="s">
        <v>452</v>
      </c>
      <c r="C36" s="267"/>
      <c r="D36" s="283">
        <f t="shared" ref="D36:P36" si="4">SUM(D27:D35)</f>
        <v>0</v>
      </c>
      <c r="E36" s="283">
        <f t="shared" si="4"/>
        <v>0</v>
      </c>
      <c r="F36" s="283">
        <f t="shared" si="4"/>
        <v>0</v>
      </c>
      <c r="G36" s="283">
        <f t="shared" si="4"/>
        <v>0</v>
      </c>
      <c r="H36" s="283">
        <f t="shared" si="4"/>
        <v>0</v>
      </c>
      <c r="I36" s="283">
        <f t="shared" si="4"/>
        <v>0</v>
      </c>
      <c r="J36" s="283">
        <f t="shared" si="4"/>
        <v>0</v>
      </c>
      <c r="K36" s="283">
        <f t="shared" si="4"/>
        <v>0</v>
      </c>
      <c r="L36" s="283">
        <f t="shared" si="4"/>
        <v>0</v>
      </c>
      <c r="M36" s="283">
        <f t="shared" si="4"/>
        <v>0</v>
      </c>
      <c r="N36" s="283">
        <f t="shared" si="4"/>
        <v>0</v>
      </c>
      <c r="O36" s="283">
        <f t="shared" si="4"/>
        <v>0</v>
      </c>
      <c r="P36" s="283">
        <f t="shared" si="4"/>
        <v>0</v>
      </c>
    </row>
    <row r="37" spans="1:16">
      <c r="A37" s="266"/>
      <c r="B37" s="267"/>
      <c r="C37" s="266"/>
      <c r="P37" s="277"/>
    </row>
    <row r="38" spans="1:16">
      <c r="A38" s="266" t="s">
        <v>453</v>
      </c>
      <c r="B38" s="267"/>
      <c r="C38" s="267"/>
      <c r="D38" s="268">
        <f t="shared" ref="D38:P38" si="5">D24+D36</f>
        <v>-381</v>
      </c>
      <c r="E38" s="268">
        <f t="shared" si="5"/>
        <v>-372</v>
      </c>
      <c r="F38" s="268">
        <f t="shared" si="5"/>
        <v>-372</v>
      </c>
      <c r="G38" s="268">
        <f t="shared" si="5"/>
        <v>-373</v>
      </c>
      <c r="H38" s="268">
        <f t="shared" si="5"/>
        <v>-377</v>
      </c>
      <c r="I38" s="268">
        <f t="shared" si="5"/>
        <v>-374</v>
      </c>
      <c r="J38" s="268">
        <f t="shared" si="5"/>
        <v>-374</v>
      </c>
      <c r="K38" s="268">
        <f t="shared" si="5"/>
        <v>-377</v>
      </c>
      <c r="L38" s="268">
        <f t="shared" si="5"/>
        <v>-374</v>
      </c>
      <c r="M38" s="268">
        <f t="shared" si="5"/>
        <v>-374</v>
      </c>
      <c r="N38" s="268">
        <f t="shared" si="5"/>
        <v>-374</v>
      </c>
      <c r="O38" s="268">
        <f t="shared" si="5"/>
        <v>-374</v>
      </c>
      <c r="P38" s="268">
        <f t="shared" si="5"/>
        <v>-4496</v>
      </c>
    </row>
    <row r="39" spans="1:16">
      <c r="A39" s="267"/>
      <c r="B39" s="267"/>
      <c r="C39" s="267"/>
      <c r="P39" s="277"/>
    </row>
    <row r="40" spans="1:16">
      <c r="A40" s="267" t="s">
        <v>454</v>
      </c>
      <c r="B40" s="267"/>
      <c r="C40" s="267"/>
      <c r="P40" s="277"/>
    </row>
    <row r="41" spans="1:16">
      <c r="A41" s="267"/>
      <c r="B41" s="267" t="s">
        <v>605</v>
      </c>
      <c r="C41" s="266"/>
      <c r="D41" s="279">
        <v>0</v>
      </c>
      <c r="E41" s="279">
        <v>0</v>
      </c>
      <c r="F41" s="279">
        <v>0</v>
      </c>
      <c r="G41" s="279">
        <v>0</v>
      </c>
      <c r="H41" s="279">
        <v>0</v>
      </c>
      <c r="I41" s="279">
        <v>0</v>
      </c>
      <c r="J41" s="279">
        <v>0</v>
      </c>
      <c r="K41" s="279">
        <v>0</v>
      </c>
      <c r="L41" s="279">
        <v>0</v>
      </c>
      <c r="M41" s="279">
        <v>0</v>
      </c>
      <c r="N41" s="279">
        <v>0</v>
      </c>
      <c r="O41" s="279">
        <v>0</v>
      </c>
      <c r="P41" s="270">
        <f t="shared" ref="P41:P46" si="6">SUM(D41:O41)</f>
        <v>0</v>
      </c>
    </row>
    <row r="42" spans="1:16">
      <c r="A42" s="267"/>
      <c r="B42" s="267" t="s">
        <v>455</v>
      </c>
      <c r="C42" s="267"/>
      <c r="D42" s="284">
        <f>+'Schedule A - Capital Exp Detail'!D28</f>
        <v>0</v>
      </c>
      <c r="E42" s="284">
        <f>+'Schedule A - Capital Exp Detail'!E28</f>
        <v>0</v>
      </c>
      <c r="F42" s="284">
        <f>+'Schedule A - Capital Exp Detail'!F28</f>
        <v>500</v>
      </c>
      <c r="G42" s="284">
        <f>+'Schedule A - Capital Exp Detail'!G28</f>
        <v>0</v>
      </c>
      <c r="H42" s="284">
        <f>+'Schedule A - Capital Exp Detail'!H28</f>
        <v>250</v>
      </c>
      <c r="I42" s="284">
        <f>+'Schedule A - Capital Exp Detail'!I28</f>
        <v>0</v>
      </c>
      <c r="J42" s="284">
        <f>+'Schedule A - Capital Exp Detail'!J28</f>
        <v>0</v>
      </c>
      <c r="K42" s="284">
        <f>+'Schedule A - Capital Exp Detail'!K28</f>
        <v>0</v>
      </c>
      <c r="L42" s="284">
        <f>+'Schedule A - Capital Exp Detail'!L28</f>
        <v>0</v>
      </c>
      <c r="M42" s="284">
        <f>+'Schedule A - Capital Exp Detail'!M28</f>
        <v>0</v>
      </c>
      <c r="N42" s="284">
        <f>+'Schedule A - Capital Exp Detail'!N28</f>
        <v>0</v>
      </c>
      <c r="O42" s="284">
        <f>+'Schedule A - Capital Exp Detail'!O28</f>
        <v>0</v>
      </c>
      <c r="P42" s="270">
        <f t="shared" si="6"/>
        <v>750</v>
      </c>
    </row>
    <row r="43" spans="1:16">
      <c r="A43" s="267"/>
      <c r="B43" s="267" t="s">
        <v>606</v>
      </c>
      <c r="C43" s="267"/>
      <c r="D43" s="284">
        <f>+'Schedule B - Investing'!D20</f>
        <v>0</v>
      </c>
      <c r="E43" s="284">
        <f>+'Schedule B - Investing'!E20</f>
        <v>0</v>
      </c>
      <c r="F43" s="284">
        <f>+'Schedule B - Investing'!F20</f>
        <v>0</v>
      </c>
      <c r="G43" s="284">
        <f>+'Schedule B - Investing'!G20</f>
        <v>0</v>
      </c>
      <c r="H43" s="284">
        <f>+'Schedule B - Investing'!H20</f>
        <v>0</v>
      </c>
      <c r="I43" s="284">
        <f>+'Schedule B - Investing'!I20</f>
        <v>0</v>
      </c>
      <c r="J43" s="284">
        <f>+'Schedule B - Investing'!J20</f>
        <v>0</v>
      </c>
      <c r="K43" s="284">
        <f>+'Schedule B - Investing'!K20</f>
        <v>0</v>
      </c>
      <c r="L43" s="284">
        <f>+'Schedule B - Investing'!L20</f>
        <v>0</v>
      </c>
      <c r="M43" s="284">
        <f>+'Schedule B - Investing'!M20</f>
        <v>0</v>
      </c>
      <c r="N43" s="284">
        <f>+'Schedule B - Investing'!N20</f>
        <v>0</v>
      </c>
      <c r="O43" s="284">
        <f>+'Schedule B - Investing'!O20</f>
        <v>0</v>
      </c>
      <c r="P43" s="270">
        <f t="shared" si="6"/>
        <v>0</v>
      </c>
    </row>
    <row r="44" spans="1:16" hidden="1">
      <c r="A44" s="267"/>
      <c r="B44" s="273" t="s">
        <v>456</v>
      </c>
      <c r="C44" s="267"/>
      <c r="D44" s="284">
        <f>+'Schedule B - Investing'!D25</f>
        <v>0</v>
      </c>
      <c r="E44" s="284">
        <f>+'Schedule B - Investing'!E25</f>
        <v>0</v>
      </c>
      <c r="F44" s="284">
        <f>+'Schedule B - Investing'!F25</f>
        <v>0</v>
      </c>
      <c r="G44" s="284">
        <f>+'Schedule B - Investing'!G25</f>
        <v>0</v>
      </c>
      <c r="H44" s="284">
        <f>+'Schedule B - Investing'!H25</f>
        <v>0</v>
      </c>
      <c r="I44" s="284">
        <f>+'Schedule B - Investing'!I25</f>
        <v>0</v>
      </c>
      <c r="J44" s="284">
        <f>+'Schedule B - Investing'!J25</f>
        <v>0</v>
      </c>
      <c r="K44" s="284">
        <f>+'Schedule B - Investing'!K25</f>
        <v>0</v>
      </c>
      <c r="L44" s="284">
        <f>+'Schedule B - Investing'!L25</f>
        <v>0</v>
      </c>
      <c r="M44" s="284">
        <f>+'Schedule B - Investing'!M25</f>
        <v>0</v>
      </c>
      <c r="N44" s="284">
        <f>+'Schedule B - Investing'!N25</f>
        <v>0</v>
      </c>
      <c r="O44" s="284">
        <f>+'Schedule B - Investing'!O25</f>
        <v>0</v>
      </c>
      <c r="P44" s="270">
        <f t="shared" si="6"/>
        <v>0</v>
      </c>
    </row>
    <row r="45" spans="1:16" hidden="1">
      <c r="A45" s="267"/>
      <c r="B45" s="273" t="s">
        <v>457</v>
      </c>
      <c r="C45" s="267"/>
      <c r="D45" s="284">
        <f>+'Schedule B - Investing'!D30</f>
        <v>0</v>
      </c>
      <c r="E45" s="284">
        <f>+'Schedule B - Investing'!E30</f>
        <v>0</v>
      </c>
      <c r="F45" s="284">
        <f>+'Schedule B - Investing'!F30</f>
        <v>0</v>
      </c>
      <c r="G45" s="284">
        <f>+'Schedule B - Investing'!G30</f>
        <v>0</v>
      </c>
      <c r="H45" s="284">
        <f>+'Schedule B - Investing'!H30</f>
        <v>0</v>
      </c>
      <c r="I45" s="284">
        <f>+'Schedule B - Investing'!I30</f>
        <v>0</v>
      </c>
      <c r="J45" s="284">
        <f>+'Schedule B - Investing'!J30</f>
        <v>0</v>
      </c>
      <c r="K45" s="284">
        <f>+'Schedule B - Investing'!K30</f>
        <v>0</v>
      </c>
      <c r="L45" s="284">
        <f>+'Schedule B - Investing'!L30</f>
        <v>0</v>
      </c>
      <c r="M45" s="284">
        <f>+'Schedule B - Investing'!M30</f>
        <v>0</v>
      </c>
      <c r="N45" s="284">
        <f>+'Schedule B - Investing'!N30</f>
        <v>0</v>
      </c>
      <c r="O45" s="284">
        <f>+'Schedule B - Investing'!O30</f>
        <v>0</v>
      </c>
      <c r="P45" s="270">
        <f t="shared" si="6"/>
        <v>0</v>
      </c>
    </row>
    <row r="46" spans="1:16">
      <c r="A46" s="267"/>
      <c r="B46" s="267" t="s">
        <v>458</v>
      </c>
      <c r="C46" s="267"/>
      <c r="D46" s="282">
        <f>+'Schedule B - Investing'!D35</f>
        <v>0</v>
      </c>
      <c r="E46" s="282">
        <f>+'Schedule B - Investing'!E35</f>
        <v>0</v>
      </c>
      <c r="F46" s="282">
        <f>+'Schedule B - Investing'!F35</f>
        <v>0</v>
      </c>
      <c r="G46" s="282">
        <f>+'Schedule B - Investing'!G35</f>
        <v>0</v>
      </c>
      <c r="H46" s="282">
        <f>+'Schedule B - Investing'!H35</f>
        <v>0</v>
      </c>
      <c r="I46" s="282">
        <f>+'Schedule B - Investing'!I35</f>
        <v>0</v>
      </c>
      <c r="J46" s="282">
        <f>+'Schedule B - Investing'!J35</f>
        <v>0</v>
      </c>
      <c r="K46" s="282">
        <f>+'Schedule B - Investing'!K35</f>
        <v>0</v>
      </c>
      <c r="L46" s="282">
        <f>+'Schedule B - Investing'!L35</f>
        <v>0</v>
      </c>
      <c r="M46" s="282">
        <f>+'Schedule B - Investing'!M35</f>
        <v>0</v>
      </c>
      <c r="N46" s="282">
        <f>+'Schedule B - Investing'!N35</f>
        <v>0</v>
      </c>
      <c r="O46" s="282">
        <f>+'Schedule B - Investing'!O35</f>
        <v>0</v>
      </c>
      <c r="P46" s="276">
        <f t="shared" si="6"/>
        <v>0</v>
      </c>
    </row>
    <row r="47" spans="1:16">
      <c r="A47" s="267"/>
      <c r="B47" s="267"/>
      <c r="C47" s="267"/>
      <c r="P47" s="277"/>
    </row>
    <row r="48" spans="1:16">
      <c r="A48" s="267"/>
      <c r="B48" s="267" t="s">
        <v>454</v>
      </c>
      <c r="C48" s="267"/>
      <c r="D48" s="285">
        <f t="shared" ref="D48:P48" si="7">SUM(D41:D46)</f>
        <v>0</v>
      </c>
      <c r="E48" s="285">
        <f t="shared" si="7"/>
        <v>0</v>
      </c>
      <c r="F48" s="285">
        <f t="shared" si="7"/>
        <v>500</v>
      </c>
      <c r="G48" s="285">
        <f t="shared" si="7"/>
        <v>0</v>
      </c>
      <c r="H48" s="285">
        <f t="shared" si="7"/>
        <v>250</v>
      </c>
      <c r="I48" s="285">
        <f t="shared" si="7"/>
        <v>0</v>
      </c>
      <c r="J48" s="285">
        <f t="shared" si="7"/>
        <v>0</v>
      </c>
      <c r="K48" s="285">
        <f t="shared" si="7"/>
        <v>0</v>
      </c>
      <c r="L48" s="285">
        <f t="shared" si="7"/>
        <v>0</v>
      </c>
      <c r="M48" s="285">
        <f t="shared" si="7"/>
        <v>0</v>
      </c>
      <c r="N48" s="285">
        <f t="shared" si="7"/>
        <v>0</v>
      </c>
      <c r="O48" s="285">
        <f t="shared" si="7"/>
        <v>0</v>
      </c>
      <c r="P48" s="285">
        <f t="shared" si="7"/>
        <v>750</v>
      </c>
    </row>
    <row r="49" spans="1:16">
      <c r="A49" s="267"/>
      <c r="B49" s="267"/>
      <c r="C49" s="267"/>
      <c r="P49" s="277"/>
    </row>
    <row r="50" spans="1:16">
      <c r="A50" s="266" t="s">
        <v>459</v>
      </c>
      <c r="B50" s="266"/>
      <c r="C50" s="266"/>
      <c r="D50" s="266">
        <f t="shared" ref="D50:P50" si="8">D38+D48</f>
        <v>-381</v>
      </c>
      <c r="E50" s="266">
        <f t="shared" si="8"/>
        <v>-372</v>
      </c>
      <c r="F50" s="266">
        <f t="shared" si="8"/>
        <v>128</v>
      </c>
      <c r="G50" s="266">
        <f t="shared" si="8"/>
        <v>-373</v>
      </c>
      <c r="H50" s="266">
        <f t="shared" si="8"/>
        <v>-127</v>
      </c>
      <c r="I50" s="266">
        <f t="shared" si="8"/>
        <v>-374</v>
      </c>
      <c r="J50" s="266">
        <f t="shared" si="8"/>
        <v>-374</v>
      </c>
      <c r="K50" s="266">
        <f t="shared" si="8"/>
        <v>-377</v>
      </c>
      <c r="L50" s="266">
        <f t="shared" si="8"/>
        <v>-374</v>
      </c>
      <c r="M50" s="266">
        <f t="shared" si="8"/>
        <v>-374</v>
      </c>
      <c r="N50" s="266">
        <f t="shared" si="8"/>
        <v>-374</v>
      </c>
      <c r="O50" s="266">
        <f t="shared" si="8"/>
        <v>-374</v>
      </c>
      <c r="P50" s="266">
        <f t="shared" si="8"/>
        <v>-3746</v>
      </c>
    </row>
    <row r="51" spans="1:16">
      <c r="A51" s="267"/>
      <c r="B51" s="267"/>
      <c r="C51" s="267"/>
      <c r="P51" s="277"/>
    </row>
    <row r="52" spans="1:16">
      <c r="A52" s="267" t="s">
        <v>460</v>
      </c>
      <c r="B52" s="267"/>
      <c r="C52" s="267"/>
      <c r="P52" s="277"/>
    </row>
    <row r="53" spans="1:16">
      <c r="A53" s="267"/>
      <c r="B53" s="274" t="s">
        <v>461</v>
      </c>
      <c r="C53" s="266"/>
      <c r="D53" s="279">
        <v>0</v>
      </c>
      <c r="E53" s="279">
        <v>0</v>
      </c>
      <c r="F53" s="279">
        <v>0</v>
      </c>
      <c r="G53" s="279">
        <v>0</v>
      </c>
      <c r="H53" s="279">
        <v>0</v>
      </c>
      <c r="I53" s="279">
        <v>0</v>
      </c>
      <c r="J53" s="279">
        <v>0</v>
      </c>
      <c r="K53" s="279">
        <v>0</v>
      </c>
      <c r="L53" s="279">
        <v>0</v>
      </c>
      <c r="M53" s="279">
        <v>0</v>
      </c>
      <c r="N53" s="279">
        <v>0</v>
      </c>
      <c r="O53" s="279">
        <v>0</v>
      </c>
      <c r="P53" s="270">
        <f t="shared" ref="P53:P59" si="9">SUM(D53:O53)</f>
        <v>0</v>
      </c>
    </row>
    <row r="54" spans="1:16" hidden="1">
      <c r="A54" s="267"/>
      <c r="B54" s="273" t="s">
        <v>462</v>
      </c>
      <c r="C54" s="266"/>
      <c r="D54" s="279">
        <v>0</v>
      </c>
      <c r="E54" s="279">
        <v>0</v>
      </c>
      <c r="F54" s="279">
        <v>0</v>
      </c>
      <c r="G54" s="279">
        <v>0</v>
      </c>
      <c r="H54" s="279">
        <v>0</v>
      </c>
      <c r="I54" s="279">
        <v>0</v>
      </c>
      <c r="J54" s="279">
        <v>0</v>
      </c>
      <c r="K54" s="279">
        <v>0</v>
      </c>
      <c r="L54" s="279">
        <v>0</v>
      </c>
      <c r="M54" s="279">
        <v>0</v>
      </c>
      <c r="N54" s="279">
        <v>0</v>
      </c>
      <c r="O54" s="279">
        <v>0</v>
      </c>
      <c r="P54" s="270">
        <f t="shared" si="9"/>
        <v>0</v>
      </c>
    </row>
    <row r="55" spans="1:16" hidden="1">
      <c r="A55" s="267"/>
      <c r="B55" s="273" t="s">
        <v>463</v>
      </c>
      <c r="C55" s="267"/>
      <c r="D55" s="279">
        <v>0</v>
      </c>
      <c r="E55" s="279">
        <v>0</v>
      </c>
      <c r="F55" s="279">
        <v>0</v>
      </c>
      <c r="G55" s="279">
        <v>0</v>
      </c>
      <c r="H55" s="279">
        <v>0</v>
      </c>
      <c r="I55" s="279">
        <v>0</v>
      </c>
      <c r="J55" s="279">
        <v>0</v>
      </c>
      <c r="K55" s="279">
        <v>0</v>
      </c>
      <c r="L55" s="279">
        <v>0</v>
      </c>
      <c r="M55" s="279">
        <v>0</v>
      </c>
      <c r="N55" s="279">
        <v>0</v>
      </c>
      <c r="O55" s="279">
        <v>0</v>
      </c>
      <c r="P55" s="270">
        <f t="shared" si="9"/>
        <v>0</v>
      </c>
    </row>
    <row r="56" spans="1:16" hidden="1">
      <c r="A56" s="267"/>
      <c r="B56" s="273" t="s">
        <v>464</v>
      </c>
      <c r="C56" s="267"/>
      <c r="D56" s="279">
        <v>0</v>
      </c>
      <c r="E56" s="279">
        <v>0</v>
      </c>
      <c r="F56" s="279">
        <v>0</v>
      </c>
      <c r="G56" s="279">
        <v>0</v>
      </c>
      <c r="H56" s="279">
        <v>0</v>
      </c>
      <c r="I56" s="279">
        <v>0</v>
      </c>
      <c r="J56" s="279">
        <v>0</v>
      </c>
      <c r="K56" s="279">
        <v>0</v>
      </c>
      <c r="L56" s="279">
        <v>0</v>
      </c>
      <c r="M56" s="279">
        <v>0</v>
      </c>
      <c r="N56" s="279">
        <v>0</v>
      </c>
      <c r="O56" s="279">
        <v>0</v>
      </c>
      <c r="P56" s="270">
        <f t="shared" si="9"/>
        <v>0</v>
      </c>
    </row>
    <row r="57" spans="1:16" hidden="1">
      <c r="A57" s="267"/>
      <c r="B57" s="273" t="s">
        <v>465</v>
      </c>
      <c r="C57" s="267"/>
      <c r="D57" s="279">
        <v>0</v>
      </c>
      <c r="E57" s="279">
        <v>0</v>
      </c>
      <c r="F57" s="279">
        <v>0</v>
      </c>
      <c r="G57" s="279">
        <v>0</v>
      </c>
      <c r="H57" s="279">
        <v>0</v>
      </c>
      <c r="I57" s="279">
        <v>0</v>
      </c>
      <c r="J57" s="279">
        <v>0</v>
      </c>
      <c r="K57" s="279">
        <v>0</v>
      </c>
      <c r="L57" s="279">
        <v>0</v>
      </c>
      <c r="M57" s="279">
        <v>0</v>
      </c>
      <c r="N57" s="279">
        <v>0</v>
      </c>
      <c r="O57" s="279">
        <v>0</v>
      </c>
      <c r="P57" s="270">
        <f t="shared" si="9"/>
        <v>0</v>
      </c>
    </row>
    <row r="58" spans="1:16" hidden="1">
      <c r="A58" s="267"/>
      <c r="B58" s="273" t="s">
        <v>466</v>
      </c>
      <c r="C58" s="267"/>
      <c r="D58" s="279">
        <v>0</v>
      </c>
      <c r="E58" s="279">
        <v>0</v>
      </c>
      <c r="F58" s="279">
        <v>0</v>
      </c>
      <c r="G58" s="279">
        <v>0</v>
      </c>
      <c r="H58" s="279">
        <v>0</v>
      </c>
      <c r="I58" s="279">
        <v>0</v>
      </c>
      <c r="J58" s="279">
        <v>0</v>
      </c>
      <c r="K58" s="279">
        <v>0</v>
      </c>
      <c r="L58" s="279">
        <v>0</v>
      </c>
      <c r="M58" s="279">
        <v>0</v>
      </c>
      <c r="N58" s="279">
        <v>0</v>
      </c>
      <c r="O58" s="279">
        <v>0</v>
      </c>
      <c r="P58" s="270">
        <f t="shared" si="9"/>
        <v>0</v>
      </c>
    </row>
    <row r="59" spans="1:16">
      <c r="A59" s="267"/>
      <c r="B59" s="267" t="s">
        <v>467</v>
      </c>
      <c r="C59" s="267"/>
      <c r="D59" s="282">
        <f>+'Schedule E - Other'!D46</f>
        <v>0</v>
      </c>
      <c r="E59" s="282">
        <f>+'Schedule E - Other'!E46</f>
        <v>0</v>
      </c>
      <c r="F59" s="282">
        <f>+'Schedule E - Other'!F46</f>
        <v>0</v>
      </c>
      <c r="G59" s="282">
        <f>+'Schedule E - Other'!G46</f>
        <v>0</v>
      </c>
      <c r="H59" s="282">
        <f>+'Schedule E - Other'!H46</f>
        <v>0</v>
      </c>
      <c r="I59" s="282">
        <f>+'Schedule E - Other'!I46</f>
        <v>0</v>
      </c>
      <c r="J59" s="282">
        <f>+'Schedule E - Other'!J46</f>
        <v>0</v>
      </c>
      <c r="K59" s="282">
        <f>+'Schedule E - Other'!K46</f>
        <v>0</v>
      </c>
      <c r="L59" s="282">
        <f>+'Schedule E - Other'!L46</f>
        <v>0</v>
      </c>
      <c r="M59" s="282">
        <f>+'Schedule E - Other'!M46</f>
        <v>0</v>
      </c>
      <c r="N59" s="282">
        <f>+'Schedule E - Other'!N46</f>
        <v>0</v>
      </c>
      <c r="O59" s="282">
        <f>+'Schedule E - Other'!O46</f>
        <v>0</v>
      </c>
      <c r="P59" s="276">
        <f t="shared" si="9"/>
        <v>0</v>
      </c>
    </row>
    <row r="60" spans="1:16">
      <c r="A60" s="267"/>
      <c r="B60" s="267"/>
      <c r="C60" s="267"/>
      <c r="P60" s="277"/>
    </row>
    <row r="61" spans="1:16">
      <c r="A61" s="267"/>
      <c r="B61" s="267" t="s">
        <v>460</v>
      </c>
      <c r="C61" s="267"/>
      <c r="D61" s="285">
        <f t="shared" ref="D61:P61" si="10">SUM(D53:D59)</f>
        <v>0</v>
      </c>
      <c r="E61" s="285">
        <f t="shared" si="10"/>
        <v>0</v>
      </c>
      <c r="F61" s="285">
        <f t="shared" si="10"/>
        <v>0</v>
      </c>
      <c r="G61" s="285">
        <f t="shared" si="10"/>
        <v>0</v>
      </c>
      <c r="H61" s="285">
        <f t="shared" si="10"/>
        <v>0</v>
      </c>
      <c r="I61" s="285">
        <f t="shared" si="10"/>
        <v>0</v>
      </c>
      <c r="J61" s="285">
        <f t="shared" si="10"/>
        <v>0</v>
      </c>
      <c r="K61" s="285">
        <f t="shared" si="10"/>
        <v>0</v>
      </c>
      <c r="L61" s="285">
        <f t="shared" si="10"/>
        <v>0</v>
      </c>
      <c r="M61" s="285">
        <f t="shared" si="10"/>
        <v>0</v>
      </c>
      <c r="N61" s="285">
        <f t="shared" si="10"/>
        <v>0</v>
      </c>
      <c r="O61" s="285">
        <f t="shared" si="10"/>
        <v>0</v>
      </c>
      <c r="P61" s="285">
        <f t="shared" si="10"/>
        <v>0</v>
      </c>
    </row>
    <row r="62" spans="1:16">
      <c r="A62" s="267"/>
      <c r="B62" s="267"/>
      <c r="C62" s="267"/>
      <c r="P62" s="277"/>
    </row>
    <row r="63" spans="1:16">
      <c r="A63" s="286" t="s">
        <v>468</v>
      </c>
      <c r="B63" s="267"/>
      <c r="C63" s="267"/>
      <c r="D63" s="267">
        <f t="shared" ref="D63:P63" si="11">D50+D61</f>
        <v>-381</v>
      </c>
      <c r="E63" s="267">
        <f t="shared" si="11"/>
        <v>-372</v>
      </c>
      <c r="F63" s="267">
        <f t="shared" si="11"/>
        <v>128</v>
      </c>
      <c r="G63" s="267">
        <f t="shared" si="11"/>
        <v>-373</v>
      </c>
      <c r="H63" s="267">
        <f t="shared" si="11"/>
        <v>-127</v>
      </c>
      <c r="I63" s="267">
        <f t="shared" si="11"/>
        <v>-374</v>
      </c>
      <c r="J63" s="267">
        <f t="shared" si="11"/>
        <v>-374</v>
      </c>
      <c r="K63" s="267">
        <f t="shared" si="11"/>
        <v>-377</v>
      </c>
      <c r="L63" s="267">
        <f t="shared" si="11"/>
        <v>-374</v>
      </c>
      <c r="M63" s="267">
        <f t="shared" si="11"/>
        <v>-374</v>
      </c>
      <c r="N63" s="267">
        <f t="shared" si="11"/>
        <v>-374</v>
      </c>
      <c r="O63" s="267">
        <f t="shared" si="11"/>
        <v>-374</v>
      </c>
      <c r="P63" s="267">
        <f t="shared" si="11"/>
        <v>-3746</v>
      </c>
    </row>
    <row r="64" spans="1:16">
      <c r="A64" s="267"/>
      <c r="B64" s="267"/>
      <c r="C64" s="267"/>
      <c r="P64" s="277"/>
    </row>
    <row r="65" spans="1:16">
      <c r="A65" s="267"/>
      <c r="B65" s="267" t="s">
        <v>469</v>
      </c>
      <c r="C65" s="267"/>
      <c r="D65" s="287">
        <f>+DIRECT!D24</f>
        <v>0</v>
      </c>
      <c r="E65" s="287">
        <f>+DIRECT!E24</f>
        <v>0</v>
      </c>
      <c r="F65" s="287">
        <f>+DIRECT!F24</f>
        <v>0</v>
      </c>
      <c r="G65" s="287">
        <f>+DIRECT!G24</f>
        <v>0</v>
      </c>
      <c r="H65" s="287">
        <f>+DIRECT!H24</f>
        <v>0</v>
      </c>
      <c r="I65" s="287">
        <f>+DIRECT!I24</f>
        <v>0</v>
      </c>
      <c r="J65" s="287">
        <f>+DIRECT!J24</f>
        <v>0</v>
      </c>
      <c r="K65" s="287">
        <f>+DIRECT!K24</f>
        <v>0</v>
      </c>
      <c r="L65" s="287">
        <f>+DIRECT!L24</f>
        <v>0</v>
      </c>
      <c r="M65" s="287">
        <f>+DIRECT!M24</f>
        <v>0</v>
      </c>
      <c r="N65" s="287">
        <f>+DIRECT!N24</f>
        <v>0</v>
      </c>
      <c r="O65" s="287">
        <f>+DIRECT!O24</f>
        <v>0</v>
      </c>
      <c r="P65" s="276">
        <f>SUM(D65:O65)</f>
        <v>0</v>
      </c>
    </row>
    <row r="66" spans="1:16">
      <c r="A66" s="267"/>
      <c r="B66" s="267"/>
      <c r="C66" s="267"/>
      <c r="P66" s="277"/>
    </row>
    <row r="67" spans="1:16">
      <c r="A67" s="288" t="s">
        <v>470</v>
      </c>
      <c r="B67" s="289"/>
      <c r="C67" s="289"/>
      <c r="D67" s="290">
        <f t="shared" ref="D67:P67" si="12">D63-D65</f>
        <v>-381</v>
      </c>
      <c r="E67" s="290">
        <f t="shared" si="12"/>
        <v>-372</v>
      </c>
      <c r="F67" s="290">
        <f t="shared" si="12"/>
        <v>128</v>
      </c>
      <c r="G67" s="290">
        <f t="shared" si="12"/>
        <v>-373</v>
      </c>
      <c r="H67" s="290">
        <f t="shared" si="12"/>
        <v>-127</v>
      </c>
      <c r="I67" s="290">
        <f t="shared" si="12"/>
        <v>-374</v>
      </c>
      <c r="J67" s="290">
        <f t="shared" si="12"/>
        <v>-374</v>
      </c>
      <c r="K67" s="290">
        <f t="shared" si="12"/>
        <v>-377</v>
      </c>
      <c r="L67" s="290">
        <f t="shared" si="12"/>
        <v>-374</v>
      </c>
      <c r="M67" s="290">
        <f t="shared" si="12"/>
        <v>-374</v>
      </c>
      <c r="N67" s="290">
        <f t="shared" si="12"/>
        <v>-374</v>
      </c>
      <c r="O67" s="290">
        <f t="shared" si="12"/>
        <v>-374</v>
      </c>
      <c r="P67" s="290">
        <f t="shared" si="12"/>
        <v>-3746</v>
      </c>
    </row>
    <row r="68" spans="1:16">
      <c r="A68" s="267"/>
      <c r="B68" s="267"/>
      <c r="C68" s="267"/>
      <c r="P68" s="277"/>
    </row>
    <row r="69" spans="1:16" hidden="1">
      <c r="A69" s="291" t="s">
        <v>471</v>
      </c>
      <c r="B69" s="267"/>
      <c r="C69" s="267"/>
      <c r="D69" s="292"/>
      <c r="E69" s="292"/>
      <c r="F69" s="292"/>
      <c r="G69" s="292"/>
      <c r="H69" s="292"/>
      <c r="I69" s="292"/>
      <c r="J69" s="292"/>
      <c r="K69" s="292"/>
      <c r="L69" s="292"/>
      <c r="M69" s="292"/>
      <c r="N69" s="292"/>
      <c r="O69" s="292"/>
      <c r="P69" s="276">
        <f>SUM(D69:O69)</f>
        <v>0</v>
      </c>
    </row>
    <row r="70" spans="1:16" hidden="1">
      <c r="A70" s="273"/>
      <c r="B70" s="267"/>
      <c r="C70" s="267"/>
      <c r="P70" s="277"/>
    </row>
    <row r="71" spans="1:16" hidden="1">
      <c r="A71" s="293" t="s">
        <v>472</v>
      </c>
      <c r="B71" s="266"/>
      <c r="C71" s="266"/>
      <c r="D71" s="266">
        <f t="shared" ref="D71:P71" si="13">D67+D69</f>
        <v>-381</v>
      </c>
      <c r="E71" s="266">
        <f t="shared" si="13"/>
        <v>-372</v>
      </c>
      <c r="F71" s="266">
        <f t="shared" si="13"/>
        <v>128</v>
      </c>
      <c r="G71" s="266">
        <f t="shared" si="13"/>
        <v>-373</v>
      </c>
      <c r="H71" s="266">
        <f t="shared" si="13"/>
        <v>-127</v>
      </c>
      <c r="I71" s="266">
        <f t="shared" si="13"/>
        <v>-374</v>
      </c>
      <c r="J71" s="266">
        <f t="shared" si="13"/>
        <v>-374</v>
      </c>
      <c r="K71" s="266">
        <f t="shared" si="13"/>
        <v>-377</v>
      </c>
      <c r="L71" s="266">
        <f t="shared" si="13"/>
        <v>-374</v>
      </c>
      <c r="M71" s="266">
        <f t="shared" si="13"/>
        <v>-374</v>
      </c>
      <c r="N71" s="266">
        <f t="shared" si="13"/>
        <v>-374</v>
      </c>
      <c r="O71" s="266">
        <f t="shared" si="13"/>
        <v>-374</v>
      </c>
      <c r="P71" s="266">
        <f t="shared" si="13"/>
        <v>-3746</v>
      </c>
    </row>
    <row r="72" spans="1:16" hidden="1">
      <c r="A72" s="293"/>
      <c r="B72" s="266"/>
      <c r="C72" s="266"/>
      <c r="P72" s="277"/>
    </row>
    <row r="73" spans="1:16" hidden="1">
      <c r="A73" s="273" t="s">
        <v>473</v>
      </c>
      <c r="B73" s="267"/>
      <c r="C73" s="267"/>
      <c r="D73" s="292"/>
      <c r="E73" s="292"/>
      <c r="F73" s="292"/>
      <c r="G73" s="292"/>
      <c r="H73" s="292"/>
      <c r="I73" s="292"/>
      <c r="J73" s="292"/>
      <c r="K73" s="292"/>
      <c r="L73" s="292"/>
      <c r="M73" s="292"/>
      <c r="N73" s="292"/>
      <c r="O73" s="292"/>
      <c r="P73" s="276">
        <f>SUM(D73:O73)</f>
        <v>0</v>
      </c>
    </row>
    <row r="74" spans="1:16" hidden="1">
      <c r="A74" s="273"/>
      <c r="B74" s="267"/>
      <c r="C74" s="267"/>
      <c r="P74" s="277"/>
    </row>
    <row r="75" spans="1:16" ht="13.8" hidden="1" thickBot="1">
      <c r="A75" s="293" t="s">
        <v>474</v>
      </c>
      <c r="B75" s="266"/>
      <c r="C75" s="266"/>
      <c r="D75" s="294">
        <f t="shared" ref="D75:P75" si="14">D71+D73</f>
        <v>-381</v>
      </c>
      <c r="E75" s="294">
        <f t="shared" si="14"/>
        <v>-372</v>
      </c>
      <c r="F75" s="294">
        <f t="shared" si="14"/>
        <v>128</v>
      </c>
      <c r="G75" s="294">
        <f t="shared" si="14"/>
        <v>-373</v>
      </c>
      <c r="H75" s="294">
        <f t="shared" si="14"/>
        <v>-127</v>
      </c>
      <c r="I75" s="294">
        <f t="shared" si="14"/>
        <v>-374</v>
      </c>
      <c r="J75" s="294">
        <f t="shared" si="14"/>
        <v>-374</v>
      </c>
      <c r="K75" s="294">
        <f t="shared" si="14"/>
        <v>-377</v>
      </c>
      <c r="L75" s="294">
        <f t="shared" si="14"/>
        <v>-374</v>
      </c>
      <c r="M75" s="294">
        <f t="shared" si="14"/>
        <v>-374</v>
      </c>
      <c r="N75" s="294">
        <f t="shared" si="14"/>
        <v>-374</v>
      </c>
      <c r="O75" s="294">
        <f t="shared" si="14"/>
        <v>-374</v>
      </c>
      <c r="P75" s="294">
        <f t="shared" si="14"/>
        <v>-3746</v>
      </c>
    </row>
    <row r="76" spans="1:16" ht="19.5" customHeight="1">
      <c r="A76" s="267"/>
      <c r="B76" s="267"/>
      <c r="C76" s="295" t="str">
        <f ca="1">CELL("filename",D76)</f>
        <v>O:\Enron Net Works\Accounting\2001 Plan\Deal Bench\[Deal Bench 2001 Plan.xls]INDIRECT</v>
      </c>
      <c r="E76" s="296">
        <f ca="1">NOW()</f>
        <v>36838.463314351851</v>
      </c>
    </row>
    <row r="77" spans="1:16" ht="24.75" hidden="1" customHeight="1">
      <c r="A77" s="297" t="s">
        <v>475</v>
      </c>
      <c r="B77" s="297"/>
      <c r="C77" s="297"/>
      <c r="D77" s="277">
        <f>+D67-DIRECT!D65</f>
        <v>1</v>
      </c>
      <c r="E77" s="277">
        <f>+E67-DIRECT!E65</f>
        <v>0</v>
      </c>
      <c r="F77" s="277">
        <f>+F67-DIRECT!F65</f>
        <v>1</v>
      </c>
      <c r="G77" s="277">
        <f>+G67-DIRECT!G65</f>
        <v>0</v>
      </c>
      <c r="H77" s="277">
        <f>+H67-DIRECT!H65</f>
        <v>-1</v>
      </c>
      <c r="I77" s="277">
        <f>+I67-DIRECT!I65</f>
        <v>0</v>
      </c>
      <c r="J77" s="277">
        <f>+J67-DIRECT!J65</f>
        <v>0</v>
      </c>
      <c r="K77" s="277">
        <f>+K67-DIRECT!K65</f>
        <v>0</v>
      </c>
      <c r="L77" s="277">
        <f>+L67-DIRECT!L65</f>
        <v>0</v>
      </c>
      <c r="M77" s="277">
        <f>+M67-DIRECT!M65</f>
        <v>0</v>
      </c>
      <c r="N77" s="277">
        <f>+N67-DIRECT!N65</f>
        <v>0</v>
      </c>
      <c r="O77" s="277">
        <f>+O67-DIRECT!O65</f>
        <v>0</v>
      </c>
      <c r="P77" s="277">
        <f>SUM(D77:O77)</f>
        <v>1</v>
      </c>
    </row>
    <row r="78" spans="1:16" hidden="1">
      <c r="A78" s="297" t="s">
        <v>476</v>
      </c>
      <c r="B78" s="297"/>
      <c r="C78" s="297"/>
      <c r="D78" s="277">
        <f>+D9-ROUND(('Income Statement'!B59)/1000,0)</f>
        <v>0</v>
      </c>
      <c r="E78" s="277">
        <f>+E9-ROUND(('Income Statement'!C59)/1000,0)</f>
        <v>0</v>
      </c>
      <c r="F78" s="277">
        <f>+F9-ROUND(('Income Statement'!D59)/1000,0)</f>
        <v>0</v>
      </c>
      <c r="G78" s="277">
        <f>+G9-ROUND(('Income Statement'!E59)/1000,0)</f>
        <v>0</v>
      </c>
      <c r="H78" s="277">
        <f>+H9-ROUND(('Income Statement'!F59)/1000,0)</f>
        <v>0</v>
      </c>
      <c r="I78" s="277">
        <f>+I9-ROUND(('Income Statement'!G59)/1000,0)</f>
        <v>0</v>
      </c>
      <c r="J78" s="277">
        <f>+J9-ROUND(('Income Statement'!H59)/1000,0)</f>
        <v>0</v>
      </c>
      <c r="K78" s="277">
        <f>+K9-ROUND(('Income Statement'!I59)/1000,0)</f>
        <v>0</v>
      </c>
      <c r="L78" s="277">
        <f>+L9-ROUND(('Income Statement'!J59)/1000,0)</f>
        <v>0</v>
      </c>
      <c r="M78" s="277">
        <f>+M9-ROUND(('Income Statement'!K59)/1000,0)</f>
        <v>0</v>
      </c>
      <c r="N78" s="277">
        <f>+N9-ROUND(('Income Statement'!L59)/1000,0)</f>
        <v>0</v>
      </c>
      <c r="O78" s="277">
        <f>+O9-ROUND(('Income Statement'!M59)/1000,0)</f>
        <v>0</v>
      </c>
      <c r="P78" s="277">
        <f>SUM(D78:O78)</f>
        <v>0</v>
      </c>
    </row>
    <row r="79" spans="1:16" hidden="1">
      <c r="A79" s="297"/>
      <c r="B79" s="297"/>
      <c r="C79" s="297"/>
    </row>
    <row r="80" spans="1:16" hidden="1">
      <c r="A80" s="297" t="s">
        <v>477</v>
      </c>
      <c r="B80" s="297"/>
      <c r="C80" s="297"/>
      <c r="D80" s="277">
        <f>+ROUND(('Cash and Non-Cash'!D90+'Cash and Non-Cash'!D28)/1000,0)+D11</f>
        <v>0</v>
      </c>
      <c r="E80" s="277">
        <f>+ROUND(('Cash and Non-Cash'!E90+'Cash and Non-Cash'!E28)/1000,0)+E11</f>
        <v>0</v>
      </c>
      <c r="F80" s="277">
        <f>+ROUND(('Cash and Non-Cash'!F90+'Cash and Non-Cash'!F28)/1000,0)+F11</f>
        <v>0</v>
      </c>
      <c r="G80" s="277">
        <f>+ROUND(('Cash and Non-Cash'!G90+'Cash and Non-Cash'!G28)/1000,0)+G11</f>
        <v>0</v>
      </c>
      <c r="H80" s="277">
        <f>+ROUND(('Cash and Non-Cash'!H90+'Cash and Non-Cash'!H28)/1000,0)+H11</f>
        <v>0</v>
      </c>
      <c r="I80" s="277">
        <f>+ROUND(('Cash and Non-Cash'!I90+'Cash and Non-Cash'!I28)/1000,0)+I11</f>
        <v>0</v>
      </c>
      <c r="J80" s="277">
        <f>+ROUND(('Cash and Non-Cash'!J90+'Cash and Non-Cash'!J28)/1000,0)+J11</f>
        <v>0</v>
      </c>
      <c r="K80" s="277">
        <f>+ROUND(('Cash and Non-Cash'!K90+'Cash and Non-Cash'!K28)/1000,0)+K11</f>
        <v>0</v>
      </c>
      <c r="L80" s="277">
        <f>+ROUND(('Cash and Non-Cash'!L90+'Cash and Non-Cash'!L28)/1000,0)+L11</f>
        <v>0</v>
      </c>
      <c r="M80" s="277">
        <f>+ROUND(('Cash and Non-Cash'!M90+'Cash and Non-Cash'!M28)/1000,0)+M11</f>
        <v>0</v>
      </c>
      <c r="N80" s="277">
        <f>+ROUND(('Cash and Non-Cash'!N90+'Cash and Non-Cash'!N28)/1000,0)+N11</f>
        <v>0</v>
      </c>
      <c r="O80" s="277">
        <f>+ROUND(('Cash and Non-Cash'!O90+'Cash and Non-Cash'!O28)/1000,0)+O11</f>
        <v>0</v>
      </c>
      <c r="P80" s="277">
        <f>SUM(D80:O80)</f>
        <v>0</v>
      </c>
    </row>
    <row r="81" spans="1:3" hidden="1">
      <c r="A81" s="297"/>
      <c r="B81" s="297"/>
      <c r="C81" s="297"/>
    </row>
    <row r="82" spans="1:3" hidden="1">
      <c r="A82" s="267"/>
      <c r="B82" s="267"/>
      <c r="C82" s="267"/>
    </row>
    <row r="83" spans="1:3" hidden="1">
      <c r="A83" s="267" t="s">
        <v>478</v>
      </c>
      <c r="B83" s="267"/>
      <c r="C83" s="267"/>
    </row>
    <row r="84" spans="1:3" hidden="1">
      <c r="A84" s="267" t="s">
        <v>479</v>
      </c>
      <c r="B84" s="267"/>
      <c r="C84" s="267"/>
    </row>
    <row r="85" spans="1:3" hidden="1">
      <c r="A85" s="274" t="s">
        <v>480</v>
      </c>
      <c r="B85" s="267"/>
      <c r="C85" s="267"/>
    </row>
    <row r="86" spans="1:3" hidden="1">
      <c r="A86" s="274" t="s">
        <v>481</v>
      </c>
      <c r="B86" s="267"/>
      <c r="C86" s="267"/>
    </row>
    <row r="87" spans="1:3" hidden="1">
      <c r="A87" s="267"/>
      <c r="B87" s="267"/>
      <c r="C87" s="267"/>
    </row>
    <row r="88" spans="1:3" hidden="1">
      <c r="A88" s="298"/>
      <c r="B88" s="298"/>
      <c r="C88" s="298"/>
    </row>
    <row r="89" spans="1:3" hidden="1">
      <c r="A89" s="274" t="s">
        <v>482</v>
      </c>
      <c r="B89" s="298"/>
      <c r="C89" s="298"/>
    </row>
    <row r="90" spans="1:3" hidden="1">
      <c r="A90" s="274" t="s">
        <v>483</v>
      </c>
      <c r="B90" s="298"/>
      <c r="C90" s="298"/>
    </row>
    <row r="91" spans="1:3">
      <c r="A91" s="298"/>
      <c r="B91" s="298"/>
      <c r="C91" s="298"/>
    </row>
    <row r="92" spans="1:3">
      <c r="A92" s="267"/>
      <c r="B92" s="298"/>
      <c r="C92" s="298"/>
    </row>
    <row r="93" spans="1:3">
      <c r="A93" s="267"/>
      <c r="B93" s="298"/>
      <c r="C93" s="298"/>
    </row>
    <row r="94" spans="1:3">
      <c r="A94" s="267"/>
      <c r="B94" s="298"/>
      <c r="C94" s="298"/>
    </row>
    <row r="95" spans="1:3">
      <c r="A95" s="267"/>
      <c r="B95" s="298"/>
      <c r="C95" s="298"/>
    </row>
    <row r="96" spans="1:3">
      <c r="A96" s="298"/>
      <c r="B96" s="298"/>
      <c r="C96" s="298"/>
    </row>
    <row r="97" spans="1:3">
      <c r="A97" s="298"/>
      <c r="B97" s="298"/>
      <c r="C97" s="298"/>
    </row>
    <row r="98" spans="1:3">
      <c r="A98" s="295"/>
      <c r="B98" s="295"/>
      <c r="C98" s="295"/>
    </row>
  </sheetData>
  <printOptions horizontalCentered="1"/>
  <pageMargins left="0.3" right="0.25" top="0.3" bottom="0.3" header="0.5" footer="0.5"/>
  <pageSetup scale="6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83"/>
  <sheetViews>
    <sheetView workbookViewId="0">
      <pane xSplit="3" ySplit="7" topLeftCell="D8" activePane="bottomRight" state="frozen"/>
      <selection pane="topRight"/>
      <selection pane="bottomLeft"/>
      <selection pane="bottomRight" activeCell="D8" sqref="D8"/>
    </sheetView>
  </sheetViews>
  <sheetFormatPr defaultColWidth="10.6640625" defaultRowHeight="13.2"/>
  <cols>
    <col min="1" max="2" width="2.77734375" style="258" customWidth="1"/>
    <col min="3" max="3" width="63" style="258" customWidth="1"/>
    <col min="4" max="16" width="12.44140625" style="258" customWidth="1"/>
    <col min="17" max="16384" width="10.6640625" style="258"/>
  </cols>
  <sheetData>
    <row r="2" spans="1:18">
      <c r="A2" s="257" t="s">
        <v>484</v>
      </c>
      <c r="E2" s="259" t="s">
        <v>423</v>
      </c>
      <c r="F2" s="259"/>
      <c r="G2" s="259"/>
      <c r="H2" s="259"/>
      <c r="I2" s="259"/>
      <c r="J2" s="259"/>
    </row>
    <row r="3" spans="1:18">
      <c r="A3" s="260" t="s">
        <v>424</v>
      </c>
      <c r="E3" s="261" t="s">
        <v>425</v>
      </c>
      <c r="F3" s="259"/>
      <c r="G3" s="259"/>
      <c r="H3" s="259"/>
      <c r="I3" s="259"/>
      <c r="J3" s="259"/>
    </row>
    <row r="4" spans="1:18">
      <c r="A4" s="262" t="s">
        <v>485</v>
      </c>
      <c r="E4" s="259" t="s">
        <v>427</v>
      </c>
      <c r="F4" s="259"/>
      <c r="G4" s="259"/>
      <c r="H4" s="259"/>
      <c r="I4" s="259"/>
      <c r="J4" s="259"/>
    </row>
    <row r="5" spans="1:18">
      <c r="A5" s="263" t="str">
        <f>INDIRECT!A5</f>
        <v>Deal Bench</v>
      </c>
      <c r="B5" s="259"/>
      <c r="C5" s="259"/>
    </row>
    <row r="6" spans="1:18">
      <c r="A6" s="264" t="s">
        <v>428</v>
      </c>
      <c r="R6" s="299" t="s">
        <v>486</v>
      </c>
    </row>
    <row r="7" spans="1:18">
      <c r="D7" s="265" t="s">
        <v>328</v>
      </c>
      <c r="E7" s="265" t="s">
        <v>329</v>
      </c>
      <c r="F7" s="265" t="s">
        <v>330</v>
      </c>
      <c r="G7" s="265" t="s">
        <v>331</v>
      </c>
      <c r="H7" s="265" t="s">
        <v>332</v>
      </c>
      <c r="I7" s="265" t="s">
        <v>333</v>
      </c>
      <c r="J7" s="265" t="s">
        <v>429</v>
      </c>
      <c r="K7" s="265" t="s">
        <v>334</v>
      </c>
      <c r="L7" s="265" t="s">
        <v>335</v>
      </c>
      <c r="M7" s="265" t="s">
        <v>339</v>
      </c>
      <c r="N7" s="265" t="s">
        <v>340</v>
      </c>
      <c r="O7" s="265" t="s">
        <v>336</v>
      </c>
      <c r="P7" s="265" t="s">
        <v>191</v>
      </c>
      <c r="R7" s="299" t="s">
        <v>487</v>
      </c>
    </row>
    <row r="8" spans="1:18">
      <c r="A8" s="300" t="s">
        <v>488</v>
      </c>
      <c r="B8" s="301"/>
    </row>
    <row r="9" spans="1:18">
      <c r="A9" s="301" t="s">
        <v>489</v>
      </c>
      <c r="B9" s="301"/>
      <c r="D9" s="279">
        <v>0</v>
      </c>
      <c r="E9" s="279">
        <v>0</v>
      </c>
      <c r="F9" s="279">
        <v>0</v>
      </c>
      <c r="G9" s="279">
        <v>0</v>
      </c>
      <c r="H9" s="279">
        <v>0</v>
      </c>
      <c r="I9" s="279">
        <v>0</v>
      </c>
      <c r="J9" s="279">
        <v>0</v>
      </c>
      <c r="K9" s="279">
        <v>0</v>
      </c>
      <c r="L9" s="279">
        <v>0</v>
      </c>
      <c r="M9" s="279">
        <v>0</v>
      </c>
      <c r="N9" s="279">
        <v>0</v>
      </c>
      <c r="O9" s="279">
        <v>0</v>
      </c>
      <c r="P9" s="277">
        <f>SUM(D9:O9)</f>
        <v>0</v>
      </c>
    </row>
    <row r="10" spans="1:18">
      <c r="A10" s="301" t="s">
        <v>490</v>
      </c>
      <c r="B10" s="301"/>
      <c r="D10" s="279">
        <v>0</v>
      </c>
      <c r="E10" s="279">
        <v>0</v>
      </c>
      <c r="F10" s="279">
        <v>0</v>
      </c>
      <c r="G10" s="279">
        <v>0</v>
      </c>
      <c r="H10" s="279">
        <v>0</v>
      </c>
      <c r="I10" s="279">
        <v>0</v>
      </c>
      <c r="J10" s="279">
        <v>0</v>
      </c>
      <c r="K10" s="279">
        <v>0</v>
      </c>
      <c r="L10" s="279">
        <v>0</v>
      </c>
      <c r="M10" s="279">
        <v>0</v>
      </c>
      <c r="N10" s="279">
        <v>0</v>
      </c>
      <c r="O10" s="279">
        <v>0</v>
      </c>
      <c r="P10" s="277">
        <f>SUM(D10:O10)</f>
        <v>0</v>
      </c>
    </row>
    <row r="11" spans="1:18">
      <c r="A11" s="301" t="s">
        <v>491</v>
      </c>
      <c r="B11" s="301"/>
      <c r="D11" s="279">
        <v>0</v>
      </c>
      <c r="E11" s="279">
        <v>0</v>
      </c>
      <c r="F11" s="279">
        <v>0</v>
      </c>
      <c r="G11" s="279">
        <v>0</v>
      </c>
      <c r="H11" s="279">
        <v>0</v>
      </c>
      <c r="I11" s="279">
        <v>0</v>
      </c>
      <c r="J11" s="279">
        <v>0</v>
      </c>
      <c r="K11" s="279">
        <v>0</v>
      </c>
      <c r="L11" s="279">
        <v>0</v>
      </c>
      <c r="M11" s="279">
        <v>0</v>
      </c>
      <c r="N11" s="279">
        <v>0</v>
      </c>
      <c r="O11" s="279">
        <v>0</v>
      </c>
      <c r="P11" s="277">
        <f>SUM(D11:O11)</f>
        <v>0</v>
      </c>
    </row>
    <row r="12" spans="1:18">
      <c r="A12" s="301"/>
      <c r="B12" s="301"/>
      <c r="P12" s="277"/>
    </row>
    <row r="13" spans="1:18">
      <c r="A13" s="301" t="s">
        <v>492</v>
      </c>
      <c r="B13" s="301"/>
      <c r="D13" s="279">
        <v>0</v>
      </c>
      <c r="E13" s="279">
        <v>0</v>
      </c>
      <c r="F13" s="279">
        <v>0</v>
      </c>
      <c r="G13" s="279">
        <v>0</v>
      </c>
      <c r="H13" s="279">
        <v>0</v>
      </c>
      <c r="I13" s="279">
        <v>0</v>
      </c>
      <c r="J13" s="279">
        <v>0</v>
      </c>
      <c r="K13" s="279">
        <v>0</v>
      </c>
      <c r="L13" s="279">
        <v>0</v>
      </c>
      <c r="M13" s="279">
        <v>0</v>
      </c>
      <c r="N13" s="279">
        <v>0</v>
      </c>
      <c r="O13" s="279">
        <v>0</v>
      </c>
      <c r="P13" s="277">
        <f>SUM(D13:O13)</f>
        <v>0</v>
      </c>
    </row>
    <row r="14" spans="1:18">
      <c r="A14" s="301" t="s">
        <v>493</v>
      </c>
      <c r="B14" s="301"/>
      <c r="D14" s="279">
        <v>0</v>
      </c>
      <c r="E14" s="279">
        <v>0</v>
      </c>
      <c r="F14" s="279">
        <v>0</v>
      </c>
      <c r="G14" s="279">
        <v>0</v>
      </c>
      <c r="H14" s="279">
        <v>0</v>
      </c>
      <c r="I14" s="279">
        <v>0</v>
      </c>
      <c r="J14" s="279">
        <v>0</v>
      </c>
      <c r="K14" s="279">
        <v>0</v>
      </c>
      <c r="L14" s="279">
        <v>0</v>
      </c>
      <c r="M14" s="279">
        <v>0</v>
      </c>
      <c r="N14" s="279">
        <v>0</v>
      </c>
      <c r="O14" s="279">
        <v>0</v>
      </c>
      <c r="P14" s="277">
        <f>SUM(D14:O14)</f>
        <v>0</v>
      </c>
    </row>
    <row r="15" spans="1:18">
      <c r="A15" s="301" t="s">
        <v>494</v>
      </c>
      <c r="B15" s="301"/>
      <c r="D15" s="279">
        <v>0</v>
      </c>
      <c r="E15" s="279">
        <v>0</v>
      </c>
      <c r="F15" s="279">
        <v>0</v>
      </c>
      <c r="G15" s="279">
        <v>0</v>
      </c>
      <c r="H15" s="279">
        <v>0</v>
      </c>
      <c r="I15" s="279">
        <v>0</v>
      </c>
      <c r="J15" s="279">
        <v>0</v>
      </c>
      <c r="K15" s="279">
        <v>0</v>
      </c>
      <c r="L15" s="279">
        <v>0</v>
      </c>
      <c r="M15" s="279">
        <v>0</v>
      </c>
      <c r="N15" s="279">
        <v>0</v>
      </c>
      <c r="O15" s="279">
        <v>0</v>
      </c>
      <c r="P15" s="277">
        <f>SUM(D15:O15)</f>
        <v>0</v>
      </c>
    </row>
    <row r="16" spans="1:18">
      <c r="A16" s="301"/>
      <c r="B16" s="301"/>
      <c r="P16" s="277"/>
    </row>
    <row r="17" spans="1:16">
      <c r="A17" s="301" t="s">
        <v>495</v>
      </c>
      <c r="B17" s="301"/>
      <c r="D17" s="284">
        <f>+'Schedule D - PRM Detail'!D15</f>
        <v>0</v>
      </c>
      <c r="E17" s="284">
        <f>+'Schedule D - PRM Detail'!E15</f>
        <v>0</v>
      </c>
      <c r="F17" s="284">
        <f>+'Schedule D - PRM Detail'!F15</f>
        <v>0</v>
      </c>
      <c r="G17" s="284">
        <f>+'Schedule D - PRM Detail'!G15</f>
        <v>0</v>
      </c>
      <c r="H17" s="284">
        <f>+'Schedule D - PRM Detail'!H15</f>
        <v>0</v>
      </c>
      <c r="I17" s="284">
        <f>+'Schedule D - PRM Detail'!I15</f>
        <v>0</v>
      </c>
      <c r="J17" s="284">
        <f>+'Schedule D - PRM Detail'!J15</f>
        <v>0</v>
      </c>
      <c r="K17" s="284">
        <f>+'Schedule D - PRM Detail'!K15</f>
        <v>0</v>
      </c>
      <c r="L17" s="284">
        <f>+'Schedule D - PRM Detail'!L15</f>
        <v>0</v>
      </c>
      <c r="M17" s="284">
        <f>+'Schedule D - PRM Detail'!M15</f>
        <v>0</v>
      </c>
      <c r="N17" s="284">
        <f>+'Schedule D - PRM Detail'!N15</f>
        <v>0</v>
      </c>
      <c r="O17" s="284">
        <f>+'Schedule D - PRM Detail'!O15</f>
        <v>0</v>
      </c>
      <c r="P17" s="277">
        <f>SUM(D17:O17)</f>
        <v>0</v>
      </c>
    </row>
    <row r="18" spans="1:16">
      <c r="A18" s="301" t="s">
        <v>496</v>
      </c>
      <c r="B18" s="301"/>
      <c r="D18" s="284">
        <f>+'Schedule D - PRM Detail'!D16</f>
        <v>0</v>
      </c>
      <c r="E18" s="284">
        <f>+'Schedule D - PRM Detail'!E16</f>
        <v>0</v>
      </c>
      <c r="F18" s="284">
        <f>+'Schedule D - PRM Detail'!F16</f>
        <v>0</v>
      </c>
      <c r="G18" s="284">
        <f>+'Schedule D - PRM Detail'!G16</f>
        <v>0</v>
      </c>
      <c r="H18" s="284">
        <f>+'Schedule D - PRM Detail'!H16</f>
        <v>0</v>
      </c>
      <c r="I18" s="284">
        <f>+'Schedule D - PRM Detail'!I16</f>
        <v>0</v>
      </c>
      <c r="J18" s="284">
        <f>+'Schedule D - PRM Detail'!J16</f>
        <v>0</v>
      </c>
      <c r="K18" s="284">
        <f>+'Schedule D - PRM Detail'!K16</f>
        <v>0</v>
      </c>
      <c r="L18" s="284">
        <f>+'Schedule D - PRM Detail'!L16</f>
        <v>0</v>
      </c>
      <c r="M18" s="284">
        <f>+'Schedule D - PRM Detail'!M16</f>
        <v>0</v>
      </c>
      <c r="N18" s="284">
        <f>+'Schedule D - PRM Detail'!N16</f>
        <v>0</v>
      </c>
      <c r="O18" s="284">
        <f>+'Schedule D - PRM Detail'!O16</f>
        <v>0</v>
      </c>
      <c r="P18" s="277">
        <f>SUM(D18:O18)</f>
        <v>0</v>
      </c>
    </row>
    <row r="19" spans="1:16">
      <c r="A19" s="301" t="s">
        <v>497</v>
      </c>
      <c r="B19" s="301"/>
      <c r="D19" s="284">
        <f>+'Schedule D - PRM Detail'!D17</f>
        <v>0</v>
      </c>
      <c r="E19" s="284">
        <f>+'Schedule D - PRM Detail'!E17</f>
        <v>0</v>
      </c>
      <c r="F19" s="284">
        <f>+'Schedule D - PRM Detail'!F17</f>
        <v>0</v>
      </c>
      <c r="G19" s="284">
        <f>+'Schedule D - PRM Detail'!G17</f>
        <v>0</v>
      </c>
      <c r="H19" s="284">
        <f>+'Schedule D - PRM Detail'!H17</f>
        <v>0</v>
      </c>
      <c r="I19" s="284">
        <f>+'Schedule D - PRM Detail'!I17</f>
        <v>0</v>
      </c>
      <c r="J19" s="284">
        <f>+'Schedule D - PRM Detail'!J17</f>
        <v>0</v>
      </c>
      <c r="K19" s="284">
        <f>+'Schedule D - PRM Detail'!K17</f>
        <v>0</v>
      </c>
      <c r="L19" s="284">
        <f>+'Schedule D - PRM Detail'!L17</f>
        <v>0</v>
      </c>
      <c r="M19" s="284">
        <f>+'Schedule D - PRM Detail'!M17</f>
        <v>0</v>
      </c>
      <c r="N19" s="284">
        <f>+'Schedule D - PRM Detail'!N17</f>
        <v>0</v>
      </c>
      <c r="O19" s="284">
        <f>+'Schedule D - PRM Detail'!O17</f>
        <v>0</v>
      </c>
      <c r="P19" s="277">
        <f>SUM(D19:O19)</f>
        <v>0</v>
      </c>
    </row>
    <row r="20" spans="1:16">
      <c r="A20" s="301" t="s">
        <v>498</v>
      </c>
      <c r="B20" s="301"/>
      <c r="D20" s="284">
        <f>+'Schedule D - PRM Detail'!D18</f>
        <v>0</v>
      </c>
      <c r="E20" s="284">
        <f>+'Schedule D - PRM Detail'!E18</f>
        <v>0</v>
      </c>
      <c r="F20" s="284">
        <f>+'Schedule D - PRM Detail'!F18</f>
        <v>0</v>
      </c>
      <c r="G20" s="284">
        <f>+'Schedule D - PRM Detail'!G18</f>
        <v>0</v>
      </c>
      <c r="H20" s="284">
        <f>+'Schedule D - PRM Detail'!H18</f>
        <v>0</v>
      </c>
      <c r="I20" s="284">
        <f>+'Schedule D - PRM Detail'!I18</f>
        <v>0</v>
      </c>
      <c r="J20" s="284">
        <f>+'Schedule D - PRM Detail'!J18</f>
        <v>0</v>
      </c>
      <c r="K20" s="284">
        <f>+'Schedule D - PRM Detail'!K18</f>
        <v>0</v>
      </c>
      <c r="L20" s="284">
        <f>+'Schedule D - PRM Detail'!L18</f>
        <v>0</v>
      </c>
      <c r="M20" s="284">
        <f>+'Schedule D - PRM Detail'!M18</f>
        <v>0</v>
      </c>
      <c r="N20" s="284">
        <f>+'Schedule D - PRM Detail'!N18</f>
        <v>0</v>
      </c>
      <c r="O20" s="284">
        <f>+'Schedule D - PRM Detail'!O18</f>
        <v>0</v>
      </c>
      <c r="P20" s="277">
        <f>SUM(D20:O20)</f>
        <v>0</v>
      </c>
    </row>
    <row r="21" spans="1:16">
      <c r="A21" s="301"/>
      <c r="B21" s="301"/>
      <c r="P21" s="277"/>
    </row>
    <row r="22" spans="1:16">
      <c r="A22" s="302" t="s">
        <v>499</v>
      </c>
      <c r="B22" s="302"/>
      <c r="D22" s="279">
        <v>0</v>
      </c>
      <c r="E22" s="279">
        <v>0</v>
      </c>
      <c r="F22" s="279">
        <v>0</v>
      </c>
      <c r="G22" s="279">
        <v>0</v>
      </c>
      <c r="H22" s="279">
        <v>0</v>
      </c>
      <c r="I22" s="279">
        <v>0</v>
      </c>
      <c r="J22" s="279">
        <v>0</v>
      </c>
      <c r="K22" s="279">
        <v>0</v>
      </c>
      <c r="L22" s="279">
        <v>0</v>
      </c>
      <c r="M22" s="279">
        <v>0</v>
      </c>
      <c r="N22" s="279">
        <v>0</v>
      </c>
      <c r="O22" s="279">
        <v>0</v>
      </c>
      <c r="P22" s="277">
        <f>SUM(D22:O22)</f>
        <v>0</v>
      </c>
    </row>
    <row r="23" spans="1:16">
      <c r="A23" s="302" t="s">
        <v>500</v>
      </c>
      <c r="B23" s="302"/>
      <c r="D23" s="279">
        <v>0</v>
      </c>
      <c r="E23" s="279">
        <v>0</v>
      </c>
      <c r="F23" s="279">
        <v>0</v>
      </c>
      <c r="G23" s="279">
        <v>0</v>
      </c>
      <c r="H23" s="279">
        <v>0</v>
      </c>
      <c r="I23" s="279">
        <v>0</v>
      </c>
      <c r="J23" s="279">
        <v>0</v>
      </c>
      <c r="K23" s="279">
        <v>0</v>
      </c>
      <c r="L23" s="279">
        <v>0</v>
      </c>
      <c r="M23" s="279">
        <v>0</v>
      </c>
      <c r="N23" s="279">
        <v>0</v>
      </c>
      <c r="O23" s="279">
        <v>0</v>
      </c>
      <c r="P23" s="277">
        <f>SUM(D23:O23)</f>
        <v>0</v>
      </c>
    </row>
    <row r="24" spans="1:16">
      <c r="A24" s="301" t="s">
        <v>501</v>
      </c>
      <c r="B24" s="301"/>
      <c r="D24" s="269">
        <f>ROUND(('Cash and Non-Cash'!D14)/1000,0)</f>
        <v>0</v>
      </c>
      <c r="E24" s="269">
        <f>ROUND(('Cash and Non-Cash'!E14)/1000,0)</f>
        <v>0</v>
      </c>
      <c r="F24" s="269">
        <f>ROUND(('Cash and Non-Cash'!F14)/1000,0)</f>
        <v>0</v>
      </c>
      <c r="G24" s="269">
        <f>ROUND(('Cash and Non-Cash'!G14)/1000,0)</f>
        <v>0</v>
      </c>
      <c r="H24" s="269">
        <f>ROUND(('Cash and Non-Cash'!H14)/1000,0)</f>
        <v>0</v>
      </c>
      <c r="I24" s="269">
        <f>ROUND(('Cash and Non-Cash'!I14)/1000,0)</f>
        <v>0</v>
      </c>
      <c r="J24" s="269">
        <f>ROUND(('Cash and Non-Cash'!J14)/1000,0)</f>
        <v>0</v>
      </c>
      <c r="K24" s="269">
        <f>ROUND(('Cash and Non-Cash'!K14)/1000,0)</f>
        <v>0</v>
      </c>
      <c r="L24" s="269">
        <f>ROUND(('Cash and Non-Cash'!L14)/1000,0)</f>
        <v>0</v>
      </c>
      <c r="M24" s="269">
        <f>ROUND(('Cash and Non-Cash'!M14)/1000,0)</f>
        <v>0</v>
      </c>
      <c r="N24" s="269">
        <f>ROUND(('Cash and Non-Cash'!N14)/1000,0)</f>
        <v>0</v>
      </c>
      <c r="O24" s="269">
        <f>ROUND(('Cash and Non-Cash'!O14)/1000,0)</f>
        <v>0</v>
      </c>
      <c r="P24" s="277">
        <f>SUM(D24:O24)</f>
        <v>0</v>
      </c>
    </row>
    <row r="25" spans="1:16">
      <c r="A25" s="301"/>
      <c r="B25" s="301"/>
      <c r="P25" s="277"/>
    </row>
    <row r="26" spans="1:16">
      <c r="A26" s="301" t="s">
        <v>502</v>
      </c>
      <c r="B26" s="301"/>
      <c r="D26" s="269">
        <f>-ROUND(('Cash and Non-Cash'!D84)/1000,0)</f>
        <v>-334</v>
      </c>
      <c r="E26" s="269">
        <f>-ROUND(('Cash and Non-Cash'!E84)/1000,0)</f>
        <v>-349</v>
      </c>
      <c r="F26" s="269">
        <f>-ROUND(('Cash and Non-Cash'!F84)/1000,0)</f>
        <v>-346</v>
      </c>
      <c r="G26" s="269">
        <f>-ROUND(('Cash and Non-Cash'!G84)/1000,0)</f>
        <v>-346</v>
      </c>
      <c r="H26" s="269">
        <f>-ROUND(('Cash and Non-Cash'!H84)/1000,0)</f>
        <v>-349</v>
      </c>
      <c r="I26" s="269">
        <f>-ROUND(('Cash and Non-Cash'!I84)/1000,0)</f>
        <v>-346</v>
      </c>
      <c r="J26" s="269">
        <f>-ROUND(('Cash and Non-Cash'!J84)/1000,0)</f>
        <v>-346</v>
      </c>
      <c r="K26" s="269">
        <f>-ROUND(('Cash and Non-Cash'!K84)/1000,0)</f>
        <v>-349</v>
      </c>
      <c r="L26" s="269">
        <f>-ROUND(('Cash and Non-Cash'!L84)/1000,0)</f>
        <v>-346</v>
      </c>
      <c r="M26" s="269">
        <f>-ROUND(('Cash and Non-Cash'!M84)/1000,0)</f>
        <v>-346</v>
      </c>
      <c r="N26" s="269">
        <f>-ROUND(('Cash and Non-Cash'!N84)/1000,0)</f>
        <v>-346</v>
      </c>
      <c r="O26" s="269">
        <f>-ROUND(('Cash and Non-Cash'!O84)/1000,0)</f>
        <v>-346</v>
      </c>
      <c r="P26" s="277">
        <f>SUM(D26:O26)</f>
        <v>-4149</v>
      </c>
    </row>
    <row r="27" spans="1:16" hidden="1">
      <c r="A27" s="301" t="s">
        <v>503</v>
      </c>
      <c r="B27" s="303"/>
      <c r="P27" s="277">
        <f>SUM(D27:O27)</f>
        <v>0</v>
      </c>
    </row>
    <row r="28" spans="1:16">
      <c r="A28" s="301" t="s">
        <v>504</v>
      </c>
      <c r="B28" s="301"/>
      <c r="D28" s="269">
        <f>-ROUND(('Cash and Non-Cash'!D85)/1000,0)</f>
        <v>0</v>
      </c>
      <c r="E28" s="269">
        <f>-ROUND(('Cash and Non-Cash'!E85)/1000,0)</f>
        <v>0</v>
      </c>
      <c r="F28" s="269">
        <f>-ROUND(('Cash and Non-Cash'!F85)/1000,0)</f>
        <v>0</v>
      </c>
      <c r="G28" s="269">
        <f>-ROUND(('Cash and Non-Cash'!G85)/1000,0)</f>
        <v>0</v>
      </c>
      <c r="H28" s="269">
        <f>-ROUND(('Cash and Non-Cash'!H85)/1000,0)</f>
        <v>0</v>
      </c>
      <c r="I28" s="269">
        <f>-ROUND(('Cash and Non-Cash'!I85)/1000,0)</f>
        <v>0</v>
      </c>
      <c r="J28" s="269">
        <f>-ROUND(('Cash and Non-Cash'!J85)/1000,0)</f>
        <v>0</v>
      </c>
      <c r="K28" s="269">
        <f>-ROUND(('Cash and Non-Cash'!K85)/1000,0)</f>
        <v>0</v>
      </c>
      <c r="L28" s="269">
        <f>-ROUND(('Cash and Non-Cash'!L85)/1000,0)</f>
        <v>0</v>
      </c>
      <c r="M28" s="269">
        <f>-ROUND(('Cash and Non-Cash'!M85)/1000,0)</f>
        <v>0</v>
      </c>
      <c r="N28" s="269">
        <f>-ROUND(('Cash and Non-Cash'!N85)/1000,0)</f>
        <v>0</v>
      </c>
      <c r="O28" s="269">
        <f>-ROUND(('Cash and Non-Cash'!O85)/1000,0)</f>
        <v>0</v>
      </c>
      <c r="P28" s="277">
        <f>SUM(D28:O28)</f>
        <v>0</v>
      </c>
    </row>
    <row r="29" spans="1:16">
      <c r="A29" s="304" t="s">
        <v>419</v>
      </c>
      <c r="B29" s="301"/>
      <c r="D29" s="269">
        <f>-ROUND(('Cash and Non-Cash'!D86)/1000,0)</f>
        <v>-48</v>
      </c>
      <c r="E29" s="269">
        <f>-ROUND(('Cash and Non-Cash'!E86)/1000,0)</f>
        <v>-23</v>
      </c>
      <c r="F29" s="269">
        <f>-ROUND(('Cash and Non-Cash'!F86)/1000,0)</f>
        <v>-27</v>
      </c>
      <c r="G29" s="269">
        <f>-ROUND(('Cash and Non-Cash'!G86)/1000,0)</f>
        <v>-27</v>
      </c>
      <c r="H29" s="269">
        <f>-ROUND(('Cash and Non-Cash'!H86)/1000,0)</f>
        <v>-27</v>
      </c>
      <c r="I29" s="269">
        <f>-ROUND(('Cash and Non-Cash'!I86)/1000,0)</f>
        <v>-28</v>
      </c>
      <c r="J29" s="269">
        <f>-ROUND(('Cash and Non-Cash'!J86)/1000,0)</f>
        <v>-28</v>
      </c>
      <c r="K29" s="269">
        <f>-ROUND(('Cash and Non-Cash'!K86)/1000,0)</f>
        <v>-28</v>
      </c>
      <c r="L29" s="269">
        <f>-ROUND(('Cash and Non-Cash'!L86)/1000,0)</f>
        <v>-28</v>
      </c>
      <c r="M29" s="269">
        <f>-ROUND(('Cash and Non-Cash'!M86)/1000,0)</f>
        <v>-28</v>
      </c>
      <c r="N29" s="269">
        <f>-ROUND(('Cash and Non-Cash'!N86)/1000,0)</f>
        <v>-28</v>
      </c>
      <c r="O29" s="269">
        <f>-ROUND(('Cash and Non-Cash'!O86)/1000,0)</f>
        <v>-28</v>
      </c>
      <c r="P29" s="277">
        <f>SUM(D29:O29)</f>
        <v>-348</v>
      </c>
    </row>
    <row r="30" spans="1:16">
      <c r="A30" s="305" t="s">
        <v>505</v>
      </c>
      <c r="B30" s="302"/>
      <c r="D30" s="306">
        <f>+INDIRECT!D19</f>
        <v>0</v>
      </c>
      <c r="E30" s="306">
        <f>+INDIRECT!E19</f>
        <v>0</v>
      </c>
      <c r="F30" s="306">
        <f>+INDIRECT!F19</f>
        <v>0</v>
      </c>
      <c r="G30" s="306">
        <f>+INDIRECT!G19</f>
        <v>0</v>
      </c>
      <c r="H30" s="306">
        <f>+INDIRECT!H19</f>
        <v>0</v>
      </c>
      <c r="I30" s="306">
        <f>+INDIRECT!I19</f>
        <v>0</v>
      </c>
      <c r="J30" s="306">
        <f>+INDIRECT!J19</f>
        <v>0</v>
      </c>
      <c r="K30" s="306">
        <f>+INDIRECT!K19</f>
        <v>0</v>
      </c>
      <c r="L30" s="306">
        <f>+INDIRECT!L19</f>
        <v>0</v>
      </c>
      <c r="M30" s="306">
        <f>+INDIRECT!M19</f>
        <v>0</v>
      </c>
      <c r="N30" s="306">
        <f>+INDIRECT!N19</f>
        <v>0</v>
      </c>
      <c r="O30" s="306">
        <f>+INDIRECT!O19</f>
        <v>0</v>
      </c>
      <c r="P30" s="277">
        <f>SUM(D30:O30)</f>
        <v>0</v>
      </c>
    </row>
    <row r="31" spans="1:16">
      <c r="A31" s="301"/>
      <c r="B31" s="301"/>
      <c r="P31" s="277"/>
    </row>
    <row r="32" spans="1:16">
      <c r="A32" s="301" t="s">
        <v>506</v>
      </c>
      <c r="B32" s="301"/>
      <c r="D32" s="279">
        <v>0</v>
      </c>
      <c r="E32" s="279">
        <v>0</v>
      </c>
      <c r="F32" s="279">
        <v>0</v>
      </c>
      <c r="G32" s="279">
        <v>0</v>
      </c>
      <c r="H32" s="279">
        <v>0</v>
      </c>
      <c r="I32" s="279">
        <v>0</v>
      </c>
      <c r="J32" s="279">
        <v>0</v>
      </c>
      <c r="K32" s="279">
        <v>0</v>
      </c>
      <c r="L32" s="279">
        <v>0</v>
      </c>
      <c r="M32" s="279">
        <v>0</v>
      </c>
      <c r="N32" s="279">
        <v>0</v>
      </c>
      <c r="O32" s="279">
        <v>0</v>
      </c>
      <c r="P32" s="277">
        <f>SUM(D32:O32)</f>
        <v>0</v>
      </c>
    </row>
    <row r="33" spans="1:18">
      <c r="A33" s="302" t="s">
        <v>507</v>
      </c>
      <c r="B33" s="302"/>
      <c r="D33" s="279">
        <v>0</v>
      </c>
      <c r="E33" s="279">
        <v>0</v>
      </c>
      <c r="F33" s="279">
        <v>0</v>
      </c>
      <c r="G33" s="279">
        <v>0</v>
      </c>
      <c r="H33" s="279">
        <v>0</v>
      </c>
      <c r="I33" s="279">
        <v>0</v>
      </c>
      <c r="J33" s="279">
        <v>0</v>
      </c>
      <c r="K33" s="279">
        <v>0</v>
      </c>
      <c r="L33" s="279">
        <v>0</v>
      </c>
      <c r="M33" s="279">
        <v>0</v>
      </c>
      <c r="N33" s="279">
        <v>0</v>
      </c>
      <c r="O33" s="279">
        <v>0</v>
      </c>
      <c r="P33" s="277">
        <f>SUM(D33:O33)</f>
        <v>0</v>
      </c>
    </row>
    <row r="34" spans="1:18">
      <c r="A34" s="302" t="s">
        <v>508</v>
      </c>
      <c r="B34" s="302"/>
      <c r="D34" s="279">
        <v>0</v>
      </c>
      <c r="E34" s="279">
        <v>0</v>
      </c>
      <c r="F34" s="279">
        <v>0</v>
      </c>
      <c r="G34" s="279">
        <v>0</v>
      </c>
      <c r="H34" s="279">
        <v>0</v>
      </c>
      <c r="I34" s="279">
        <v>0</v>
      </c>
      <c r="J34" s="279">
        <v>0</v>
      </c>
      <c r="K34" s="279">
        <v>0</v>
      </c>
      <c r="L34" s="279">
        <v>0</v>
      </c>
      <c r="M34" s="279">
        <v>0</v>
      </c>
      <c r="N34" s="279">
        <v>0</v>
      </c>
      <c r="O34" s="279">
        <v>0</v>
      </c>
      <c r="P34" s="277">
        <f>SUM(D34:O34)</f>
        <v>0</v>
      </c>
    </row>
    <row r="35" spans="1:18">
      <c r="A35" s="301"/>
      <c r="B35" s="301"/>
      <c r="P35" s="277"/>
    </row>
    <row r="36" spans="1:18">
      <c r="A36" s="301" t="s">
        <v>509</v>
      </c>
      <c r="B36" s="301"/>
      <c r="D36" s="287">
        <f>+'Schedule E - Other'!D60</f>
        <v>0</v>
      </c>
      <c r="E36" s="287">
        <f>+'Schedule E - Other'!E60</f>
        <v>0</v>
      </c>
      <c r="F36" s="287">
        <f>+'Schedule E - Other'!F60</f>
        <v>0</v>
      </c>
      <c r="G36" s="287">
        <f>+'Schedule E - Other'!G60</f>
        <v>0</v>
      </c>
      <c r="H36" s="287">
        <f>+'Schedule E - Other'!H60</f>
        <v>0</v>
      </c>
      <c r="I36" s="287">
        <f>+'Schedule E - Other'!I60</f>
        <v>0</v>
      </c>
      <c r="J36" s="287">
        <f>+'Schedule E - Other'!J60</f>
        <v>0</v>
      </c>
      <c r="K36" s="287">
        <f>+'Schedule E - Other'!K60</f>
        <v>0</v>
      </c>
      <c r="L36" s="287">
        <f>+'Schedule E - Other'!L60</f>
        <v>0</v>
      </c>
      <c r="M36" s="287">
        <f>+'Schedule E - Other'!M60</f>
        <v>0</v>
      </c>
      <c r="N36" s="287">
        <f>+'Schedule E - Other'!N60</f>
        <v>0</v>
      </c>
      <c r="O36" s="287">
        <f>+'Schedule E - Other'!O60</f>
        <v>0</v>
      </c>
      <c r="P36" s="307">
        <f>SUM(D36:O36)</f>
        <v>0</v>
      </c>
    </row>
    <row r="37" spans="1:18">
      <c r="A37" s="301"/>
      <c r="B37" s="301"/>
      <c r="P37" s="277"/>
    </row>
    <row r="38" spans="1:18">
      <c r="A38" s="300"/>
      <c r="B38" s="300" t="s">
        <v>442</v>
      </c>
      <c r="D38" s="277">
        <f t="shared" ref="D38:P38" si="0">SUM(D9:D36)</f>
        <v>-382</v>
      </c>
      <c r="E38" s="277">
        <f t="shared" si="0"/>
        <v>-372</v>
      </c>
      <c r="F38" s="277">
        <f t="shared" si="0"/>
        <v>-373</v>
      </c>
      <c r="G38" s="277">
        <f t="shared" si="0"/>
        <v>-373</v>
      </c>
      <c r="H38" s="277">
        <f t="shared" si="0"/>
        <v>-376</v>
      </c>
      <c r="I38" s="277">
        <f t="shared" si="0"/>
        <v>-374</v>
      </c>
      <c r="J38" s="277">
        <f t="shared" si="0"/>
        <v>-374</v>
      </c>
      <c r="K38" s="277">
        <f t="shared" si="0"/>
        <v>-377</v>
      </c>
      <c r="L38" s="277">
        <f t="shared" si="0"/>
        <v>-374</v>
      </c>
      <c r="M38" s="277">
        <f t="shared" si="0"/>
        <v>-374</v>
      </c>
      <c r="N38" s="277">
        <f t="shared" si="0"/>
        <v>-374</v>
      </c>
      <c r="O38" s="277">
        <f t="shared" si="0"/>
        <v>-374</v>
      </c>
      <c r="P38" s="277">
        <f t="shared" si="0"/>
        <v>-4497</v>
      </c>
      <c r="R38" s="277">
        <f>+P38-INDIRECT!P24</f>
        <v>-1</v>
      </c>
    </row>
    <row r="39" spans="1:18">
      <c r="A39" s="301"/>
      <c r="B39" s="301"/>
      <c r="P39" s="277"/>
    </row>
    <row r="40" spans="1:18">
      <c r="A40" s="300" t="s">
        <v>510</v>
      </c>
      <c r="B40" s="301"/>
      <c r="P40" s="277"/>
    </row>
    <row r="41" spans="1:18">
      <c r="A41" s="298" t="s">
        <v>603</v>
      </c>
      <c r="B41" s="301"/>
      <c r="D41" s="308">
        <f>+INDIRECT!D41</f>
        <v>0</v>
      </c>
      <c r="E41" s="308">
        <f>+INDIRECT!E41</f>
        <v>0</v>
      </c>
      <c r="F41" s="308">
        <f>+INDIRECT!F41</f>
        <v>0</v>
      </c>
      <c r="G41" s="308">
        <f>+INDIRECT!G41</f>
        <v>0</v>
      </c>
      <c r="H41" s="308">
        <f>+INDIRECT!H41</f>
        <v>0</v>
      </c>
      <c r="I41" s="308">
        <f>+INDIRECT!I41</f>
        <v>0</v>
      </c>
      <c r="J41" s="308">
        <f>+INDIRECT!J41</f>
        <v>0</v>
      </c>
      <c r="K41" s="308">
        <f>+INDIRECT!K41</f>
        <v>0</v>
      </c>
      <c r="L41" s="308">
        <f>+INDIRECT!L41</f>
        <v>0</v>
      </c>
      <c r="M41" s="308">
        <f>+INDIRECT!M41</f>
        <v>0</v>
      </c>
      <c r="N41" s="308">
        <f>+INDIRECT!N41</f>
        <v>0</v>
      </c>
      <c r="O41" s="308">
        <f>+INDIRECT!O41</f>
        <v>0</v>
      </c>
      <c r="P41" s="277">
        <f t="shared" ref="P41:P46" si="1">SUM(D41:O41)</f>
        <v>0</v>
      </c>
    </row>
    <row r="42" spans="1:18">
      <c r="A42" s="298" t="s">
        <v>511</v>
      </c>
      <c r="B42" s="301"/>
      <c r="D42" s="308">
        <f>+INDIRECT!D42</f>
        <v>0</v>
      </c>
      <c r="E42" s="308">
        <f>+INDIRECT!E42</f>
        <v>0</v>
      </c>
      <c r="F42" s="308">
        <f>+INDIRECT!F42</f>
        <v>500</v>
      </c>
      <c r="G42" s="308">
        <f>+INDIRECT!G42</f>
        <v>0</v>
      </c>
      <c r="H42" s="308">
        <f>+INDIRECT!H42</f>
        <v>250</v>
      </c>
      <c r="I42" s="308">
        <f>+INDIRECT!I42</f>
        <v>0</v>
      </c>
      <c r="J42" s="308">
        <f>+INDIRECT!J42</f>
        <v>0</v>
      </c>
      <c r="K42" s="308">
        <f>+INDIRECT!K42</f>
        <v>0</v>
      </c>
      <c r="L42" s="308">
        <f>+INDIRECT!L42</f>
        <v>0</v>
      </c>
      <c r="M42" s="308">
        <f>+INDIRECT!M42</f>
        <v>0</v>
      </c>
      <c r="N42" s="308">
        <f>+INDIRECT!N42</f>
        <v>0</v>
      </c>
      <c r="O42" s="308">
        <f>+INDIRECT!O42</f>
        <v>0</v>
      </c>
      <c r="P42" s="277">
        <f t="shared" si="1"/>
        <v>750</v>
      </c>
    </row>
    <row r="43" spans="1:18">
      <c r="A43" s="298" t="s">
        <v>604</v>
      </c>
      <c r="B43" s="301"/>
      <c r="D43" s="308">
        <f>+INDIRECT!D43</f>
        <v>0</v>
      </c>
      <c r="E43" s="308">
        <f>+INDIRECT!E43</f>
        <v>0</v>
      </c>
      <c r="F43" s="308">
        <f>+INDIRECT!F43</f>
        <v>0</v>
      </c>
      <c r="G43" s="308">
        <f>+INDIRECT!G43</f>
        <v>0</v>
      </c>
      <c r="H43" s="308">
        <f>+INDIRECT!H43</f>
        <v>0</v>
      </c>
      <c r="I43" s="308">
        <f>+INDIRECT!I43</f>
        <v>0</v>
      </c>
      <c r="J43" s="308">
        <f>+INDIRECT!J43</f>
        <v>0</v>
      </c>
      <c r="K43" s="308">
        <f>+INDIRECT!K43</f>
        <v>0</v>
      </c>
      <c r="L43" s="308">
        <f>+INDIRECT!L43</f>
        <v>0</v>
      </c>
      <c r="M43" s="308">
        <f>+INDIRECT!M43</f>
        <v>0</v>
      </c>
      <c r="N43" s="308">
        <f>+INDIRECT!N43</f>
        <v>0</v>
      </c>
      <c r="O43" s="308">
        <f>+INDIRECT!O43</f>
        <v>0</v>
      </c>
      <c r="P43" s="277">
        <f t="shared" si="1"/>
        <v>0</v>
      </c>
    </row>
    <row r="44" spans="1:18" hidden="1">
      <c r="A44" s="298" t="s">
        <v>512</v>
      </c>
      <c r="B44" s="303"/>
      <c r="D44" s="308">
        <f>+INDIRECT!D44</f>
        <v>0</v>
      </c>
      <c r="E44" s="308">
        <f>+INDIRECT!E44</f>
        <v>0</v>
      </c>
      <c r="F44" s="308">
        <f>+INDIRECT!F44</f>
        <v>0</v>
      </c>
      <c r="G44" s="308">
        <f>+INDIRECT!G44</f>
        <v>0</v>
      </c>
      <c r="H44" s="308">
        <f>+INDIRECT!H44</f>
        <v>0</v>
      </c>
      <c r="I44" s="308">
        <f>+INDIRECT!I44</f>
        <v>0</v>
      </c>
      <c r="J44" s="308">
        <f>+INDIRECT!J44</f>
        <v>0</v>
      </c>
      <c r="K44" s="308">
        <f>+INDIRECT!K44</f>
        <v>0</v>
      </c>
      <c r="L44" s="308">
        <f>+INDIRECT!L44</f>
        <v>0</v>
      </c>
      <c r="M44" s="308">
        <f>+INDIRECT!M44</f>
        <v>0</v>
      </c>
      <c r="N44" s="308">
        <f>+INDIRECT!N44</f>
        <v>0</v>
      </c>
      <c r="O44" s="308">
        <f>+INDIRECT!O44</f>
        <v>0</v>
      </c>
      <c r="P44" s="277">
        <f t="shared" si="1"/>
        <v>0</v>
      </c>
    </row>
    <row r="45" spans="1:18" hidden="1">
      <c r="A45" s="298" t="s">
        <v>513</v>
      </c>
      <c r="B45" s="303"/>
      <c r="D45" s="308">
        <f>+INDIRECT!D45</f>
        <v>0</v>
      </c>
      <c r="E45" s="308">
        <f>+INDIRECT!E45</f>
        <v>0</v>
      </c>
      <c r="F45" s="308">
        <f>+INDIRECT!F45</f>
        <v>0</v>
      </c>
      <c r="G45" s="308">
        <f>+INDIRECT!G45</f>
        <v>0</v>
      </c>
      <c r="H45" s="308">
        <f>+INDIRECT!H45</f>
        <v>0</v>
      </c>
      <c r="I45" s="308">
        <f>+INDIRECT!I45</f>
        <v>0</v>
      </c>
      <c r="J45" s="308">
        <f>+INDIRECT!J45</f>
        <v>0</v>
      </c>
      <c r="K45" s="308">
        <f>+INDIRECT!K45</f>
        <v>0</v>
      </c>
      <c r="L45" s="308">
        <f>+INDIRECT!L45</f>
        <v>0</v>
      </c>
      <c r="M45" s="308">
        <f>+INDIRECT!M45</f>
        <v>0</v>
      </c>
      <c r="N45" s="308">
        <f>+INDIRECT!N45</f>
        <v>0</v>
      </c>
      <c r="O45" s="308">
        <f>+INDIRECT!O45</f>
        <v>0</v>
      </c>
      <c r="P45" s="277">
        <f t="shared" si="1"/>
        <v>0</v>
      </c>
    </row>
    <row r="46" spans="1:18">
      <c r="A46" s="298" t="s">
        <v>514</v>
      </c>
      <c r="B46" s="301"/>
      <c r="D46" s="287">
        <f>+INDIRECT!D46</f>
        <v>0</v>
      </c>
      <c r="E46" s="287">
        <f>+INDIRECT!E46</f>
        <v>0</v>
      </c>
      <c r="F46" s="287">
        <f>+INDIRECT!F46</f>
        <v>0</v>
      </c>
      <c r="G46" s="287">
        <f>+INDIRECT!G46</f>
        <v>0</v>
      </c>
      <c r="H46" s="287">
        <f>+INDIRECT!H46</f>
        <v>0</v>
      </c>
      <c r="I46" s="287">
        <f>+INDIRECT!I46</f>
        <v>0</v>
      </c>
      <c r="J46" s="287">
        <f>+INDIRECT!J46</f>
        <v>0</v>
      </c>
      <c r="K46" s="287">
        <f>+INDIRECT!K46</f>
        <v>0</v>
      </c>
      <c r="L46" s="287">
        <f>+INDIRECT!L46</f>
        <v>0</v>
      </c>
      <c r="M46" s="287">
        <f>+INDIRECT!M46</f>
        <v>0</v>
      </c>
      <c r="N46" s="287">
        <f>+INDIRECT!N46</f>
        <v>0</v>
      </c>
      <c r="O46" s="287">
        <f>+INDIRECT!O46</f>
        <v>0</v>
      </c>
      <c r="P46" s="307">
        <f t="shared" si="1"/>
        <v>0</v>
      </c>
    </row>
    <row r="47" spans="1:18">
      <c r="A47" s="300"/>
      <c r="B47" s="300" t="s">
        <v>454</v>
      </c>
      <c r="D47" s="277">
        <f t="shared" ref="D47:P47" si="2">SUM(D41:D46)</f>
        <v>0</v>
      </c>
      <c r="E47" s="277">
        <f t="shared" si="2"/>
        <v>0</v>
      </c>
      <c r="F47" s="277">
        <f t="shared" si="2"/>
        <v>500</v>
      </c>
      <c r="G47" s="277">
        <f t="shared" si="2"/>
        <v>0</v>
      </c>
      <c r="H47" s="277">
        <f t="shared" si="2"/>
        <v>250</v>
      </c>
      <c r="I47" s="277">
        <f t="shared" si="2"/>
        <v>0</v>
      </c>
      <c r="J47" s="277">
        <f t="shared" si="2"/>
        <v>0</v>
      </c>
      <c r="K47" s="277">
        <f t="shared" si="2"/>
        <v>0</v>
      </c>
      <c r="L47" s="277">
        <f t="shared" si="2"/>
        <v>0</v>
      </c>
      <c r="M47" s="277">
        <f t="shared" si="2"/>
        <v>0</v>
      </c>
      <c r="N47" s="277">
        <f t="shared" si="2"/>
        <v>0</v>
      </c>
      <c r="O47" s="277">
        <f t="shared" si="2"/>
        <v>0</v>
      </c>
      <c r="P47" s="277">
        <f t="shared" si="2"/>
        <v>750</v>
      </c>
      <c r="R47" s="277">
        <f>+P47-INDIRECT!P48</f>
        <v>0</v>
      </c>
    </row>
    <row r="48" spans="1:18">
      <c r="A48" s="300"/>
      <c r="B48" s="300"/>
      <c r="P48" s="277"/>
    </row>
    <row r="49" spans="1:18">
      <c r="A49" s="309" t="s">
        <v>459</v>
      </c>
      <c r="B49" s="300"/>
      <c r="D49" s="277">
        <f t="shared" ref="D49:P49" si="3">+D38+D47</f>
        <v>-382</v>
      </c>
      <c r="E49" s="277">
        <f t="shared" si="3"/>
        <v>-372</v>
      </c>
      <c r="F49" s="277">
        <f t="shared" si="3"/>
        <v>127</v>
      </c>
      <c r="G49" s="277">
        <f t="shared" si="3"/>
        <v>-373</v>
      </c>
      <c r="H49" s="277">
        <f t="shared" si="3"/>
        <v>-126</v>
      </c>
      <c r="I49" s="277">
        <f t="shared" si="3"/>
        <v>-374</v>
      </c>
      <c r="J49" s="277">
        <f t="shared" si="3"/>
        <v>-374</v>
      </c>
      <c r="K49" s="277">
        <f t="shared" si="3"/>
        <v>-377</v>
      </c>
      <c r="L49" s="277">
        <f t="shared" si="3"/>
        <v>-374</v>
      </c>
      <c r="M49" s="277">
        <f t="shared" si="3"/>
        <v>-374</v>
      </c>
      <c r="N49" s="277">
        <f t="shared" si="3"/>
        <v>-374</v>
      </c>
      <c r="O49" s="277">
        <f t="shared" si="3"/>
        <v>-374</v>
      </c>
      <c r="P49" s="277">
        <f t="shared" si="3"/>
        <v>-3747</v>
      </c>
      <c r="R49" s="277">
        <f>+P49-INDIRECT!P50</f>
        <v>-1</v>
      </c>
    </row>
    <row r="50" spans="1:18">
      <c r="A50" s="301"/>
      <c r="B50" s="301"/>
      <c r="P50" s="277"/>
    </row>
    <row r="51" spans="1:18">
      <c r="A51" s="300" t="s">
        <v>460</v>
      </c>
      <c r="B51" s="301"/>
      <c r="P51" s="277"/>
    </row>
    <row r="52" spans="1:18">
      <c r="A52" s="298" t="s">
        <v>515</v>
      </c>
      <c r="B52" s="301"/>
      <c r="D52" s="308">
        <f>+INDIRECT!D53</f>
        <v>0</v>
      </c>
      <c r="E52" s="308">
        <f>+INDIRECT!E53</f>
        <v>0</v>
      </c>
      <c r="F52" s="308">
        <f>+INDIRECT!F53</f>
        <v>0</v>
      </c>
      <c r="G52" s="308">
        <f>+INDIRECT!G53</f>
        <v>0</v>
      </c>
      <c r="H52" s="308">
        <f>+INDIRECT!H53</f>
        <v>0</v>
      </c>
      <c r="I52" s="308">
        <f>+INDIRECT!I53</f>
        <v>0</v>
      </c>
      <c r="J52" s="308">
        <f>+INDIRECT!J53</f>
        <v>0</v>
      </c>
      <c r="K52" s="308">
        <f>+INDIRECT!K53</f>
        <v>0</v>
      </c>
      <c r="L52" s="308">
        <f>+INDIRECT!L53</f>
        <v>0</v>
      </c>
      <c r="M52" s="308">
        <f>+INDIRECT!M53</f>
        <v>0</v>
      </c>
      <c r="N52" s="308">
        <f>+INDIRECT!N53</f>
        <v>0</v>
      </c>
      <c r="O52" s="308">
        <f>+INDIRECT!O53</f>
        <v>0</v>
      </c>
      <c r="P52" s="277">
        <f t="shared" ref="P52:P58" si="4">SUM(D52:O52)</f>
        <v>0</v>
      </c>
    </row>
    <row r="53" spans="1:18" hidden="1">
      <c r="A53" s="298" t="s">
        <v>516</v>
      </c>
      <c r="B53" s="303"/>
      <c r="D53" s="308">
        <f>+INDIRECT!D54</f>
        <v>0</v>
      </c>
      <c r="E53" s="308">
        <f>+INDIRECT!E54</f>
        <v>0</v>
      </c>
      <c r="F53" s="308">
        <f>+INDIRECT!F54</f>
        <v>0</v>
      </c>
      <c r="G53" s="308">
        <f>+INDIRECT!G54</f>
        <v>0</v>
      </c>
      <c r="H53" s="308">
        <f>+INDIRECT!H54</f>
        <v>0</v>
      </c>
      <c r="I53" s="308">
        <f>+INDIRECT!I54</f>
        <v>0</v>
      </c>
      <c r="J53" s="308">
        <f>+INDIRECT!J54</f>
        <v>0</v>
      </c>
      <c r="K53" s="308">
        <f>+INDIRECT!K54</f>
        <v>0</v>
      </c>
      <c r="L53" s="308">
        <f>+INDIRECT!L54</f>
        <v>0</v>
      </c>
      <c r="M53" s="308">
        <f>+INDIRECT!M54</f>
        <v>0</v>
      </c>
      <c r="N53" s="308">
        <f>+INDIRECT!N54</f>
        <v>0</v>
      </c>
      <c r="O53" s="308">
        <f>+INDIRECT!O54</f>
        <v>0</v>
      </c>
      <c r="P53" s="277">
        <f t="shared" si="4"/>
        <v>0</v>
      </c>
    </row>
    <row r="54" spans="1:18" hidden="1">
      <c r="A54" s="298" t="s">
        <v>517</v>
      </c>
      <c r="B54" s="303"/>
      <c r="D54" s="308">
        <f>+INDIRECT!D55</f>
        <v>0</v>
      </c>
      <c r="E54" s="308">
        <f>+INDIRECT!E55</f>
        <v>0</v>
      </c>
      <c r="F54" s="308">
        <f>+INDIRECT!F55</f>
        <v>0</v>
      </c>
      <c r="G54" s="308">
        <f>+INDIRECT!G55</f>
        <v>0</v>
      </c>
      <c r="H54" s="308">
        <f>+INDIRECT!H55</f>
        <v>0</v>
      </c>
      <c r="I54" s="308">
        <f>+INDIRECT!I55</f>
        <v>0</v>
      </c>
      <c r="J54" s="308">
        <f>+INDIRECT!J55</f>
        <v>0</v>
      </c>
      <c r="K54" s="308">
        <f>+INDIRECT!K55</f>
        <v>0</v>
      </c>
      <c r="L54" s="308">
        <f>+INDIRECT!L55</f>
        <v>0</v>
      </c>
      <c r="M54" s="308">
        <f>+INDIRECT!M55</f>
        <v>0</v>
      </c>
      <c r="N54" s="308">
        <f>+INDIRECT!N55</f>
        <v>0</v>
      </c>
      <c r="O54" s="308">
        <f>+INDIRECT!O55</f>
        <v>0</v>
      </c>
      <c r="P54" s="277">
        <f t="shared" si="4"/>
        <v>0</v>
      </c>
    </row>
    <row r="55" spans="1:18" hidden="1">
      <c r="A55" s="298" t="s">
        <v>518</v>
      </c>
      <c r="B55" s="303"/>
      <c r="D55" s="308">
        <f>+INDIRECT!D56</f>
        <v>0</v>
      </c>
      <c r="E55" s="308">
        <f>+INDIRECT!E56</f>
        <v>0</v>
      </c>
      <c r="F55" s="308">
        <f>+INDIRECT!F56</f>
        <v>0</v>
      </c>
      <c r="G55" s="308">
        <f>+INDIRECT!G56</f>
        <v>0</v>
      </c>
      <c r="H55" s="308">
        <f>+INDIRECT!H56</f>
        <v>0</v>
      </c>
      <c r="I55" s="308">
        <f>+INDIRECT!I56</f>
        <v>0</v>
      </c>
      <c r="J55" s="308">
        <f>+INDIRECT!J56</f>
        <v>0</v>
      </c>
      <c r="K55" s="308">
        <f>+INDIRECT!K56</f>
        <v>0</v>
      </c>
      <c r="L55" s="308">
        <f>+INDIRECT!L56</f>
        <v>0</v>
      </c>
      <c r="M55" s="308">
        <f>+INDIRECT!M56</f>
        <v>0</v>
      </c>
      <c r="N55" s="308">
        <f>+INDIRECT!N56</f>
        <v>0</v>
      </c>
      <c r="O55" s="308">
        <f>+INDIRECT!O56</f>
        <v>0</v>
      </c>
      <c r="P55" s="277">
        <f t="shared" si="4"/>
        <v>0</v>
      </c>
    </row>
    <row r="56" spans="1:18" hidden="1">
      <c r="A56" s="298" t="s">
        <v>519</v>
      </c>
      <c r="B56" s="303"/>
      <c r="D56" s="308">
        <f>+INDIRECT!D57</f>
        <v>0</v>
      </c>
      <c r="E56" s="308">
        <f>+INDIRECT!E57</f>
        <v>0</v>
      </c>
      <c r="F56" s="308">
        <f>+INDIRECT!F57</f>
        <v>0</v>
      </c>
      <c r="G56" s="308">
        <f>+INDIRECT!G57</f>
        <v>0</v>
      </c>
      <c r="H56" s="308">
        <f>+INDIRECT!H57</f>
        <v>0</v>
      </c>
      <c r="I56" s="308">
        <f>+INDIRECT!I57</f>
        <v>0</v>
      </c>
      <c r="J56" s="308">
        <f>+INDIRECT!J57</f>
        <v>0</v>
      </c>
      <c r="K56" s="308">
        <f>+INDIRECT!K57</f>
        <v>0</v>
      </c>
      <c r="L56" s="308">
        <f>+INDIRECT!L57</f>
        <v>0</v>
      </c>
      <c r="M56" s="308">
        <f>+INDIRECT!M57</f>
        <v>0</v>
      </c>
      <c r="N56" s="308">
        <f>+INDIRECT!N57</f>
        <v>0</v>
      </c>
      <c r="O56" s="308">
        <f>+INDIRECT!O57</f>
        <v>0</v>
      </c>
      <c r="P56" s="277">
        <f t="shared" si="4"/>
        <v>0</v>
      </c>
    </row>
    <row r="57" spans="1:18" hidden="1">
      <c r="A57" s="298" t="s">
        <v>520</v>
      </c>
      <c r="B57" s="303"/>
      <c r="D57" s="308">
        <f>+INDIRECT!D58</f>
        <v>0</v>
      </c>
      <c r="E57" s="308">
        <f>+INDIRECT!E58</f>
        <v>0</v>
      </c>
      <c r="F57" s="308">
        <f>+INDIRECT!F58</f>
        <v>0</v>
      </c>
      <c r="G57" s="308">
        <f>+INDIRECT!G58</f>
        <v>0</v>
      </c>
      <c r="H57" s="308">
        <f>+INDIRECT!H58</f>
        <v>0</v>
      </c>
      <c r="I57" s="308">
        <f>+INDIRECT!I58</f>
        <v>0</v>
      </c>
      <c r="J57" s="308">
        <f>+INDIRECT!J58</f>
        <v>0</v>
      </c>
      <c r="K57" s="308">
        <f>+INDIRECT!K58</f>
        <v>0</v>
      </c>
      <c r="L57" s="308">
        <f>+INDIRECT!L58</f>
        <v>0</v>
      </c>
      <c r="M57" s="308">
        <f>+INDIRECT!M58</f>
        <v>0</v>
      </c>
      <c r="N57" s="308">
        <f>+INDIRECT!N58</f>
        <v>0</v>
      </c>
      <c r="O57" s="308">
        <f>+INDIRECT!O58</f>
        <v>0</v>
      </c>
      <c r="P57" s="277">
        <f t="shared" si="4"/>
        <v>0</v>
      </c>
    </row>
    <row r="58" spans="1:18">
      <c r="A58" s="298" t="s">
        <v>514</v>
      </c>
      <c r="B58" s="301"/>
      <c r="D58" s="287">
        <f>+INDIRECT!D59</f>
        <v>0</v>
      </c>
      <c r="E58" s="287">
        <f>+INDIRECT!E59</f>
        <v>0</v>
      </c>
      <c r="F58" s="287">
        <f>+INDIRECT!F59</f>
        <v>0</v>
      </c>
      <c r="G58" s="287">
        <f>+INDIRECT!G59</f>
        <v>0</v>
      </c>
      <c r="H58" s="287">
        <f>+INDIRECT!H59</f>
        <v>0</v>
      </c>
      <c r="I58" s="287">
        <f>+INDIRECT!I59</f>
        <v>0</v>
      </c>
      <c r="J58" s="287">
        <f>+INDIRECT!J59</f>
        <v>0</v>
      </c>
      <c r="K58" s="287">
        <f>+INDIRECT!K59</f>
        <v>0</v>
      </c>
      <c r="L58" s="287">
        <f>+INDIRECT!L59</f>
        <v>0</v>
      </c>
      <c r="M58" s="287">
        <f>+INDIRECT!M59</f>
        <v>0</v>
      </c>
      <c r="N58" s="287">
        <f>+INDIRECT!N59</f>
        <v>0</v>
      </c>
      <c r="O58" s="287">
        <f>+INDIRECT!O59</f>
        <v>0</v>
      </c>
      <c r="P58" s="307">
        <f t="shared" si="4"/>
        <v>0</v>
      </c>
    </row>
    <row r="59" spans="1:18">
      <c r="A59" s="300"/>
      <c r="B59" s="300" t="s">
        <v>460</v>
      </c>
      <c r="D59" s="277">
        <f t="shared" ref="D59:P59" si="5">SUM(D52:D58)</f>
        <v>0</v>
      </c>
      <c r="E59" s="277">
        <f t="shared" si="5"/>
        <v>0</v>
      </c>
      <c r="F59" s="277">
        <f t="shared" si="5"/>
        <v>0</v>
      </c>
      <c r="G59" s="277">
        <f t="shared" si="5"/>
        <v>0</v>
      </c>
      <c r="H59" s="277">
        <f t="shared" si="5"/>
        <v>0</v>
      </c>
      <c r="I59" s="277">
        <f t="shared" si="5"/>
        <v>0</v>
      </c>
      <c r="J59" s="277">
        <f t="shared" si="5"/>
        <v>0</v>
      </c>
      <c r="K59" s="277">
        <f t="shared" si="5"/>
        <v>0</v>
      </c>
      <c r="L59" s="277">
        <f t="shared" si="5"/>
        <v>0</v>
      </c>
      <c r="M59" s="277">
        <f t="shared" si="5"/>
        <v>0</v>
      </c>
      <c r="N59" s="277">
        <f t="shared" si="5"/>
        <v>0</v>
      </c>
      <c r="O59" s="277">
        <f t="shared" si="5"/>
        <v>0</v>
      </c>
      <c r="P59" s="277">
        <f t="shared" si="5"/>
        <v>0</v>
      </c>
      <c r="R59" s="277">
        <f>+P59-INDIRECT!P61</f>
        <v>0</v>
      </c>
    </row>
    <row r="60" spans="1:18">
      <c r="A60" s="301"/>
      <c r="B60" s="301"/>
      <c r="P60" s="277"/>
    </row>
    <row r="61" spans="1:18">
      <c r="A61" s="288" t="s">
        <v>468</v>
      </c>
      <c r="B61" s="300"/>
      <c r="D61" s="310">
        <f t="shared" ref="D61:P61" si="6">+D59+D47+D38</f>
        <v>-382</v>
      </c>
      <c r="E61" s="310">
        <f t="shared" si="6"/>
        <v>-372</v>
      </c>
      <c r="F61" s="310">
        <f t="shared" si="6"/>
        <v>127</v>
      </c>
      <c r="G61" s="310">
        <f t="shared" si="6"/>
        <v>-373</v>
      </c>
      <c r="H61" s="310">
        <f t="shared" si="6"/>
        <v>-126</v>
      </c>
      <c r="I61" s="310">
        <f t="shared" si="6"/>
        <v>-374</v>
      </c>
      <c r="J61" s="310">
        <f t="shared" si="6"/>
        <v>-374</v>
      </c>
      <c r="K61" s="310">
        <f t="shared" si="6"/>
        <v>-377</v>
      </c>
      <c r="L61" s="310">
        <f t="shared" si="6"/>
        <v>-374</v>
      </c>
      <c r="M61" s="310">
        <f t="shared" si="6"/>
        <v>-374</v>
      </c>
      <c r="N61" s="310">
        <f t="shared" si="6"/>
        <v>-374</v>
      </c>
      <c r="O61" s="310">
        <f t="shared" si="6"/>
        <v>-374</v>
      </c>
      <c r="P61" s="277">
        <f t="shared" si="6"/>
        <v>-3747</v>
      </c>
      <c r="R61" s="277">
        <f>+P61-INDIRECT!P63</f>
        <v>-1</v>
      </c>
    </row>
    <row r="62" spans="1:18">
      <c r="A62" s="301"/>
      <c r="B62" s="301"/>
      <c r="P62" s="277"/>
    </row>
    <row r="63" spans="1:18">
      <c r="A63" s="301" t="s">
        <v>521</v>
      </c>
      <c r="B63" s="301"/>
      <c r="D63" s="287">
        <f>+INDIRECT!D65</f>
        <v>0</v>
      </c>
      <c r="E63" s="287">
        <f>+INDIRECT!E65</f>
        <v>0</v>
      </c>
      <c r="F63" s="287">
        <f>+INDIRECT!F65</f>
        <v>0</v>
      </c>
      <c r="G63" s="287">
        <f>+INDIRECT!G65</f>
        <v>0</v>
      </c>
      <c r="H63" s="287">
        <f>+INDIRECT!H65</f>
        <v>0</v>
      </c>
      <c r="I63" s="287">
        <f>+INDIRECT!I65</f>
        <v>0</v>
      </c>
      <c r="J63" s="287">
        <f>+INDIRECT!J65</f>
        <v>0</v>
      </c>
      <c r="K63" s="287">
        <f>+INDIRECT!K65</f>
        <v>0</v>
      </c>
      <c r="L63" s="287">
        <f>+INDIRECT!L65</f>
        <v>0</v>
      </c>
      <c r="M63" s="287">
        <f>+INDIRECT!M65</f>
        <v>0</v>
      </c>
      <c r="N63" s="287">
        <f>+INDIRECT!N65</f>
        <v>0</v>
      </c>
      <c r="O63" s="287">
        <f>+INDIRECT!O65</f>
        <v>0</v>
      </c>
      <c r="P63" s="307">
        <f>SUM(D63:O63)</f>
        <v>0</v>
      </c>
    </row>
    <row r="64" spans="1:18">
      <c r="A64" s="301"/>
      <c r="B64" s="301"/>
      <c r="P64" s="277"/>
    </row>
    <row r="65" spans="1:20" ht="13.8" thickBot="1">
      <c r="A65" s="288" t="s">
        <v>470</v>
      </c>
      <c r="B65" s="301"/>
      <c r="D65" s="311">
        <f t="shared" ref="D65:P65" si="7">D61-D63</f>
        <v>-382</v>
      </c>
      <c r="E65" s="311">
        <f t="shared" si="7"/>
        <v>-372</v>
      </c>
      <c r="F65" s="311">
        <f t="shared" si="7"/>
        <v>127</v>
      </c>
      <c r="G65" s="311">
        <f t="shared" si="7"/>
        <v>-373</v>
      </c>
      <c r="H65" s="311">
        <f t="shared" si="7"/>
        <v>-126</v>
      </c>
      <c r="I65" s="311">
        <f t="shared" si="7"/>
        <v>-374</v>
      </c>
      <c r="J65" s="311">
        <f t="shared" si="7"/>
        <v>-374</v>
      </c>
      <c r="K65" s="311">
        <f t="shared" si="7"/>
        <v>-377</v>
      </c>
      <c r="L65" s="311">
        <f t="shared" si="7"/>
        <v>-374</v>
      </c>
      <c r="M65" s="311">
        <f t="shared" si="7"/>
        <v>-374</v>
      </c>
      <c r="N65" s="311">
        <f t="shared" si="7"/>
        <v>-374</v>
      </c>
      <c r="O65" s="311">
        <f t="shared" si="7"/>
        <v>-374</v>
      </c>
      <c r="P65" s="312">
        <f t="shared" si="7"/>
        <v>-3747</v>
      </c>
      <c r="R65" s="277">
        <f>+P65-INDIRECT!P67</f>
        <v>-1</v>
      </c>
    </row>
    <row r="66" spans="1:20" ht="13.8" thickTop="1">
      <c r="A66" s="301"/>
      <c r="B66" s="301"/>
      <c r="D66" s="313"/>
      <c r="E66" s="313"/>
      <c r="F66" s="313"/>
      <c r="G66" s="313"/>
      <c r="H66" s="313"/>
      <c r="I66" s="313"/>
      <c r="J66" s="313"/>
      <c r="K66" s="313"/>
      <c r="L66" s="313"/>
      <c r="M66" s="313"/>
      <c r="N66" s="313"/>
      <c r="O66" s="313"/>
      <c r="P66" s="313"/>
    </row>
    <row r="67" spans="1:20">
      <c r="A67" s="301" t="str">
        <f ca="1">CELL("filename",A2)</f>
        <v>O:\Enron Net Works\Accounting\2001 Plan\Deal Bench\[Deal Bench 2001 Plan.xls]DIRECT</v>
      </c>
      <c r="B67" s="314"/>
      <c r="C67" s="315"/>
      <c r="D67" s="316"/>
      <c r="E67" s="316"/>
      <c r="F67" s="316"/>
      <c r="G67" s="316"/>
      <c r="H67" s="316"/>
      <c r="I67" s="316"/>
      <c r="J67" s="316"/>
      <c r="K67" s="316"/>
      <c r="L67" s="316"/>
      <c r="M67" s="316"/>
      <c r="N67" s="316"/>
      <c r="O67" s="316"/>
      <c r="P67" s="315"/>
      <c r="Q67" s="315"/>
      <c r="R67" s="315"/>
      <c r="S67" s="315"/>
      <c r="T67" s="315"/>
    </row>
    <row r="68" spans="1:20">
      <c r="A68" s="301"/>
      <c r="B68" s="301"/>
      <c r="C68" s="296">
        <f ca="1">NOW()</f>
        <v>36838.463314351851</v>
      </c>
    </row>
    <row r="69" spans="1:20" hidden="1">
      <c r="A69" s="317" t="s">
        <v>522</v>
      </c>
      <c r="B69" s="317"/>
      <c r="D69" s="269">
        <f>ROUND(('Cash and Non-Cash'!D84)/1000,0)+D26</f>
        <v>0</v>
      </c>
      <c r="E69" s="269">
        <f>ROUND(('Cash and Non-Cash'!E84)/1000,0)+E26</f>
        <v>0</v>
      </c>
      <c r="F69" s="269">
        <f>ROUND(('Cash and Non-Cash'!F84)/1000,0)+F26</f>
        <v>0</v>
      </c>
      <c r="G69" s="269">
        <f>ROUND(('Cash and Non-Cash'!G84)/1000,0)+G26</f>
        <v>0</v>
      </c>
      <c r="H69" s="269">
        <f>ROUND(('Cash and Non-Cash'!H84)/1000,0)+H26</f>
        <v>0</v>
      </c>
      <c r="I69" s="269">
        <f>ROUND(('Cash and Non-Cash'!I84)/1000,0)+I26</f>
        <v>0</v>
      </c>
      <c r="J69" s="269">
        <f>ROUND(('Cash and Non-Cash'!J84)/1000,0)+J26</f>
        <v>0</v>
      </c>
      <c r="K69" s="269">
        <f>ROUND(('Cash and Non-Cash'!K84)/1000,0)+K26</f>
        <v>0</v>
      </c>
      <c r="L69" s="269">
        <f>ROUND(('Cash and Non-Cash'!L84)/1000,0)+L26</f>
        <v>0</v>
      </c>
      <c r="M69" s="269">
        <f>ROUND(('Cash and Non-Cash'!M84)/1000,0)+M26</f>
        <v>0</v>
      </c>
      <c r="N69" s="269">
        <f>ROUND(('Cash and Non-Cash'!N84)/1000,0)+N26</f>
        <v>0</v>
      </c>
      <c r="O69" s="269">
        <f>ROUND(('Cash and Non-Cash'!O84)/1000,0)+O26</f>
        <v>0</v>
      </c>
      <c r="P69" s="277">
        <f>SUM(D69:O69)</f>
        <v>0</v>
      </c>
    </row>
    <row r="70" spans="1:20" hidden="1">
      <c r="A70" s="317" t="s">
        <v>523</v>
      </c>
      <c r="B70" s="317"/>
      <c r="D70" s="269">
        <f>ROUND(('Cash and Non-Cash'!D85)/1000,0)+D28</f>
        <v>0</v>
      </c>
      <c r="E70" s="269">
        <f>ROUND(('Cash and Non-Cash'!E85)/1000,0)+E28</f>
        <v>0</v>
      </c>
      <c r="F70" s="269">
        <f>ROUND(('Cash and Non-Cash'!F85)/1000,0)+F28</f>
        <v>0</v>
      </c>
      <c r="G70" s="269">
        <f>ROUND(('Cash and Non-Cash'!G85)/1000,0)+G28</f>
        <v>0</v>
      </c>
      <c r="H70" s="269">
        <f>ROUND(('Cash and Non-Cash'!H85)/1000,0)+H28</f>
        <v>0</v>
      </c>
      <c r="I70" s="269">
        <f>ROUND(('Cash and Non-Cash'!I85)/1000,0)+I28</f>
        <v>0</v>
      </c>
      <c r="J70" s="269">
        <f>ROUND(('Cash and Non-Cash'!J85)/1000,0)+J28</f>
        <v>0</v>
      </c>
      <c r="K70" s="269">
        <f>ROUND(('Cash and Non-Cash'!K85)/1000,0)+K28</f>
        <v>0</v>
      </c>
      <c r="L70" s="269">
        <f>ROUND(('Cash and Non-Cash'!L85)/1000,0)+L28</f>
        <v>0</v>
      </c>
      <c r="M70" s="269">
        <f>ROUND(('Cash and Non-Cash'!M85)/1000,0)+M28</f>
        <v>0</v>
      </c>
      <c r="N70" s="269">
        <f>ROUND(('Cash and Non-Cash'!N85)/1000,0)+N28</f>
        <v>0</v>
      </c>
      <c r="O70" s="269">
        <f>ROUND(('Cash and Non-Cash'!O85)/1000,0)+O28</f>
        <v>0</v>
      </c>
      <c r="P70" s="277">
        <f>SUM(D70:O70)</f>
        <v>0</v>
      </c>
    </row>
    <row r="71" spans="1:20" hidden="1">
      <c r="A71" s="301"/>
      <c r="B71" s="301"/>
    </row>
    <row r="72" spans="1:20" hidden="1">
      <c r="A72" s="298"/>
      <c r="B72" s="301"/>
    </row>
    <row r="73" spans="1:20" hidden="1">
      <c r="A73" s="298"/>
      <c r="B73" s="301"/>
    </row>
    <row r="74" spans="1:20" hidden="1">
      <c r="A74" s="318" t="s">
        <v>524</v>
      </c>
      <c r="B74" s="301"/>
    </row>
    <row r="75" spans="1:20" hidden="1">
      <c r="A75" s="318" t="s">
        <v>525</v>
      </c>
      <c r="B75" s="301"/>
    </row>
    <row r="76" spans="1:20" hidden="1">
      <c r="A76" s="298"/>
      <c r="B76" s="301"/>
    </row>
    <row r="77" spans="1:20" hidden="1">
      <c r="A77" s="298"/>
      <c r="B77" s="301"/>
    </row>
    <row r="78" spans="1:20" hidden="1">
      <c r="A78" s="318" t="s">
        <v>526</v>
      </c>
      <c r="B78" s="301"/>
    </row>
    <row r="79" spans="1:20" hidden="1">
      <c r="A79" s="318" t="s">
        <v>527</v>
      </c>
      <c r="B79" s="301"/>
    </row>
    <row r="80" spans="1:20">
      <c r="A80" s="298"/>
      <c r="B80" s="301"/>
    </row>
    <row r="81" spans="1:2">
      <c r="A81" s="298"/>
      <c r="B81" s="301"/>
    </row>
    <row r="82" spans="1:2">
      <c r="A82" s="301"/>
      <c r="B82" s="301"/>
    </row>
    <row r="83" spans="1:2">
      <c r="B83" s="301"/>
    </row>
  </sheetData>
  <printOptions horizontalCentered="1"/>
  <pageMargins left="0.25" right="0.25" top="0.25" bottom="0.25" header="0.5" footer="0.5"/>
  <pageSetup scale="69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workbookViewId="0"/>
  </sheetViews>
  <sheetFormatPr defaultColWidth="10.6640625" defaultRowHeight="13.2"/>
  <cols>
    <col min="1" max="1" width="38.109375" style="258" customWidth="1"/>
    <col min="2" max="2" width="10.6640625" style="258" customWidth="1"/>
    <col min="3" max="3" width="2.44140625" style="258" customWidth="1"/>
    <col min="4" max="5" width="10.6640625" style="258" customWidth="1"/>
    <col min="6" max="6" width="11.33203125" style="258" bestFit="1" customWidth="1"/>
    <col min="7" max="8" width="10.6640625" style="258" customWidth="1"/>
    <col min="9" max="9" width="11.33203125" style="258" bestFit="1" customWidth="1"/>
    <col min="10" max="11" width="10.6640625" style="258" customWidth="1"/>
    <col min="12" max="12" width="11.33203125" style="258" bestFit="1" customWidth="1"/>
    <col min="13" max="14" width="10.6640625" style="258" customWidth="1"/>
    <col min="15" max="15" width="12.44140625" style="258" bestFit="1" customWidth="1"/>
    <col min="16" max="16" width="11.33203125" style="258" bestFit="1" customWidth="1"/>
    <col min="17" max="16384" width="10.6640625" style="258"/>
  </cols>
  <sheetData>
    <row r="1" spans="1:16" ht="12" customHeight="1">
      <c r="A1" s="319"/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</row>
    <row r="2" spans="1:16" ht="17.399999999999999">
      <c r="A2" s="398" t="s">
        <v>422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</row>
    <row r="3" spans="1:16" ht="17.399999999999999">
      <c r="A3" s="396" t="s">
        <v>424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</row>
    <row r="4" spans="1:16" ht="17.399999999999999">
      <c r="A4" s="397" t="s">
        <v>528</v>
      </c>
      <c r="B4" s="397"/>
      <c r="C4" s="397"/>
      <c r="D4" s="397"/>
      <c r="E4" s="397"/>
      <c r="F4" s="397"/>
      <c r="G4" s="397"/>
      <c r="H4" s="397"/>
      <c r="I4" s="397"/>
      <c r="J4" s="397"/>
      <c r="K4" s="397"/>
      <c r="L4" s="397"/>
      <c r="M4" s="397"/>
      <c r="N4" s="397"/>
      <c r="O4" s="397"/>
      <c r="P4" s="397"/>
    </row>
    <row r="5" spans="1:16" ht="18" customHeight="1">
      <c r="A5" s="395" t="s">
        <v>529</v>
      </c>
      <c r="B5" s="395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</row>
    <row r="6" spans="1:16" ht="15.6">
      <c r="A6" s="320" t="str">
        <f>+INDIRECT!A5</f>
        <v>Deal Bench</v>
      </c>
      <c r="B6" s="321"/>
    </row>
    <row r="7" spans="1:16" ht="13.8">
      <c r="A7" s="322"/>
      <c r="B7" s="322"/>
    </row>
    <row r="8" spans="1:16" ht="13.8">
      <c r="A8" s="322"/>
      <c r="B8" s="323" t="s">
        <v>530</v>
      </c>
    </row>
    <row r="9" spans="1:16" ht="13.8">
      <c r="B9" s="323" t="s">
        <v>531</v>
      </c>
    </row>
    <row r="10" spans="1:16" ht="13.8">
      <c r="A10" s="324"/>
      <c r="B10" s="325" t="s">
        <v>235</v>
      </c>
      <c r="D10" s="265" t="s">
        <v>328</v>
      </c>
      <c r="E10" s="265" t="s">
        <v>329</v>
      </c>
      <c r="F10" s="265" t="s">
        <v>330</v>
      </c>
      <c r="G10" s="265" t="s">
        <v>331</v>
      </c>
      <c r="H10" s="265" t="s">
        <v>332</v>
      </c>
      <c r="I10" s="265" t="s">
        <v>333</v>
      </c>
      <c r="J10" s="265" t="s">
        <v>429</v>
      </c>
      <c r="K10" s="265" t="s">
        <v>334</v>
      </c>
      <c r="L10" s="265" t="s">
        <v>335</v>
      </c>
      <c r="M10" s="265" t="s">
        <v>339</v>
      </c>
      <c r="N10" s="265" t="s">
        <v>340</v>
      </c>
      <c r="O10" s="265" t="s">
        <v>336</v>
      </c>
      <c r="P10" s="265" t="s">
        <v>191</v>
      </c>
    </row>
    <row r="11" spans="1:16" ht="13.8">
      <c r="A11" s="326"/>
      <c r="B11" s="326"/>
    </row>
    <row r="12" spans="1:16" ht="13.8">
      <c r="A12" s="326"/>
      <c r="B12" s="326"/>
    </row>
    <row r="13" spans="1:16" ht="15">
      <c r="A13" s="327" t="s">
        <v>326</v>
      </c>
      <c r="B13" s="328">
        <v>0</v>
      </c>
      <c r="D13" s="328">
        <v>0</v>
      </c>
      <c r="E13" s="328">
        <v>0</v>
      </c>
      <c r="F13" s="328">
        <v>500</v>
      </c>
      <c r="G13" s="328">
        <v>0</v>
      </c>
      <c r="H13" s="328">
        <v>250</v>
      </c>
      <c r="I13" s="328">
        <v>0</v>
      </c>
      <c r="J13" s="328">
        <v>0</v>
      </c>
      <c r="K13" s="328">
        <v>0</v>
      </c>
      <c r="L13" s="328">
        <v>0</v>
      </c>
      <c r="M13" s="328">
        <v>0</v>
      </c>
      <c r="N13" s="328">
        <v>0</v>
      </c>
      <c r="O13" s="328">
        <v>0</v>
      </c>
      <c r="P13" s="277">
        <f t="shared" ref="P13:P26" si="0">SUM(D13:O13)</f>
        <v>750</v>
      </c>
    </row>
    <row r="14" spans="1:16" ht="15">
      <c r="A14" s="327" t="s">
        <v>532</v>
      </c>
      <c r="B14" s="328">
        <v>0</v>
      </c>
      <c r="D14" s="328">
        <v>0</v>
      </c>
      <c r="E14" s="328">
        <v>0</v>
      </c>
      <c r="F14" s="328">
        <v>0</v>
      </c>
      <c r="G14" s="328">
        <v>0</v>
      </c>
      <c r="H14" s="328">
        <v>0</v>
      </c>
      <c r="I14" s="328">
        <v>0</v>
      </c>
      <c r="J14" s="328">
        <v>0</v>
      </c>
      <c r="K14" s="328">
        <v>0</v>
      </c>
      <c r="L14" s="328">
        <v>0</v>
      </c>
      <c r="M14" s="328">
        <v>0</v>
      </c>
      <c r="N14" s="328">
        <v>0</v>
      </c>
      <c r="O14" s="328">
        <v>0</v>
      </c>
      <c r="P14" s="277">
        <f t="shared" si="0"/>
        <v>0</v>
      </c>
    </row>
    <row r="15" spans="1:16" ht="15">
      <c r="A15" s="327" t="s">
        <v>532</v>
      </c>
      <c r="B15" s="328">
        <v>0</v>
      </c>
      <c r="D15" s="328">
        <v>0</v>
      </c>
      <c r="E15" s="328">
        <v>0</v>
      </c>
      <c r="F15" s="328">
        <v>0</v>
      </c>
      <c r="G15" s="328">
        <v>0</v>
      </c>
      <c r="H15" s="328">
        <v>0</v>
      </c>
      <c r="I15" s="328">
        <v>0</v>
      </c>
      <c r="J15" s="328">
        <v>0</v>
      </c>
      <c r="K15" s="328">
        <v>0</v>
      </c>
      <c r="L15" s="328">
        <v>0</v>
      </c>
      <c r="M15" s="328">
        <v>0</v>
      </c>
      <c r="N15" s="328">
        <v>0</v>
      </c>
      <c r="O15" s="328">
        <v>0</v>
      </c>
      <c r="P15" s="277">
        <f t="shared" si="0"/>
        <v>0</v>
      </c>
    </row>
    <row r="16" spans="1:16" ht="15">
      <c r="A16" s="327" t="s">
        <v>532</v>
      </c>
      <c r="B16" s="328">
        <v>0</v>
      </c>
      <c r="D16" s="328">
        <v>0</v>
      </c>
      <c r="E16" s="328">
        <v>0</v>
      </c>
      <c r="F16" s="328">
        <v>0</v>
      </c>
      <c r="G16" s="328">
        <v>0</v>
      </c>
      <c r="H16" s="328">
        <v>0</v>
      </c>
      <c r="I16" s="328">
        <v>0</v>
      </c>
      <c r="J16" s="328">
        <v>0</v>
      </c>
      <c r="K16" s="328">
        <v>0</v>
      </c>
      <c r="L16" s="328">
        <v>0</v>
      </c>
      <c r="M16" s="328">
        <v>0</v>
      </c>
      <c r="N16" s="328">
        <v>0</v>
      </c>
      <c r="O16" s="328">
        <v>0</v>
      </c>
      <c r="P16" s="277">
        <f t="shared" si="0"/>
        <v>0</v>
      </c>
    </row>
    <row r="17" spans="1:16" ht="15">
      <c r="A17" s="327" t="s">
        <v>532</v>
      </c>
      <c r="B17" s="328">
        <v>0</v>
      </c>
      <c r="D17" s="328">
        <v>0</v>
      </c>
      <c r="E17" s="328">
        <v>0</v>
      </c>
      <c r="F17" s="328">
        <v>0</v>
      </c>
      <c r="G17" s="328">
        <v>0</v>
      </c>
      <c r="H17" s="328">
        <v>0</v>
      </c>
      <c r="I17" s="328">
        <v>0</v>
      </c>
      <c r="J17" s="328">
        <v>0</v>
      </c>
      <c r="K17" s="328">
        <v>0</v>
      </c>
      <c r="L17" s="328">
        <v>0</v>
      </c>
      <c r="M17" s="328">
        <v>0</v>
      </c>
      <c r="N17" s="328">
        <v>0</v>
      </c>
      <c r="O17" s="328">
        <v>0</v>
      </c>
      <c r="P17" s="277">
        <f t="shared" si="0"/>
        <v>0</v>
      </c>
    </row>
    <row r="18" spans="1:16" ht="15">
      <c r="A18" s="327" t="s">
        <v>532</v>
      </c>
      <c r="B18" s="328">
        <v>0</v>
      </c>
      <c r="D18" s="328">
        <v>0</v>
      </c>
      <c r="E18" s="328">
        <v>0</v>
      </c>
      <c r="F18" s="328">
        <v>0</v>
      </c>
      <c r="G18" s="328">
        <v>0</v>
      </c>
      <c r="H18" s="328">
        <v>0</v>
      </c>
      <c r="I18" s="328">
        <v>0</v>
      </c>
      <c r="J18" s="328">
        <v>0</v>
      </c>
      <c r="K18" s="328">
        <v>0</v>
      </c>
      <c r="L18" s="328">
        <v>0</v>
      </c>
      <c r="M18" s="328">
        <v>0</v>
      </c>
      <c r="N18" s="328">
        <v>0</v>
      </c>
      <c r="O18" s="328">
        <v>0</v>
      </c>
      <c r="P18" s="277">
        <f t="shared" si="0"/>
        <v>0</v>
      </c>
    </row>
    <row r="19" spans="1:16" ht="15">
      <c r="A19" s="327" t="s">
        <v>532</v>
      </c>
      <c r="B19" s="328">
        <v>0</v>
      </c>
      <c r="D19" s="328">
        <v>0</v>
      </c>
      <c r="E19" s="328">
        <v>0</v>
      </c>
      <c r="F19" s="328">
        <v>0</v>
      </c>
      <c r="G19" s="328">
        <v>0</v>
      </c>
      <c r="H19" s="328">
        <v>0</v>
      </c>
      <c r="I19" s="328">
        <v>0</v>
      </c>
      <c r="J19" s="328">
        <v>0</v>
      </c>
      <c r="K19" s="328">
        <v>0</v>
      </c>
      <c r="L19" s="328">
        <v>0</v>
      </c>
      <c r="M19" s="328">
        <v>0</v>
      </c>
      <c r="N19" s="328">
        <v>0</v>
      </c>
      <c r="O19" s="328">
        <v>0</v>
      </c>
      <c r="P19" s="277">
        <f t="shared" si="0"/>
        <v>0</v>
      </c>
    </row>
    <row r="20" spans="1:16" ht="15">
      <c r="A20" s="327" t="s">
        <v>532</v>
      </c>
      <c r="B20" s="328">
        <v>0</v>
      </c>
      <c r="D20" s="328">
        <v>0</v>
      </c>
      <c r="E20" s="328">
        <v>0</v>
      </c>
      <c r="F20" s="328">
        <v>0</v>
      </c>
      <c r="G20" s="328">
        <v>0</v>
      </c>
      <c r="H20" s="328">
        <v>0</v>
      </c>
      <c r="I20" s="328">
        <v>0</v>
      </c>
      <c r="J20" s="328">
        <v>0</v>
      </c>
      <c r="K20" s="328">
        <v>0</v>
      </c>
      <c r="L20" s="328">
        <v>0</v>
      </c>
      <c r="M20" s="328">
        <v>0</v>
      </c>
      <c r="N20" s="328">
        <v>0</v>
      </c>
      <c r="O20" s="328">
        <v>0</v>
      </c>
      <c r="P20" s="277">
        <f t="shared" si="0"/>
        <v>0</v>
      </c>
    </row>
    <row r="21" spans="1:16" ht="15">
      <c r="A21" s="327" t="s">
        <v>532</v>
      </c>
      <c r="B21" s="328">
        <v>0</v>
      </c>
      <c r="D21" s="328">
        <v>0</v>
      </c>
      <c r="E21" s="328">
        <v>0</v>
      </c>
      <c r="F21" s="328">
        <v>0</v>
      </c>
      <c r="G21" s="328">
        <v>0</v>
      </c>
      <c r="H21" s="328">
        <v>0</v>
      </c>
      <c r="I21" s="328">
        <v>0</v>
      </c>
      <c r="J21" s="328">
        <v>0</v>
      </c>
      <c r="K21" s="328">
        <v>0</v>
      </c>
      <c r="L21" s="328">
        <v>0</v>
      </c>
      <c r="M21" s="328">
        <v>0</v>
      </c>
      <c r="N21" s="328">
        <v>0</v>
      </c>
      <c r="O21" s="328">
        <v>0</v>
      </c>
      <c r="P21" s="277">
        <f t="shared" si="0"/>
        <v>0</v>
      </c>
    </row>
    <row r="22" spans="1:16" ht="15">
      <c r="A22" s="327" t="s">
        <v>532</v>
      </c>
      <c r="B22" s="328">
        <v>0</v>
      </c>
      <c r="D22" s="328">
        <v>0</v>
      </c>
      <c r="E22" s="328">
        <v>0</v>
      </c>
      <c r="F22" s="328">
        <v>0</v>
      </c>
      <c r="G22" s="328">
        <v>0</v>
      </c>
      <c r="H22" s="328">
        <v>0</v>
      </c>
      <c r="I22" s="328">
        <v>0</v>
      </c>
      <c r="J22" s="328">
        <v>0</v>
      </c>
      <c r="K22" s="328">
        <v>0</v>
      </c>
      <c r="L22" s="328">
        <v>0</v>
      </c>
      <c r="M22" s="328">
        <v>0</v>
      </c>
      <c r="N22" s="328">
        <v>0</v>
      </c>
      <c r="O22" s="328">
        <v>0</v>
      </c>
      <c r="P22" s="277">
        <f t="shared" si="0"/>
        <v>0</v>
      </c>
    </row>
    <row r="23" spans="1:16" ht="15">
      <c r="A23" s="327" t="s">
        <v>532</v>
      </c>
      <c r="B23" s="328">
        <v>0</v>
      </c>
      <c r="D23" s="328">
        <v>0</v>
      </c>
      <c r="E23" s="328">
        <v>0</v>
      </c>
      <c r="F23" s="328">
        <v>0</v>
      </c>
      <c r="G23" s="328">
        <v>0</v>
      </c>
      <c r="H23" s="328">
        <v>0</v>
      </c>
      <c r="I23" s="328">
        <v>0</v>
      </c>
      <c r="J23" s="328">
        <v>0</v>
      </c>
      <c r="K23" s="328">
        <v>0</v>
      </c>
      <c r="L23" s="328">
        <v>0</v>
      </c>
      <c r="M23" s="328">
        <v>0</v>
      </c>
      <c r="N23" s="328">
        <v>0</v>
      </c>
      <c r="O23" s="328">
        <v>0</v>
      </c>
      <c r="P23" s="277">
        <f t="shared" si="0"/>
        <v>0</v>
      </c>
    </row>
    <row r="24" spans="1:16" ht="15">
      <c r="A24" s="327" t="s">
        <v>532</v>
      </c>
      <c r="B24" s="328">
        <v>0</v>
      </c>
      <c r="D24" s="328">
        <v>0</v>
      </c>
      <c r="E24" s="328">
        <v>0</v>
      </c>
      <c r="F24" s="328">
        <v>0</v>
      </c>
      <c r="G24" s="328">
        <v>0</v>
      </c>
      <c r="H24" s="328">
        <v>0</v>
      </c>
      <c r="I24" s="328">
        <v>0</v>
      </c>
      <c r="J24" s="328">
        <v>0</v>
      </c>
      <c r="K24" s="328">
        <v>0</v>
      </c>
      <c r="L24" s="328">
        <v>0</v>
      </c>
      <c r="M24" s="328">
        <v>0</v>
      </c>
      <c r="N24" s="328">
        <v>0</v>
      </c>
      <c r="O24" s="328">
        <v>0</v>
      </c>
      <c r="P24" s="277">
        <f t="shared" si="0"/>
        <v>0</v>
      </c>
    </row>
    <row r="25" spans="1:16" ht="15">
      <c r="A25" s="327" t="s">
        <v>532</v>
      </c>
      <c r="B25" s="328">
        <v>0</v>
      </c>
      <c r="D25" s="328">
        <v>0</v>
      </c>
      <c r="E25" s="328">
        <v>0</v>
      </c>
      <c r="F25" s="328">
        <v>0</v>
      </c>
      <c r="G25" s="328">
        <v>0</v>
      </c>
      <c r="H25" s="328">
        <v>0</v>
      </c>
      <c r="I25" s="328">
        <v>0</v>
      </c>
      <c r="J25" s="328">
        <v>0</v>
      </c>
      <c r="K25" s="328">
        <v>0</v>
      </c>
      <c r="L25" s="328">
        <v>0</v>
      </c>
      <c r="M25" s="328">
        <v>0</v>
      </c>
      <c r="N25" s="328">
        <v>0</v>
      </c>
      <c r="O25" s="328">
        <v>0</v>
      </c>
      <c r="P25" s="277">
        <f t="shared" si="0"/>
        <v>0</v>
      </c>
    </row>
    <row r="26" spans="1:16" ht="15">
      <c r="A26" s="327" t="s">
        <v>532</v>
      </c>
      <c r="B26" s="329">
        <v>0</v>
      </c>
      <c r="D26" s="329">
        <v>0</v>
      </c>
      <c r="E26" s="329">
        <v>0</v>
      </c>
      <c r="F26" s="329">
        <v>0</v>
      </c>
      <c r="G26" s="329">
        <v>0</v>
      </c>
      <c r="H26" s="329">
        <v>0</v>
      </c>
      <c r="I26" s="329">
        <v>0</v>
      </c>
      <c r="J26" s="329">
        <v>0</v>
      </c>
      <c r="K26" s="329">
        <v>0</v>
      </c>
      <c r="L26" s="329">
        <v>0</v>
      </c>
      <c r="M26" s="329">
        <v>0</v>
      </c>
      <c r="N26" s="329">
        <v>0</v>
      </c>
      <c r="O26" s="329">
        <v>0</v>
      </c>
      <c r="P26" s="307">
        <f t="shared" si="0"/>
        <v>0</v>
      </c>
    </row>
    <row r="27" spans="1:16" ht="13.8">
      <c r="A27" s="322"/>
      <c r="B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</row>
    <row r="28" spans="1:16" ht="14.4" thickBot="1">
      <c r="A28" s="331" t="s">
        <v>533</v>
      </c>
      <c r="B28" s="332">
        <f>SUM(B13:B26)</f>
        <v>0</v>
      </c>
      <c r="D28" s="332">
        <f t="shared" ref="D28:P28" si="1">SUM(D13:D26)</f>
        <v>0</v>
      </c>
      <c r="E28" s="332">
        <f t="shared" si="1"/>
        <v>0</v>
      </c>
      <c r="F28" s="332">
        <f t="shared" si="1"/>
        <v>500</v>
      </c>
      <c r="G28" s="332">
        <f t="shared" si="1"/>
        <v>0</v>
      </c>
      <c r="H28" s="332">
        <f t="shared" si="1"/>
        <v>250</v>
      </c>
      <c r="I28" s="332">
        <f t="shared" si="1"/>
        <v>0</v>
      </c>
      <c r="J28" s="332">
        <f t="shared" si="1"/>
        <v>0</v>
      </c>
      <c r="K28" s="332">
        <f t="shared" si="1"/>
        <v>0</v>
      </c>
      <c r="L28" s="332">
        <f t="shared" si="1"/>
        <v>0</v>
      </c>
      <c r="M28" s="332">
        <f t="shared" si="1"/>
        <v>0</v>
      </c>
      <c r="N28" s="332">
        <f t="shared" si="1"/>
        <v>0</v>
      </c>
      <c r="O28" s="332">
        <f t="shared" si="1"/>
        <v>0</v>
      </c>
      <c r="P28" s="332">
        <f t="shared" si="1"/>
        <v>750</v>
      </c>
    </row>
    <row r="29" spans="1:16" ht="15.6" thickTop="1">
      <c r="A29" s="321"/>
      <c r="B29" s="321"/>
    </row>
    <row r="30" spans="1:16" ht="15">
      <c r="A30" s="333" t="str">
        <f ca="1">CELL("filename",A1)</f>
        <v>O:\Enron Net Works\Accounting\2001 Plan\Deal Bench\[Deal Bench 2001 Plan.xls]Schedule A - Capital Exp Detail</v>
      </c>
      <c r="B30" s="334"/>
    </row>
    <row r="31" spans="1:16" ht="15">
      <c r="A31" s="335">
        <f ca="1">NOW()</f>
        <v>36838.463314351851</v>
      </c>
      <c r="B31" s="334"/>
    </row>
  </sheetData>
  <mergeCells count="4">
    <mergeCell ref="A5:P5"/>
    <mergeCell ref="A3:P3"/>
    <mergeCell ref="A4:P4"/>
    <mergeCell ref="A2:P2"/>
  </mergeCells>
  <pageMargins left="0.25" right="0.25" top="0.25" bottom="0.25" header="0.5" footer="0.5"/>
  <pageSetup scale="81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workbookViewId="0"/>
  </sheetViews>
  <sheetFormatPr defaultColWidth="10.6640625" defaultRowHeight="13.2"/>
  <cols>
    <col min="1" max="1" width="50.77734375" style="258" bestFit="1" customWidth="1"/>
    <col min="2" max="2" width="10.6640625" style="258" customWidth="1"/>
    <col min="3" max="3" width="2.6640625" style="258" customWidth="1"/>
    <col min="4" max="16384" width="10.6640625" style="258"/>
  </cols>
  <sheetData>
    <row r="1" spans="1:16" ht="17.399999999999999">
      <c r="A1" s="319"/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</row>
    <row r="2" spans="1:16" ht="17.399999999999999">
      <c r="A2" s="398" t="s">
        <v>534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</row>
    <row r="3" spans="1:16" ht="17.399999999999999">
      <c r="A3" s="396" t="s">
        <v>424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</row>
    <row r="4" spans="1:16" ht="17.399999999999999">
      <c r="A4" s="336" t="s">
        <v>600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</row>
    <row r="5" spans="1:16" ht="17.399999999999999">
      <c r="A5" s="336" t="s">
        <v>535</v>
      </c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</row>
    <row r="6" spans="1:16" ht="15.6">
      <c r="A6" s="395" t="s">
        <v>529</v>
      </c>
      <c r="B6" s="395"/>
      <c r="C6" s="395"/>
      <c r="D6" s="395"/>
      <c r="E6" s="395"/>
      <c r="F6" s="395"/>
      <c r="G6" s="395"/>
      <c r="H6" s="395"/>
      <c r="I6" s="395"/>
      <c r="J6" s="395"/>
      <c r="K6" s="395"/>
      <c r="L6" s="395"/>
      <c r="M6" s="395"/>
      <c r="N6" s="395"/>
      <c r="O6" s="395"/>
      <c r="P6" s="395"/>
    </row>
    <row r="7" spans="1:16" ht="15.6">
      <c r="A7" s="320" t="s">
        <v>599</v>
      </c>
      <c r="B7" s="321"/>
    </row>
    <row r="8" spans="1:16" ht="13.8">
      <c r="A8" s="322"/>
      <c r="B8" s="322"/>
    </row>
    <row r="9" spans="1:16" ht="13.8">
      <c r="A9" s="322"/>
      <c r="B9" s="323" t="s">
        <v>530</v>
      </c>
    </row>
    <row r="10" spans="1:16" ht="13.8">
      <c r="B10" s="323" t="s">
        <v>531</v>
      </c>
    </row>
    <row r="11" spans="1:16" ht="13.8">
      <c r="A11" s="324"/>
      <c r="B11" s="325" t="s">
        <v>235</v>
      </c>
      <c r="D11" s="265" t="s">
        <v>328</v>
      </c>
      <c r="E11" s="265" t="s">
        <v>329</v>
      </c>
      <c r="F11" s="265" t="s">
        <v>330</v>
      </c>
      <c r="G11" s="265" t="s">
        <v>331</v>
      </c>
      <c r="H11" s="265" t="s">
        <v>332</v>
      </c>
      <c r="I11" s="265" t="s">
        <v>333</v>
      </c>
      <c r="J11" s="265" t="s">
        <v>429</v>
      </c>
      <c r="K11" s="265" t="s">
        <v>334</v>
      </c>
      <c r="L11" s="265" t="s">
        <v>335</v>
      </c>
      <c r="M11" s="265" t="s">
        <v>339</v>
      </c>
      <c r="N11" s="265" t="s">
        <v>340</v>
      </c>
      <c r="O11" s="265" t="s">
        <v>336</v>
      </c>
      <c r="P11" s="265" t="s">
        <v>191</v>
      </c>
    </row>
    <row r="12" spans="1:16" ht="13.8">
      <c r="A12" s="337" t="s">
        <v>601</v>
      </c>
    </row>
    <row r="13" spans="1:16" ht="15">
      <c r="A13" s="338" t="s">
        <v>536</v>
      </c>
      <c r="B13" s="328">
        <v>0</v>
      </c>
      <c r="D13" s="328">
        <v>0</v>
      </c>
      <c r="E13" s="328">
        <v>0</v>
      </c>
      <c r="F13" s="328">
        <f>-Margin!F16/1000</f>
        <v>0</v>
      </c>
      <c r="G13" s="328">
        <f>-Margin!G16/1000</f>
        <v>0</v>
      </c>
      <c r="H13" s="328">
        <f>-Margin!H16/1000</f>
        <v>0</v>
      </c>
      <c r="I13" s="328">
        <f>-Margin!I16/1000</f>
        <v>0</v>
      </c>
      <c r="J13" s="328">
        <f>-Margin!J16/1000</f>
        <v>0</v>
      </c>
      <c r="K13" s="328">
        <f>-Margin!K16/1000</f>
        <v>0</v>
      </c>
      <c r="L13" s="328">
        <f>-Margin!L16/1000</f>
        <v>0</v>
      </c>
      <c r="M13" s="328">
        <f>-Margin!M16/1000</f>
        <v>0</v>
      </c>
      <c r="N13" s="328">
        <f>-Margin!N16/1000</f>
        <v>0</v>
      </c>
      <c r="O13" s="328">
        <f>-Margin!O16/1000</f>
        <v>0</v>
      </c>
      <c r="P13" s="277">
        <f>SUM(D13:O13)</f>
        <v>0</v>
      </c>
    </row>
    <row r="14" spans="1:16" ht="15">
      <c r="A14" s="339" t="s">
        <v>536</v>
      </c>
      <c r="B14" s="328">
        <v>0</v>
      </c>
      <c r="D14" s="328">
        <v>0</v>
      </c>
      <c r="E14" s="328">
        <v>0</v>
      </c>
      <c r="F14" s="328">
        <v>0</v>
      </c>
      <c r="G14" s="328">
        <v>0</v>
      </c>
      <c r="H14" s="328">
        <v>0</v>
      </c>
      <c r="I14" s="328">
        <v>0</v>
      </c>
      <c r="J14" s="328">
        <v>0</v>
      </c>
      <c r="K14" s="328">
        <v>0</v>
      </c>
      <c r="L14" s="328">
        <v>0</v>
      </c>
      <c r="M14" s="328">
        <v>0</v>
      </c>
      <c r="N14" s="328">
        <v>0</v>
      </c>
      <c r="O14" s="328">
        <v>0</v>
      </c>
      <c r="P14" s="277">
        <f>SUM(D14:O14)</f>
        <v>0</v>
      </c>
    </row>
    <row r="15" spans="1:16" ht="15.6" thickBot="1">
      <c r="A15" s="340" t="s">
        <v>191</v>
      </c>
      <c r="B15" s="341">
        <f>SUM(B13:B14)</f>
        <v>0</v>
      </c>
      <c r="D15" s="341">
        <f t="shared" ref="D15:P15" si="0">SUM(D13:D14)</f>
        <v>0</v>
      </c>
      <c r="E15" s="341">
        <f t="shared" si="0"/>
        <v>0</v>
      </c>
      <c r="F15" s="341">
        <f t="shared" si="0"/>
        <v>0</v>
      </c>
      <c r="G15" s="341">
        <f t="shared" si="0"/>
        <v>0</v>
      </c>
      <c r="H15" s="341">
        <f t="shared" si="0"/>
        <v>0</v>
      </c>
      <c r="I15" s="341">
        <f t="shared" si="0"/>
        <v>0</v>
      </c>
      <c r="J15" s="341">
        <f t="shared" si="0"/>
        <v>0</v>
      </c>
      <c r="K15" s="341">
        <f t="shared" si="0"/>
        <v>0</v>
      </c>
      <c r="L15" s="341">
        <f t="shared" si="0"/>
        <v>0</v>
      </c>
      <c r="M15" s="341">
        <f t="shared" si="0"/>
        <v>0</v>
      </c>
      <c r="N15" s="341">
        <f t="shared" si="0"/>
        <v>0</v>
      </c>
      <c r="O15" s="341">
        <f t="shared" si="0"/>
        <v>0</v>
      </c>
      <c r="P15" s="341">
        <f t="shared" si="0"/>
        <v>0</v>
      </c>
    </row>
    <row r="16" spans="1:16" ht="14.4" thickTop="1">
      <c r="A16" s="326"/>
      <c r="B16" s="326"/>
      <c r="D16" s="326"/>
      <c r="E16" s="326"/>
      <c r="F16" s="326"/>
      <c r="G16" s="326"/>
      <c r="H16" s="326"/>
      <c r="I16" s="326"/>
      <c r="J16" s="326"/>
      <c r="K16" s="326"/>
      <c r="L16" s="326"/>
      <c r="M16" s="326"/>
      <c r="N16" s="326"/>
      <c r="O16" s="326"/>
    </row>
    <row r="17" spans="1:16" ht="13.8">
      <c r="A17" s="337" t="s">
        <v>602</v>
      </c>
      <c r="B17" s="326"/>
      <c r="D17" s="326"/>
      <c r="E17" s="326"/>
      <c r="F17" s="326"/>
      <c r="G17" s="326"/>
      <c r="H17" s="326"/>
      <c r="I17" s="326"/>
      <c r="J17" s="326"/>
      <c r="K17" s="326"/>
      <c r="L17" s="326"/>
      <c r="M17" s="326"/>
      <c r="N17" s="326"/>
      <c r="O17" s="326"/>
    </row>
    <row r="18" spans="1:16" ht="15">
      <c r="A18" s="338" t="s">
        <v>536</v>
      </c>
      <c r="B18" s="328">
        <v>0</v>
      </c>
      <c r="D18" s="328">
        <v>0</v>
      </c>
      <c r="E18" s="328">
        <v>0</v>
      </c>
      <c r="F18" s="328">
        <v>0</v>
      </c>
      <c r="G18" s="328">
        <v>0</v>
      </c>
      <c r="H18" s="328">
        <v>0</v>
      </c>
      <c r="I18" s="328">
        <v>0</v>
      </c>
      <c r="J18" s="328">
        <v>0</v>
      </c>
      <c r="K18" s="328">
        <v>0</v>
      </c>
      <c r="L18" s="328">
        <v>0</v>
      </c>
      <c r="M18" s="328">
        <v>0</v>
      </c>
      <c r="N18" s="328">
        <v>0</v>
      </c>
      <c r="O18" s="328">
        <v>0</v>
      </c>
      <c r="P18" s="277">
        <f>SUM(D18:O18)</f>
        <v>0</v>
      </c>
    </row>
    <row r="19" spans="1:16" ht="15">
      <c r="A19" s="339" t="s">
        <v>536</v>
      </c>
      <c r="B19" s="328">
        <v>0</v>
      </c>
      <c r="D19" s="328">
        <v>0</v>
      </c>
      <c r="E19" s="328">
        <v>0</v>
      </c>
      <c r="F19" s="328">
        <v>0</v>
      </c>
      <c r="G19" s="328">
        <v>0</v>
      </c>
      <c r="H19" s="328">
        <v>0</v>
      </c>
      <c r="I19" s="328">
        <v>0</v>
      </c>
      <c r="J19" s="328">
        <v>0</v>
      </c>
      <c r="K19" s="328">
        <v>0</v>
      </c>
      <c r="L19" s="328">
        <v>0</v>
      </c>
      <c r="M19" s="328">
        <v>0</v>
      </c>
      <c r="N19" s="328">
        <v>0</v>
      </c>
      <c r="O19" s="328">
        <v>0</v>
      </c>
      <c r="P19" s="277">
        <f>SUM(D19:O19)</f>
        <v>0</v>
      </c>
    </row>
    <row r="20" spans="1:16" ht="15.6" thickBot="1">
      <c r="A20" s="340" t="s">
        <v>191</v>
      </c>
      <c r="B20" s="341">
        <f>SUM(B18:B19)</f>
        <v>0</v>
      </c>
      <c r="D20" s="341">
        <f t="shared" ref="D20:P20" si="1">SUM(D18:D19)</f>
        <v>0</v>
      </c>
      <c r="E20" s="341">
        <f t="shared" si="1"/>
        <v>0</v>
      </c>
      <c r="F20" s="341">
        <f t="shared" si="1"/>
        <v>0</v>
      </c>
      <c r="G20" s="341">
        <f t="shared" si="1"/>
        <v>0</v>
      </c>
      <c r="H20" s="341">
        <f t="shared" si="1"/>
        <v>0</v>
      </c>
      <c r="I20" s="341">
        <f t="shared" si="1"/>
        <v>0</v>
      </c>
      <c r="J20" s="341">
        <f t="shared" si="1"/>
        <v>0</v>
      </c>
      <c r="K20" s="341">
        <f t="shared" si="1"/>
        <v>0</v>
      </c>
      <c r="L20" s="341">
        <f t="shared" si="1"/>
        <v>0</v>
      </c>
      <c r="M20" s="341">
        <f t="shared" si="1"/>
        <v>0</v>
      </c>
      <c r="N20" s="341">
        <f t="shared" si="1"/>
        <v>0</v>
      </c>
      <c r="O20" s="341">
        <f t="shared" si="1"/>
        <v>0</v>
      </c>
      <c r="P20" s="341">
        <f t="shared" si="1"/>
        <v>0</v>
      </c>
    </row>
    <row r="21" spans="1:16" ht="15.6" thickTop="1">
      <c r="A21" s="340"/>
      <c r="B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</row>
    <row r="22" spans="1:16" ht="13.8">
      <c r="A22" s="337" t="s">
        <v>537</v>
      </c>
      <c r="B22" s="342"/>
      <c r="D22" s="342"/>
      <c r="E22" s="342"/>
      <c r="F22" s="342"/>
      <c r="G22" s="342"/>
      <c r="H22" s="342"/>
      <c r="I22" s="342"/>
      <c r="J22" s="342"/>
      <c r="K22" s="342"/>
      <c r="L22" s="342"/>
      <c r="M22" s="342"/>
      <c r="N22" s="342"/>
      <c r="O22" s="342"/>
    </row>
    <row r="23" spans="1:16" ht="15">
      <c r="A23" s="338" t="s">
        <v>536</v>
      </c>
      <c r="B23" s="328">
        <v>0</v>
      </c>
      <c r="D23" s="328">
        <v>0</v>
      </c>
      <c r="E23" s="328">
        <v>0</v>
      </c>
      <c r="F23" s="328">
        <v>0</v>
      </c>
      <c r="G23" s="328">
        <v>0</v>
      </c>
      <c r="H23" s="328">
        <v>0</v>
      </c>
      <c r="I23" s="328">
        <v>0</v>
      </c>
      <c r="J23" s="328">
        <v>0</v>
      </c>
      <c r="K23" s="328">
        <v>0</v>
      </c>
      <c r="L23" s="328">
        <v>0</v>
      </c>
      <c r="M23" s="328">
        <v>0</v>
      </c>
      <c r="N23" s="328">
        <v>0</v>
      </c>
      <c r="O23" s="328">
        <v>0</v>
      </c>
      <c r="P23" s="277">
        <f>SUM(D23:O23)</f>
        <v>0</v>
      </c>
    </row>
    <row r="24" spans="1:16" ht="15">
      <c r="A24" s="339" t="s">
        <v>536</v>
      </c>
      <c r="B24" s="328">
        <v>0</v>
      </c>
      <c r="D24" s="328">
        <v>0</v>
      </c>
      <c r="E24" s="328">
        <v>0</v>
      </c>
      <c r="F24" s="328">
        <v>0</v>
      </c>
      <c r="G24" s="328">
        <v>0</v>
      </c>
      <c r="H24" s="328">
        <v>0</v>
      </c>
      <c r="I24" s="328">
        <v>0</v>
      </c>
      <c r="J24" s="328">
        <v>0</v>
      </c>
      <c r="K24" s="328">
        <v>0</v>
      </c>
      <c r="L24" s="328">
        <v>0</v>
      </c>
      <c r="M24" s="328">
        <v>0</v>
      </c>
      <c r="N24" s="328">
        <v>0</v>
      </c>
      <c r="O24" s="328">
        <v>0</v>
      </c>
      <c r="P24" s="277">
        <f>SUM(D24:O24)</f>
        <v>0</v>
      </c>
    </row>
    <row r="25" spans="1:16" ht="15.6" thickBot="1">
      <c r="A25" s="340" t="s">
        <v>191</v>
      </c>
      <c r="B25" s="341">
        <f>SUM(B23:B24)</f>
        <v>0</v>
      </c>
      <c r="D25" s="341">
        <f t="shared" ref="D25:P25" si="2">SUM(D23:D24)</f>
        <v>0</v>
      </c>
      <c r="E25" s="341">
        <f t="shared" si="2"/>
        <v>0</v>
      </c>
      <c r="F25" s="341">
        <f t="shared" si="2"/>
        <v>0</v>
      </c>
      <c r="G25" s="341">
        <f t="shared" si="2"/>
        <v>0</v>
      </c>
      <c r="H25" s="341">
        <f t="shared" si="2"/>
        <v>0</v>
      </c>
      <c r="I25" s="341">
        <f t="shared" si="2"/>
        <v>0</v>
      </c>
      <c r="J25" s="341">
        <f t="shared" si="2"/>
        <v>0</v>
      </c>
      <c r="K25" s="341">
        <f t="shared" si="2"/>
        <v>0</v>
      </c>
      <c r="L25" s="341">
        <f t="shared" si="2"/>
        <v>0</v>
      </c>
      <c r="M25" s="341">
        <f t="shared" si="2"/>
        <v>0</v>
      </c>
      <c r="N25" s="341">
        <f t="shared" si="2"/>
        <v>0</v>
      </c>
      <c r="O25" s="341">
        <f t="shared" si="2"/>
        <v>0</v>
      </c>
      <c r="P25" s="341">
        <f t="shared" si="2"/>
        <v>0</v>
      </c>
    </row>
    <row r="26" spans="1:16" ht="15.6" thickTop="1">
      <c r="A26" s="340"/>
      <c r="B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</row>
    <row r="27" spans="1:16" ht="13.8">
      <c r="A27" s="337" t="s">
        <v>457</v>
      </c>
      <c r="B27" s="342"/>
      <c r="D27" s="342"/>
      <c r="E27" s="342"/>
      <c r="F27" s="342"/>
      <c r="G27" s="342"/>
      <c r="H27" s="342"/>
      <c r="I27" s="342"/>
      <c r="J27" s="342"/>
      <c r="K27" s="342"/>
      <c r="L27" s="342"/>
      <c r="M27" s="342"/>
      <c r="N27" s="342"/>
      <c r="O27" s="342"/>
    </row>
    <row r="28" spans="1:16" ht="15">
      <c r="A28" s="338" t="s">
        <v>536</v>
      </c>
      <c r="B28" s="328">
        <v>0</v>
      </c>
      <c r="D28" s="328">
        <v>0</v>
      </c>
      <c r="E28" s="328">
        <v>0</v>
      </c>
      <c r="F28" s="328">
        <v>0</v>
      </c>
      <c r="G28" s="328">
        <v>0</v>
      </c>
      <c r="H28" s="328">
        <v>0</v>
      </c>
      <c r="I28" s="328">
        <v>0</v>
      </c>
      <c r="J28" s="328">
        <v>0</v>
      </c>
      <c r="K28" s="328">
        <v>0</v>
      </c>
      <c r="L28" s="328">
        <v>0</v>
      </c>
      <c r="M28" s="328">
        <v>0</v>
      </c>
      <c r="N28" s="328">
        <v>0</v>
      </c>
      <c r="O28" s="328">
        <v>0</v>
      </c>
      <c r="P28" s="277">
        <f>SUM(D28:O28)</f>
        <v>0</v>
      </c>
    </row>
    <row r="29" spans="1:16" ht="15">
      <c r="A29" s="339" t="s">
        <v>536</v>
      </c>
      <c r="B29" s="328">
        <v>0</v>
      </c>
      <c r="D29" s="328">
        <v>0</v>
      </c>
      <c r="E29" s="328">
        <v>0</v>
      </c>
      <c r="F29" s="328">
        <v>0</v>
      </c>
      <c r="G29" s="328">
        <v>0</v>
      </c>
      <c r="H29" s="328">
        <v>0</v>
      </c>
      <c r="I29" s="328">
        <v>0</v>
      </c>
      <c r="J29" s="328">
        <v>0</v>
      </c>
      <c r="K29" s="328">
        <v>0</v>
      </c>
      <c r="L29" s="328">
        <v>0</v>
      </c>
      <c r="M29" s="328">
        <v>0</v>
      </c>
      <c r="N29" s="328">
        <v>0</v>
      </c>
      <c r="O29" s="328">
        <v>0</v>
      </c>
      <c r="P29" s="277">
        <f>SUM(D29:O29)</f>
        <v>0</v>
      </c>
    </row>
    <row r="30" spans="1:16" ht="15.6" thickBot="1">
      <c r="A30" s="340" t="s">
        <v>191</v>
      </c>
      <c r="B30" s="341">
        <f>SUM(B28:B29)</f>
        <v>0</v>
      </c>
      <c r="D30" s="341">
        <f t="shared" ref="D30:P30" si="3">SUM(D28:D29)</f>
        <v>0</v>
      </c>
      <c r="E30" s="341">
        <f t="shared" si="3"/>
        <v>0</v>
      </c>
      <c r="F30" s="341">
        <f t="shared" si="3"/>
        <v>0</v>
      </c>
      <c r="G30" s="341">
        <f t="shared" si="3"/>
        <v>0</v>
      </c>
      <c r="H30" s="341">
        <f t="shared" si="3"/>
        <v>0</v>
      </c>
      <c r="I30" s="341">
        <f t="shared" si="3"/>
        <v>0</v>
      </c>
      <c r="J30" s="341">
        <f t="shared" si="3"/>
        <v>0</v>
      </c>
      <c r="K30" s="341">
        <f t="shared" si="3"/>
        <v>0</v>
      </c>
      <c r="L30" s="341">
        <f t="shared" si="3"/>
        <v>0</v>
      </c>
      <c r="M30" s="341">
        <f t="shared" si="3"/>
        <v>0</v>
      </c>
      <c r="N30" s="341">
        <f t="shared" si="3"/>
        <v>0</v>
      </c>
      <c r="O30" s="341">
        <f t="shared" si="3"/>
        <v>0</v>
      </c>
      <c r="P30" s="341">
        <f t="shared" si="3"/>
        <v>0</v>
      </c>
    </row>
    <row r="31" spans="1:16" ht="15.6" thickTop="1">
      <c r="A31" s="340"/>
      <c r="B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2"/>
    </row>
    <row r="32" spans="1:16" ht="13.8">
      <c r="A32" s="337" t="s">
        <v>598</v>
      </c>
      <c r="B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2"/>
    </row>
    <row r="33" spans="1:16" ht="15">
      <c r="A33" s="338" t="s">
        <v>536</v>
      </c>
      <c r="B33" s="328">
        <v>0</v>
      </c>
      <c r="D33" s="328">
        <v>0</v>
      </c>
      <c r="E33" s="328">
        <v>0</v>
      </c>
      <c r="F33" s="328">
        <v>0</v>
      </c>
      <c r="G33" s="328">
        <v>0</v>
      </c>
      <c r="H33" s="328">
        <v>0</v>
      </c>
      <c r="I33" s="328">
        <v>0</v>
      </c>
      <c r="J33" s="328">
        <v>0</v>
      </c>
      <c r="K33" s="328">
        <v>0</v>
      </c>
      <c r="L33" s="328">
        <v>0</v>
      </c>
      <c r="M33" s="328">
        <v>0</v>
      </c>
      <c r="N33" s="328">
        <v>0</v>
      </c>
      <c r="O33" s="328">
        <v>0</v>
      </c>
      <c r="P33" s="277">
        <f>SUM(D33:O33)</f>
        <v>0</v>
      </c>
    </row>
    <row r="34" spans="1:16" ht="15">
      <c r="A34" s="339" t="s">
        <v>536</v>
      </c>
      <c r="B34" s="328">
        <v>0</v>
      </c>
      <c r="D34" s="328">
        <v>0</v>
      </c>
      <c r="E34" s="328">
        <v>0</v>
      </c>
      <c r="F34" s="328">
        <v>0</v>
      </c>
      <c r="G34" s="328">
        <v>0</v>
      </c>
      <c r="H34" s="328">
        <v>0</v>
      </c>
      <c r="I34" s="328">
        <v>0</v>
      </c>
      <c r="J34" s="328">
        <v>0</v>
      </c>
      <c r="K34" s="328">
        <v>0</v>
      </c>
      <c r="L34" s="328">
        <v>0</v>
      </c>
      <c r="M34" s="328">
        <v>0</v>
      </c>
      <c r="N34" s="328">
        <v>0</v>
      </c>
      <c r="O34" s="328">
        <v>0</v>
      </c>
      <c r="P34" s="277">
        <f>SUM(D34:O34)</f>
        <v>0</v>
      </c>
    </row>
    <row r="35" spans="1:16" ht="15.6" thickBot="1">
      <c r="A35" s="340" t="s">
        <v>191</v>
      </c>
      <c r="B35" s="341">
        <f>SUM(B33:B34)</f>
        <v>0</v>
      </c>
      <c r="D35" s="341">
        <f t="shared" ref="D35:P35" si="4">SUM(D33:D34)</f>
        <v>0</v>
      </c>
      <c r="E35" s="341">
        <f t="shared" si="4"/>
        <v>0</v>
      </c>
      <c r="F35" s="341">
        <f t="shared" si="4"/>
        <v>0</v>
      </c>
      <c r="G35" s="341">
        <f t="shared" si="4"/>
        <v>0</v>
      </c>
      <c r="H35" s="341">
        <f t="shared" si="4"/>
        <v>0</v>
      </c>
      <c r="I35" s="341">
        <f t="shared" si="4"/>
        <v>0</v>
      </c>
      <c r="J35" s="341">
        <f t="shared" si="4"/>
        <v>0</v>
      </c>
      <c r="K35" s="341">
        <f t="shared" si="4"/>
        <v>0</v>
      </c>
      <c r="L35" s="341">
        <f t="shared" si="4"/>
        <v>0</v>
      </c>
      <c r="M35" s="341">
        <f t="shared" si="4"/>
        <v>0</v>
      </c>
      <c r="N35" s="341">
        <f t="shared" si="4"/>
        <v>0</v>
      </c>
      <c r="O35" s="341">
        <f t="shared" si="4"/>
        <v>0</v>
      </c>
      <c r="P35" s="341">
        <f t="shared" si="4"/>
        <v>0</v>
      </c>
    </row>
    <row r="36" spans="1:16" ht="15.6" thickTop="1">
      <c r="A36" s="340"/>
      <c r="B36" s="342"/>
      <c r="D36" s="342"/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</row>
    <row r="37" spans="1:16" ht="13.8">
      <c r="A37" s="322"/>
      <c r="B37" s="330"/>
      <c r="D37" s="330"/>
      <c r="E37" s="330"/>
      <c r="F37" s="330"/>
      <c r="G37" s="330"/>
      <c r="H37" s="330"/>
      <c r="I37" s="330"/>
      <c r="J37" s="330"/>
      <c r="K37" s="330"/>
      <c r="L37" s="330"/>
      <c r="M37" s="330"/>
      <c r="N37" s="330"/>
      <c r="O37" s="330"/>
    </row>
    <row r="38" spans="1:16" ht="14.4" thickBot="1">
      <c r="A38" s="331" t="s">
        <v>538</v>
      </c>
      <c r="B38" s="332">
        <f>B15+B20+B25+B30+B35</f>
        <v>0</v>
      </c>
      <c r="D38" s="332">
        <f t="shared" ref="D38:P38" si="5">D15+D20+D25+D30+D35</f>
        <v>0</v>
      </c>
      <c r="E38" s="332">
        <f t="shared" si="5"/>
        <v>0</v>
      </c>
      <c r="F38" s="332">
        <f t="shared" si="5"/>
        <v>0</v>
      </c>
      <c r="G38" s="332">
        <f t="shared" si="5"/>
        <v>0</v>
      </c>
      <c r="H38" s="332">
        <f t="shared" si="5"/>
        <v>0</v>
      </c>
      <c r="I38" s="332">
        <f t="shared" si="5"/>
        <v>0</v>
      </c>
      <c r="J38" s="332">
        <f t="shared" si="5"/>
        <v>0</v>
      </c>
      <c r="K38" s="332">
        <f t="shared" si="5"/>
        <v>0</v>
      </c>
      <c r="L38" s="332">
        <f t="shared" si="5"/>
        <v>0</v>
      </c>
      <c r="M38" s="332">
        <f t="shared" si="5"/>
        <v>0</v>
      </c>
      <c r="N38" s="332">
        <f t="shared" si="5"/>
        <v>0</v>
      </c>
      <c r="O38" s="332">
        <f t="shared" si="5"/>
        <v>0</v>
      </c>
      <c r="P38" s="332">
        <f t="shared" si="5"/>
        <v>0</v>
      </c>
    </row>
    <row r="39" spans="1:16" ht="13.8" thickTop="1"/>
    <row r="40" spans="1:16" ht="15">
      <c r="A40" s="321"/>
    </row>
    <row r="41" spans="1:16">
      <c r="A41" s="333" t="str">
        <f ca="1">CELL("filename",A1)</f>
        <v>O:\Enron Net Works\Accounting\2001 Plan\Deal Bench\[Deal Bench 2001 Plan.xls]Schedule B - Investing</v>
      </c>
    </row>
    <row r="42" spans="1:16">
      <c r="A42" s="335">
        <f ca="1">NOW()</f>
        <v>36838.463314351851</v>
      </c>
    </row>
  </sheetData>
  <mergeCells count="3">
    <mergeCell ref="A2:P2"/>
    <mergeCell ref="A3:P3"/>
    <mergeCell ref="A6:P6"/>
  </mergeCells>
  <pageMargins left="0.25" right="0.25" top="0.25" bottom="0.25" header="0.5" footer="0.5"/>
  <pageSetup scale="73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workbookViewId="0"/>
  </sheetViews>
  <sheetFormatPr defaultColWidth="10.6640625" defaultRowHeight="13.2"/>
  <cols>
    <col min="1" max="2" width="10.6640625" style="258" customWidth="1"/>
    <col min="3" max="3" width="11.6640625" style="258" bestFit="1" customWidth="1"/>
    <col min="4" max="16384" width="10.6640625" style="258"/>
  </cols>
  <sheetData>
    <row r="1" spans="1:16" ht="17.399999999999999">
      <c r="A1" s="319"/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</row>
    <row r="2" spans="1:16" ht="17.399999999999999">
      <c r="A2" s="398" t="s">
        <v>484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</row>
    <row r="3" spans="1:16" ht="17.399999999999999">
      <c r="A3" s="396" t="s">
        <v>424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</row>
    <row r="4" spans="1:16" ht="17.399999999999999">
      <c r="A4" s="397" t="s">
        <v>539</v>
      </c>
      <c r="B4" s="397"/>
      <c r="C4" s="397"/>
      <c r="D4" s="397"/>
      <c r="E4" s="397"/>
      <c r="F4" s="397"/>
      <c r="G4" s="397"/>
      <c r="H4" s="397"/>
      <c r="I4" s="397"/>
      <c r="J4" s="397"/>
      <c r="K4" s="397"/>
      <c r="L4" s="397"/>
      <c r="M4" s="397"/>
      <c r="N4" s="397"/>
      <c r="O4" s="397"/>
      <c r="P4" s="397"/>
    </row>
    <row r="5" spans="1:16" ht="15.6">
      <c r="A5" s="395" t="s">
        <v>529</v>
      </c>
      <c r="B5" s="395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</row>
    <row r="6" spans="1:16" ht="15.6">
      <c r="A6" s="343" t="s">
        <v>599</v>
      </c>
      <c r="B6" s="321"/>
    </row>
    <row r="7" spans="1:16" ht="15">
      <c r="B7" s="344" t="s">
        <v>540</v>
      </c>
    </row>
    <row r="8" spans="1:16" ht="15">
      <c r="B8" s="344" t="s">
        <v>541</v>
      </c>
    </row>
    <row r="11" spans="1:16" ht="15.6">
      <c r="A11" s="345"/>
      <c r="B11" s="346"/>
      <c r="C11" s="346"/>
      <c r="D11" s="346"/>
      <c r="E11" s="347" t="s">
        <v>542</v>
      </c>
      <c r="F11" s="346"/>
      <c r="G11" s="347" t="s">
        <v>543</v>
      </c>
      <c r="H11" s="346"/>
      <c r="I11" s="347" t="s">
        <v>544</v>
      </c>
      <c r="J11" s="346"/>
      <c r="K11" s="347" t="s">
        <v>545</v>
      </c>
    </row>
    <row r="12" spans="1:16" ht="15.6">
      <c r="A12" s="346"/>
      <c r="B12" s="346"/>
      <c r="C12" s="346"/>
      <c r="D12" s="346"/>
      <c r="E12" s="348" t="s">
        <v>546</v>
      </c>
      <c r="F12" s="346"/>
      <c r="G12" s="348" t="s">
        <v>547</v>
      </c>
      <c r="H12" s="346"/>
      <c r="I12" s="348" t="s">
        <v>548</v>
      </c>
      <c r="J12" s="346"/>
      <c r="K12" s="348" t="s">
        <v>549</v>
      </c>
    </row>
    <row r="13" spans="1:16" ht="15.6">
      <c r="A13" s="349" t="s">
        <v>550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</row>
    <row r="14" spans="1:16" ht="15">
      <c r="A14" s="346"/>
      <c r="B14" s="346"/>
      <c r="C14" s="346"/>
      <c r="D14" s="346"/>
      <c r="E14" s="346"/>
      <c r="F14" s="346"/>
      <c r="G14" s="346"/>
      <c r="H14" s="346"/>
      <c r="I14" s="346"/>
      <c r="J14" s="346"/>
      <c r="K14" s="346"/>
    </row>
    <row r="15" spans="1:16" ht="15.6">
      <c r="A15" s="350" t="s">
        <v>551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</row>
    <row r="16" spans="1:16" ht="15">
      <c r="A16" s="346"/>
      <c r="B16" s="327" t="s">
        <v>552</v>
      </c>
      <c r="C16" s="327"/>
      <c r="D16" s="346"/>
      <c r="E16" s="351"/>
      <c r="F16" s="352"/>
      <c r="G16" s="327">
        <v>0</v>
      </c>
      <c r="H16" s="327"/>
      <c r="I16" s="327">
        <v>0</v>
      </c>
      <c r="J16" s="352"/>
      <c r="K16" s="346">
        <f t="shared" ref="K16:K25" si="0">G16-I16</f>
        <v>0</v>
      </c>
    </row>
    <row r="17" spans="1:11" ht="15">
      <c r="A17" s="346"/>
      <c r="B17" s="327" t="s">
        <v>553</v>
      </c>
      <c r="C17" s="327"/>
      <c r="D17" s="346"/>
      <c r="E17" s="353"/>
      <c r="F17" s="352"/>
      <c r="G17" s="327">
        <v>0</v>
      </c>
      <c r="H17" s="327"/>
      <c r="I17" s="327">
        <v>0</v>
      </c>
      <c r="J17" s="352"/>
      <c r="K17" s="346">
        <f t="shared" si="0"/>
        <v>0</v>
      </c>
    </row>
    <row r="18" spans="1:11" ht="15">
      <c r="A18" s="346"/>
      <c r="B18" s="327" t="s">
        <v>554</v>
      </c>
      <c r="C18" s="327"/>
      <c r="D18" s="346"/>
      <c r="E18" s="354"/>
      <c r="F18" s="352"/>
      <c r="G18" s="327">
        <v>0</v>
      </c>
      <c r="H18" s="327"/>
      <c r="I18" s="327">
        <v>0</v>
      </c>
      <c r="J18" s="352"/>
      <c r="K18" s="346">
        <f t="shared" si="0"/>
        <v>0</v>
      </c>
    </row>
    <row r="19" spans="1:11" ht="15">
      <c r="A19" s="346"/>
      <c r="B19" s="327" t="s">
        <v>555</v>
      </c>
      <c r="C19" s="327"/>
      <c r="D19" s="346"/>
      <c r="E19" s="354"/>
      <c r="F19" s="352"/>
      <c r="G19" s="327">
        <v>0</v>
      </c>
      <c r="H19" s="327"/>
      <c r="I19" s="327">
        <v>0</v>
      </c>
      <c r="J19" s="352"/>
      <c r="K19" s="346">
        <f t="shared" si="0"/>
        <v>0</v>
      </c>
    </row>
    <row r="20" spans="1:11" ht="15">
      <c r="A20" s="346"/>
      <c r="B20" s="327" t="s">
        <v>556</v>
      </c>
      <c r="C20" s="327"/>
      <c r="D20" s="346"/>
      <c r="E20" s="354"/>
      <c r="F20" s="352"/>
      <c r="G20" s="327">
        <v>0</v>
      </c>
      <c r="H20" s="327"/>
      <c r="I20" s="327">
        <v>0</v>
      </c>
      <c r="J20" s="352"/>
      <c r="K20" s="346">
        <f t="shared" si="0"/>
        <v>0</v>
      </c>
    </row>
    <row r="21" spans="1:11" ht="15">
      <c r="A21" s="346"/>
      <c r="B21" s="327" t="s">
        <v>557</v>
      </c>
      <c r="C21" s="327"/>
      <c r="D21" s="346"/>
      <c r="E21" s="354"/>
      <c r="F21" s="352"/>
      <c r="G21" s="327">
        <v>0</v>
      </c>
      <c r="H21" s="327"/>
      <c r="I21" s="327">
        <v>0</v>
      </c>
      <c r="J21" s="352"/>
      <c r="K21" s="346">
        <f t="shared" si="0"/>
        <v>0</v>
      </c>
    </row>
    <row r="22" spans="1:11" ht="15">
      <c r="A22" s="346"/>
      <c r="B22" s="327" t="s">
        <v>558</v>
      </c>
      <c r="C22" s="327"/>
      <c r="D22" s="346"/>
      <c r="E22" s="354"/>
      <c r="F22" s="352"/>
      <c r="G22" s="327">
        <v>0</v>
      </c>
      <c r="H22" s="327"/>
      <c r="I22" s="327">
        <v>0</v>
      </c>
      <c r="J22" s="352"/>
      <c r="K22" s="346">
        <f t="shared" si="0"/>
        <v>0</v>
      </c>
    </row>
    <row r="23" spans="1:11" ht="15">
      <c r="A23" s="346"/>
      <c r="B23" s="327" t="s">
        <v>559</v>
      </c>
      <c r="C23" s="327"/>
      <c r="D23" s="346"/>
      <c r="E23" s="354"/>
      <c r="F23" s="352"/>
      <c r="G23" s="327">
        <v>0</v>
      </c>
      <c r="H23" s="327"/>
      <c r="I23" s="327">
        <v>0</v>
      </c>
      <c r="J23" s="352"/>
      <c r="K23" s="346">
        <f t="shared" si="0"/>
        <v>0</v>
      </c>
    </row>
    <row r="24" spans="1:11" ht="15">
      <c r="A24" s="346"/>
      <c r="B24" s="327" t="s">
        <v>560</v>
      </c>
      <c r="C24" s="327"/>
      <c r="D24" s="346"/>
      <c r="E24" s="354"/>
      <c r="F24" s="352"/>
      <c r="G24" s="327">
        <v>0</v>
      </c>
      <c r="H24" s="327"/>
      <c r="I24" s="327">
        <v>0</v>
      </c>
      <c r="J24" s="352"/>
      <c r="K24" s="346">
        <f t="shared" si="0"/>
        <v>0</v>
      </c>
    </row>
    <row r="25" spans="1:11" ht="15">
      <c r="A25" s="346"/>
      <c r="B25" s="327" t="s">
        <v>561</v>
      </c>
      <c r="C25" s="327"/>
      <c r="D25" s="346"/>
      <c r="E25" s="354"/>
      <c r="F25" s="352"/>
      <c r="G25" s="327">
        <v>0</v>
      </c>
      <c r="H25" s="327"/>
      <c r="I25" s="327">
        <v>0</v>
      </c>
      <c r="J25" s="352"/>
      <c r="K25" s="346">
        <f t="shared" si="0"/>
        <v>0</v>
      </c>
    </row>
    <row r="26" spans="1:11" ht="16.2" thickBot="1">
      <c r="A26" s="346"/>
      <c r="B26" s="346"/>
      <c r="C26" s="350" t="s">
        <v>562</v>
      </c>
      <c r="D26" s="346"/>
      <c r="E26" s="355"/>
      <c r="F26" s="346"/>
      <c r="G26" s="356">
        <f>SUM(G16:G25)</f>
        <v>0</v>
      </c>
      <c r="H26" s="346"/>
      <c r="I26" s="356">
        <f>SUM(I16:I25)</f>
        <v>0</v>
      </c>
      <c r="J26" s="346"/>
      <c r="K26" s="356">
        <f>SUM(K16:K25)</f>
        <v>0</v>
      </c>
    </row>
    <row r="27" spans="1:11" ht="15.6" thickTop="1">
      <c r="A27" s="346"/>
      <c r="B27" s="346"/>
      <c r="C27" s="346"/>
      <c r="D27" s="346"/>
      <c r="E27" s="355"/>
      <c r="F27" s="346"/>
      <c r="G27" s="346"/>
      <c r="H27" s="346"/>
      <c r="I27" s="346"/>
      <c r="J27" s="346"/>
      <c r="K27" s="346"/>
    </row>
    <row r="28" spans="1:11" ht="15.6">
      <c r="A28" s="350" t="s">
        <v>563</v>
      </c>
      <c r="B28" s="346"/>
      <c r="C28" s="346"/>
      <c r="D28" s="346"/>
      <c r="E28" s="355"/>
      <c r="F28" s="346"/>
      <c r="G28" s="346"/>
      <c r="H28" s="346"/>
      <c r="I28" s="346"/>
      <c r="J28" s="346"/>
      <c r="K28" s="346"/>
    </row>
    <row r="29" spans="1:11" ht="15">
      <c r="A29" s="346"/>
      <c r="B29" s="327" t="s">
        <v>552</v>
      </c>
      <c r="C29" s="327"/>
      <c r="D29" s="346"/>
      <c r="E29" s="354"/>
      <c r="F29" s="352"/>
      <c r="G29" s="327">
        <v>0</v>
      </c>
      <c r="H29" s="327"/>
      <c r="I29" s="327">
        <v>0</v>
      </c>
      <c r="J29" s="352"/>
      <c r="K29" s="346">
        <f t="shared" ref="K29:K38" si="1">G29-I29</f>
        <v>0</v>
      </c>
    </row>
    <row r="30" spans="1:11" ht="15">
      <c r="A30" s="346"/>
      <c r="B30" s="327" t="s">
        <v>553</v>
      </c>
      <c r="C30" s="327"/>
      <c r="D30" s="346"/>
      <c r="E30" s="354"/>
      <c r="F30" s="352"/>
      <c r="G30" s="327">
        <v>0</v>
      </c>
      <c r="H30" s="327"/>
      <c r="I30" s="327">
        <v>0</v>
      </c>
      <c r="J30" s="352"/>
      <c r="K30" s="346">
        <f t="shared" si="1"/>
        <v>0</v>
      </c>
    </row>
    <row r="31" spans="1:11" ht="15">
      <c r="A31" s="346"/>
      <c r="B31" s="327" t="s">
        <v>554</v>
      </c>
      <c r="C31" s="327"/>
      <c r="D31" s="346"/>
      <c r="E31" s="354"/>
      <c r="F31" s="352"/>
      <c r="G31" s="327">
        <v>0</v>
      </c>
      <c r="H31" s="327"/>
      <c r="I31" s="327">
        <v>0</v>
      </c>
      <c r="J31" s="352"/>
      <c r="K31" s="346">
        <f t="shared" si="1"/>
        <v>0</v>
      </c>
    </row>
    <row r="32" spans="1:11" ht="15">
      <c r="A32" s="346"/>
      <c r="B32" s="327" t="s">
        <v>555</v>
      </c>
      <c r="C32" s="327"/>
      <c r="D32" s="346"/>
      <c r="E32" s="354"/>
      <c r="F32" s="352"/>
      <c r="G32" s="327">
        <v>0</v>
      </c>
      <c r="H32" s="327"/>
      <c r="I32" s="327">
        <v>0</v>
      </c>
      <c r="J32" s="352"/>
      <c r="K32" s="346">
        <f t="shared" si="1"/>
        <v>0</v>
      </c>
    </row>
    <row r="33" spans="1:11" ht="15">
      <c r="A33" s="346"/>
      <c r="B33" s="327" t="s">
        <v>556</v>
      </c>
      <c r="C33" s="327"/>
      <c r="D33" s="346"/>
      <c r="E33" s="354"/>
      <c r="F33" s="352"/>
      <c r="G33" s="327">
        <v>0</v>
      </c>
      <c r="H33" s="327"/>
      <c r="I33" s="327">
        <v>0</v>
      </c>
      <c r="J33" s="352"/>
      <c r="K33" s="346">
        <f t="shared" si="1"/>
        <v>0</v>
      </c>
    </row>
    <row r="34" spans="1:11" ht="15">
      <c r="A34" s="346"/>
      <c r="B34" s="327" t="s">
        <v>557</v>
      </c>
      <c r="C34" s="327"/>
      <c r="D34" s="346"/>
      <c r="E34" s="354"/>
      <c r="F34" s="352"/>
      <c r="G34" s="327">
        <v>0</v>
      </c>
      <c r="H34" s="327"/>
      <c r="I34" s="327">
        <v>0</v>
      </c>
      <c r="J34" s="352"/>
      <c r="K34" s="346">
        <f t="shared" si="1"/>
        <v>0</v>
      </c>
    </row>
    <row r="35" spans="1:11" ht="15">
      <c r="A35" s="346"/>
      <c r="B35" s="327" t="s">
        <v>558</v>
      </c>
      <c r="C35" s="327"/>
      <c r="D35" s="346"/>
      <c r="E35" s="354"/>
      <c r="F35" s="352"/>
      <c r="G35" s="327">
        <v>0</v>
      </c>
      <c r="H35" s="327"/>
      <c r="I35" s="327">
        <v>0</v>
      </c>
      <c r="J35" s="352"/>
      <c r="K35" s="346">
        <f t="shared" si="1"/>
        <v>0</v>
      </c>
    </row>
    <row r="36" spans="1:11" ht="15">
      <c r="A36" s="346"/>
      <c r="B36" s="327" t="s">
        <v>559</v>
      </c>
      <c r="C36" s="327"/>
      <c r="D36" s="346"/>
      <c r="E36" s="354"/>
      <c r="F36" s="352"/>
      <c r="G36" s="327">
        <v>0</v>
      </c>
      <c r="H36" s="327"/>
      <c r="I36" s="327">
        <v>0</v>
      </c>
      <c r="J36" s="352"/>
      <c r="K36" s="346">
        <f t="shared" si="1"/>
        <v>0</v>
      </c>
    </row>
    <row r="37" spans="1:11" ht="15">
      <c r="A37" s="346"/>
      <c r="B37" s="327" t="s">
        <v>560</v>
      </c>
      <c r="C37" s="327"/>
      <c r="D37" s="346"/>
      <c r="E37" s="354"/>
      <c r="F37" s="352"/>
      <c r="G37" s="327">
        <v>0</v>
      </c>
      <c r="H37" s="327"/>
      <c r="I37" s="327">
        <v>0</v>
      </c>
      <c r="J37" s="352"/>
      <c r="K37" s="346">
        <f t="shared" si="1"/>
        <v>0</v>
      </c>
    </row>
    <row r="38" spans="1:11" ht="15">
      <c r="A38" s="346"/>
      <c r="B38" s="327" t="s">
        <v>561</v>
      </c>
      <c r="C38" s="327"/>
      <c r="D38" s="346"/>
      <c r="E38" s="354"/>
      <c r="F38" s="352"/>
      <c r="G38" s="327">
        <v>0</v>
      </c>
      <c r="H38" s="327"/>
      <c r="I38" s="327">
        <v>0</v>
      </c>
      <c r="J38" s="352"/>
      <c r="K38" s="346">
        <f t="shared" si="1"/>
        <v>0</v>
      </c>
    </row>
    <row r="39" spans="1:11" ht="16.2" thickBot="1">
      <c r="A39" s="346"/>
      <c r="B39" s="346"/>
      <c r="C39" s="350" t="s">
        <v>564</v>
      </c>
      <c r="D39" s="346"/>
      <c r="E39" s="355"/>
      <c r="F39" s="346"/>
      <c r="G39" s="356">
        <f>SUM(G38)</f>
        <v>0</v>
      </c>
      <c r="H39" s="346"/>
      <c r="I39" s="356">
        <f>SUM(I38)</f>
        <v>0</v>
      </c>
      <c r="J39" s="346"/>
      <c r="K39" s="356">
        <f>SUM(K38)</f>
        <v>0</v>
      </c>
    </row>
    <row r="40" spans="1:11" ht="16.2" thickTop="1">
      <c r="A40" s="346"/>
      <c r="B40" s="346"/>
      <c r="C40" s="345"/>
      <c r="D40" s="346"/>
      <c r="E40" s="355"/>
      <c r="F40" s="346"/>
      <c r="G40" s="355"/>
      <c r="H40" s="346"/>
      <c r="I40" s="355"/>
      <c r="J40" s="346"/>
      <c r="K40" s="355"/>
    </row>
    <row r="41" spans="1:11" ht="15">
      <c r="A41" s="346"/>
      <c r="B41" s="346"/>
      <c r="C41" s="346"/>
      <c r="D41" s="346"/>
      <c r="E41" s="346"/>
      <c r="F41" s="346"/>
      <c r="G41" s="346"/>
      <c r="H41" s="346"/>
      <c r="I41" s="346"/>
      <c r="J41" s="346"/>
      <c r="K41" s="346"/>
    </row>
    <row r="42" spans="1:11" ht="15">
      <c r="A42" s="357"/>
      <c r="B42" s="346"/>
      <c r="C42" s="333" t="str">
        <f ca="1">CELL("filename",C41)</f>
        <v>O:\Enron Net Works\Accounting\2001 Plan\Deal Bench\[Deal Bench 2001 Plan.xls]Schedule C - Asset Sales</v>
      </c>
      <c r="D42" s="346"/>
      <c r="E42" s="357"/>
      <c r="F42" s="346"/>
      <c r="G42" s="357"/>
      <c r="H42" s="346"/>
      <c r="I42" s="346"/>
      <c r="J42" s="346"/>
      <c r="K42" s="346"/>
    </row>
    <row r="43" spans="1:11" ht="15">
      <c r="A43" s="346"/>
      <c r="B43" s="346"/>
      <c r="C43" s="335">
        <f ca="1">NOW()</f>
        <v>36838.463314351851</v>
      </c>
      <c r="D43" s="346"/>
      <c r="E43" s="346"/>
      <c r="F43" s="346"/>
      <c r="G43" s="346"/>
      <c r="H43" s="346"/>
      <c r="I43" s="346"/>
      <c r="J43" s="346"/>
      <c r="K43" s="346"/>
    </row>
  </sheetData>
  <mergeCells count="4">
    <mergeCell ref="A2:P2"/>
    <mergeCell ref="A3:P3"/>
    <mergeCell ref="A4:P4"/>
    <mergeCell ref="A5:P5"/>
  </mergeCells>
  <printOptions horizontalCentered="1"/>
  <pageMargins left="0.25" right="0.25" top="0.25" bottom="0.25" header="0.5" footer="0.5"/>
  <pageSetup scale="89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workbookViewId="0"/>
  </sheetViews>
  <sheetFormatPr defaultColWidth="10.6640625" defaultRowHeight="13.2"/>
  <cols>
    <col min="1" max="1" width="41.109375" style="258" customWidth="1"/>
    <col min="2" max="3" width="0.6640625" style="258" hidden="1" customWidth="1"/>
    <col min="4" max="16384" width="10.6640625" style="258"/>
  </cols>
  <sheetData>
    <row r="1" spans="1:16" ht="17.399999999999999">
      <c r="A1" s="319"/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</row>
    <row r="2" spans="1:16" ht="17.399999999999999">
      <c r="A2" s="398" t="s">
        <v>422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</row>
    <row r="3" spans="1:16" ht="17.399999999999999">
      <c r="A3" s="396" t="s">
        <v>424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</row>
    <row r="4" spans="1:16" ht="17.399999999999999">
      <c r="A4" s="397" t="s">
        <v>565</v>
      </c>
      <c r="B4" s="397"/>
      <c r="C4" s="397"/>
      <c r="D4" s="397"/>
      <c r="E4" s="397"/>
      <c r="F4" s="397"/>
      <c r="G4" s="397"/>
      <c r="H4" s="397"/>
      <c r="I4" s="397"/>
      <c r="J4" s="397"/>
      <c r="K4" s="397"/>
      <c r="L4" s="397"/>
      <c r="M4" s="397"/>
      <c r="N4" s="397"/>
      <c r="O4" s="397"/>
      <c r="P4" s="397"/>
    </row>
    <row r="5" spans="1:16" ht="15.6">
      <c r="A5" s="395" t="s">
        <v>529</v>
      </c>
      <c r="B5" s="395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</row>
    <row r="6" spans="1:16" ht="15.6">
      <c r="A6" s="320" t="s">
        <v>599</v>
      </c>
      <c r="B6" s="321"/>
    </row>
    <row r="10" spans="1:16">
      <c r="D10" s="265" t="s">
        <v>328</v>
      </c>
      <c r="E10" s="265" t="s">
        <v>329</v>
      </c>
      <c r="F10" s="265" t="s">
        <v>330</v>
      </c>
      <c r="G10" s="265" t="s">
        <v>331</v>
      </c>
      <c r="H10" s="265" t="s">
        <v>332</v>
      </c>
      <c r="I10" s="265" t="s">
        <v>333</v>
      </c>
      <c r="J10" s="265" t="s">
        <v>429</v>
      </c>
      <c r="K10" s="265" t="s">
        <v>334</v>
      </c>
      <c r="L10" s="265" t="s">
        <v>335</v>
      </c>
      <c r="M10" s="265" t="s">
        <v>339</v>
      </c>
      <c r="N10" s="265" t="s">
        <v>340</v>
      </c>
      <c r="O10" s="265" t="s">
        <v>336</v>
      </c>
      <c r="P10" s="265" t="s">
        <v>191</v>
      </c>
    </row>
    <row r="11" spans="1:16" ht="15">
      <c r="A11" s="358" t="s">
        <v>212</v>
      </c>
      <c r="D11" s="278">
        <f>-ROUND(('Cash and Non-Cash'!D21)/1000,0)</f>
        <v>0</v>
      </c>
      <c r="E11" s="278">
        <f>-ROUND(('Cash and Non-Cash'!E21)/1000,0)</f>
        <v>0</v>
      </c>
      <c r="F11" s="278">
        <f>-ROUND(('Cash and Non-Cash'!F21)/1000,0)</f>
        <v>0</v>
      </c>
      <c r="G11" s="278">
        <f>-ROUND(('Cash and Non-Cash'!G21)/1000,0)</f>
        <v>0</v>
      </c>
      <c r="H11" s="278">
        <f>-ROUND(('Cash and Non-Cash'!H21)/1000,0)</f>
        <v>0</v>
      </c>
      <c r="I11" s="278">
        <f>-ROUND(('Cash and Non-Cash'!I21)/1000,0)</f>
        <v>0</v>
      </c>
      <c r="J11" s="278">
        <f>-ROUND(('Cash and Non-Cash'!J21)/1000,0)</f>
        <v>0</v>
      </c>
      <c r="K11" s="278">
        <f>-ROUND(('Cash and Non-Cash'!K21)/1000,0)</f>
        <v>0</v>
      </c>
      <c r="L11" s="278">
        <f>-ROUND(('Cash and Non-Cash'!L21)/1000,0)</f>
        <v>0</v>
      </c>
      <c r="M11" s="278">
        <f>-ROUND(('Cash and Non-Cash'!M21)/1000,0)</f>
        <v>0</v>
      </c>
      <c r="N11" s="278">
        <f>-ROUND(('Cash and Non-Cash'!N21)/1000,0)</f>
        <v>0</v>
      </c>
      <c r="O11" s="278">
        <f>-ROUND(('Cash and Non-Cash'!O21)/1000,0)</f>
        <v>0</v>
      </c>
      <c r="P11" s="277">
        <f t="shared" ref="P11:P19" si="0">SUM(D11:O11)</f>
        <v>0</v>
      </c>
    </row>
    <row r="12" spans="1:16" ht="15">
      <c r="A12" s="358" t="s">
        <v>384</v>
      </c>
      <c r="D12" s="278">
        <f>-ROUND(('Cash and Non-Cash'!D20)/1000,0)</f>
        <v>0</v>
      </c>
      <c r="E12" s="278">
        <f>-ROUND(('Cash and Non-Cash'!E20)/1000,0)</f>
        <v>0</v>
      </c>
      <c r="F12" s="278">
        <f>-ROUND(('Cash and Non-Cash'!F20)/1000,0)</f>
        <v>0</v>
      </c>
      <c r="G12" s="278">
        <f>-ROUND(('Cash and Non-Cash'!G20)/1000,0)</f>
        <v>0</v>
      </c>
      <c r="H12" s="278">
        <f>-ROUND(('Cash and Non-Cash'!H20)/1000,0)</f>
        <v>0</v>
      </c>
      <c r="I12" s="278">
        <f>-ROUND(('Cash and Non-Cash'!I20)/1000,0)</f>
        <v>0</v>
      </c>
      <c r="J12" s="278">
        <f>-ROUND(('Cash and Non-Cash'!J20)/1000,0)</f>
        <v>0</v>
      </c>
      <c r="K12" s="278">
        <f>-ROUND(('Cash and Non-Cash'!K20)/1000,0)</f>
        <v>0</v>
      </c>
      <c r="L12" s="278">
        <f>-ROUND(('Cash and Non-Cash'!L20)/1000,0)</f>
        <v>0</v>
      </c>
      <c r="M12" s="278">
        <f>-ROUND(('Cash and Non-Cash'!M20)/1000,0)</f>
        <v>0</v>
      </c>
      <c r="N12" s="278">
        <f>-ROUND(('Cash and Non-Cash'!N20)/1000,0)</f>
        <v>0</v>
      </c>
      <c r="O12" s="278">
        <f>-ROUND(('Cash and Non-Cash'!O20)/1000,0)</f>
        <v>0</v>
      </c>
      <c r="P12" s="277">
        <f t="shared" si="0"/>
        <v>0</v>
      </c>
    </row>
    <row r="13" spans="1:16" ht="15">
      <c r="A13" s="358" t="s">
        <v>566</v>
      </c>
      <c r="D13" s="278">
        <f>-ROUND(('Income Statement'!B15)/1000,0)</f>
        <v>0</v>
      </c>
      <c r="E13" s="278">
        <f>-ROUND(('Income Statement'!C15)/1000,0)</f>
        <v>0</v>
      </c>
      <c r="F13" s="278">
        <f>-ROUND(('Income Statement'!D15)/1000,0)</f>
        <v>0</v>
      </c>
      <c r="G13" s="278">
        <f>-ROUND(('Income Statement'!E15)/1000,0)</f>
        <v>0</v>
      </c>
      <c r="H13" s="278">
        <f>-ROUND(('Income Statement'!F15)/1000,0)</f>
        <v>0</v>
      </c>
      <c r="I13" s="278">
        <f>-ROUND(('Income Statement'!G15)/1000,0)</f>
        <v>0</v>
      </c>
      <c r="J13" s="278">
        <f>-ROUND(('Income Statement'!H15)/1000,0)</f>
        <v>0</v>
      </c>
      <c r="K13" s="278">
        <f>-ROUND(('Income Statement'!I15)/1000,0)</f>
        <v>0</v>
      </c>
      <c r="L13" s="278">
        <f>-ROUND(('Income Statement'!J15)/1000,0)</f>
        <v>0</v>
      </c>
      <c r="M13" s="278">
        <f>-ROUND(('Income Statement'!K15)/1000,0)</f>
        <v>0</v>
      </c>
      <c r="N13" s="278">
        <f>-ROUND(('Income Statement'!L15)/1000,0)</f>
        <v>0</v>
      </c>
      <c r="O13" s="278">
        <f>-ROUND(('Income Statement'!M15)/1000,0)</f>
        <v>0</v>
      </c>
      <c r="P13" s="277">
        <f t="shared" si="0"/>
        <v>0</v>
      </c>
    </row>
    <row r="14" spans="1:16" ht="15">
      <c r="A14" s="346" t="s">
        <v>567</v>
      </c>
      <c r="D14" s="359">
        <v>0</v>
      </c>
      <c r="E14" s="359">
        <v>0</v>
      </c>
      <c r="F14" s="359">
        <v>0</v>
      </c>
      <c r="G14" s="359">
        <v>0</v>
      </c>
      <c r="H14" s="359">
        <v>0</v>
      </c>
      <c r="I14" s="359">
        <v>0</v>
      </c>
      <c r="J14" s="359">
        <v>0</v>
      </c>
      <c r="K14" s="359">
        <v>0</v>
      </c>
      <c r="L14" s="359">
        <v>0</v>
      </c>
      <c r="M14" s="359">
        <v>0</v>
      </c>
      <c r="N14" s="359">
        <v>0</v>
      </c>
      <c r="O14" s="359">
        <v>0</v>
      </c>
      <c r="P14" s="277">
        <f t="shared" si="0"/>
        <v>0</v>
      </c>
    </row>
    <row r="15" spans="1:16" ht="15">
      <c r="A15" s="346" t="s">
        <v>568</v>
      </c>
      <c r="D15" s="359">
        <v>0</v>
      </c>
      <c r="E15" s="359">
        <v>0</v>
      </c>
      <c r="F15" s="359">
        <v>0</v>
      </c>
      <c r="G15" s="359">
        <v>0</v>
      </c>
      <c r="H15" s="359">
        <v>0</v>
      </c>
      <c r="I15" s="359">
        <v>0</v>
      </c>
      <c r="J15" s="359">
        <v>0</v>
      </c>
      <c r="K15" s="359">
        <v>0</v>
      </c>
      <c r="L15" s="359">
        <v>0</v>
      </c>
      <c r="M15" s="359">
        <v>0</v>
      </c>
      <c r="N15" s="359">
        <v>0</v>
      </c>
      <c r="O15" s="359">
        <v>0</v>
      </c>
      <c r="P15" s="277">
        <f t="shared" si="0"/>
        <v>0</v>
      </c>
    </row>
    <row r="16" spans="1:16" ht="15">
      <c r="A16" s="346" t="s">
        <v>569</v>
      </c>
      <c r="D16" s="359">
        <v>0</v>
      </c>
      <c r="E16" s="359">
        <v>0</v>
      </c>
      <c r="F16" s="359">
        <v>0</v>
      </c>
      <c r="G16" s="359">
        <v>0</v>
      </c>
      <c r="H16" s="359">
        <v>0</v>
      </c>
      <c r="I16" s="359">
        <v>0</v>
      </c>
      <c r="J16" s="359">
        <v>0</v>
      </c>
      <c r="K16" s="359">
        <v>0</v>
      </c>
      <c r="L16" s="359">
        <v>0</v>
      </c>
      <c r="M16" s="359">
        <v>0</v>
      </c>
      <c r="N16" s="359">
        <v>0</v>
      </c>
      <c r="O16" s="359">
        <v>0</v>
      </c>
      <c r="P16" s="277">
        <f t="shared" si="0"/>
        <v>0</v>
      </c>
    </row>
    <row r="17" spans="1:16" ht="15">
      <c r="A17" s="346" t="s">
        <v>570</v>
      </c>
      <c r="D17" s="359">
        <v>0</v>
      </c>
      <c r="E17" s="359">
        <v>0</v>
      </c>
      <c r="F17" s="359">
        <v>0</v>
      </c>
      <c r="G17" s="359">
        <v>0</v>
      </c>
      <c r="H17" s="359">
        <v>0</v>
      </c>
      <c r="I17" s="359">
        <v>0</v>
      </c>
      <c r="J17" s="359">
        <v>0</v>
      </c>
      <c r="K17" s="359">
        <v>0</v>
      </c>
      <c r="L17" s="359">
        <v>0</v>
      </c>
      <c r="M17" s="359">
        <v>0</v>
      </c>
      <c r="N17" s="359">
        <v>0</v>
      </c>
      <c r="O17" s="359">
        <v>0</v>
      </c>
      <c r="P17" s="277">
        <f t="shared" si="0"/>
        <v>0</v>
      </c>
    </row>
    <row r="18" spans="1:16" ht="15">
      <c r="A18" s="346" t="s">
        <v>571</v>
      </c>
      <c r="D18" s="359">
        <v>0</v>
      </c>
      <c r="E18" s="359">
        <v>0</v>
      </c>
      <c r="F18" s="359">
        <v>0</v>
      </c>
      <c r="G18" s="359">
        <v>0</v>
      </c>
      <c r="H18" s="359">
        <v>0</v>
      </c>
      <c r="I18" s="359">
        <v>0</v>
      </c>
      <c r="J18" s="359">
        <v>0</v>
      </c>
      <c r="K18" s="359">
        <v>0</v>
      </c>
      <c r="L18" s="359">
        <v>0</v>
      </c>
      <c r="M18" s="359">
        <v>0</v>
      </c>
      <c r="N18" s="359">
        <v>0</v>
      </c>
      <c r="O18" s="359">
        <v>0</v>
      </c>
      <c r="P18" s="277">
        <f t="shared" si="0"/>
        <v>0</v>
      </c>
    </row>
    <row r="19" spans="1:16" ht="15">
      <c r="A19" s="360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/>
      <c r="P19" s="307">
        <f t="shared" si="0"/>
        <v>0</v>
      </c>
    </row>
    <row r="20" spans="1:16" ht="13.8">
      <c r="A20" s="322"/>
    </row>
    <row r="21" spans="1:16" ht="14.4" thickBot="1">
      <c r="A21" s="331" t="s">
        <v>572</v>
      </c>
      <c r="D21" s="332">
        <f t="shared" ref="D21:P21" si="1">SUM(D11:D19)</f>
        <v>0</v>
      </c>
      <c r="E21" s="332">
        <f t="shared" si="1"/>
        <v>0</v>
      </c>
      <c r="F21" s="332">
        <f t="shared" si="1"/>
        <v>0</v>
      </c>
      <c r="G21" s="332">
        <f t="shared" si="1"/>
        <v>0</v>
      </c>
      <c r="H21" s="332">
        <f t="shared" si="1"/>
        <v>0</v>
      </c>
      <c r="I21" s="332">
        <f t="shared" si="1"/>
        <v>0</v>
      </c>
      <c r="J21" s="332">
        <f t="shared" si="1"/>
        <v>0</v>
      </c>
      <c r="K21" s="332">
        <f t="shared" si="1"/>
        <v>0</v>
      </c>
      <c r="L21" s="332">
        <f t="shared" si="1"/>
        <v>0</v>
      </c>
      <c r="M21" s="332">
        <f t="shared" si="1"/>
        <v>0</v>
      </c>
      <c r="N21" s="332">
        <f t="shared" si="1"/>
        <v>0</v>
      </c>
      <c r="O21" s="332">
        <f t="shared" si="1"/>
        <v>0</v>
      </c>
      <c r="P21" s="332">
        <f t="shared" si="1"/>
        <v>0</v>
      </c>
    </row>
    <row r="22" spans="1:16" ht="15.6" thickTop="1">
      <c r="A22" s="321"/>
    </row>
    <row r="23" spans="1:16">
      <c r="A23" s="333" t="str">
        <f ca="1">CELL("filename",A1)</f>
        <v>O:\Enron Net Works\Accounting\2001 Plan\Deal Bench\[Deal Bench 2001 Plan.xls]Schedule D - PRM Detail</v>
      </c>
    </row>
    <row r="24" spans="1:16">
      <c r="A24" s="335">
        <f ca="1">NOW()</f>
        <v>36838.463314351851</v>
      </c>
    </row>
  </sheetData>
  <mergeCells count="4">
    <mergeCell ref="A2:P2"/>
    <mergeCell ref="A3:P3"/>
    <mergeCell ref="A4:P4"/>
    <mergeCell ref="A5:P5"/>
  </mergeCells>
  <pageMargins left="0.25" right="0.25" top="0.25" bottom="0.25" header="0.5" footer="0.5"/>
  <pageSetup scale="88" orientation="landscape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workbookViewId="0"/>
  </sheetViews>
  <sheetFormatPr defaultColWidth="10.6640625" defaultRowHeight="13.2"/>
  <cols>
    <col min="1" max="1" width="40.109375" style="258" customWidth="1"/>
    <col min="2" max="3" width="0" style="258" hidden="1" customWidth="1"/>
    <col min="4" max="16384" width="10.6640625" style="258"/>
  </cols>
  <sheetData>
    <row r="1" spans="1:16" ht="17.399999999999999">
      <c r="A1" s="319"/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</row>
    <row r="2" spans="1:16" ht="17.399999999999999">
      <c r="A2" s="398" t="s">
        <v>422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</row>
    <row r="3" spans="1:16" ht="17.399999999999999">
      <c r="A3" s="396" t="s">
        <v>424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</row>
    <row r="4" spans="1:16" ht="17.399999999999999">
      <c r="A4" s="397" t="s">
        <v>573</v>
      </c>
      <c r="B4" s="397"/>
      <c r="C4" s="397"/>
      <c r="D4" s="397"/>
      <c r="E4" s="397"/>
      <c r="F4" s="397"/>
      <c r="G4" s="397"/>
      <c r="H4" s="397"/>
      <c r="I4" s="397"/>
      <c r="J4" s="397"/>
      <c r="K4" s="397"/>
      <c r="L4" s="397"/>
      <c r="M4" s="397"/>
      <c r="N4" s="397"/>
      <c r="O4" s="397"/>
      <c r="P4" s="397"/>
    </row>
    <row r="5" spans="1:16" ht="15.6">
      <c r="A5" s="395" t="s">
        <v>529</v>
      </c>
      <c r="B5" s="395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</row>
    <row r="6" spans="1:16" ht="15.6">
      <c r="A6" s="320" t="str">
        <f>+INDIRECT!A5</f>
        <v>Deal Bench</v>
      </c>
      <c r="B6" s="321"/>
    </row>
    <row r="7" spans="1:16" ht="17.399999999999999">
      <c r="A7" s="361" t="s">
        <v>574</v>
      </c>
    </row>
    <row r="8" spans="1:16">
      <c r="A8" s="362" t="s">
        <v>575</v>
      </c>
    </row>
    <row r="9" spans="1:16">
      <c r="A9" s="363"/>
      <c r="D9" s="265" t="s">
        <v>328</v>
      </c>
      <c r="E9" s="265" t="s">
        <v>329</v>
      </c>
      <c r="F9" s="265" t="s">
        <v>330</v>
      </c>
      <c r="G9" s="265" t="s">
        <v>331</v>
      </c>
      <c r="H9" s="265" t="s">
        <v>332</v>
      </c>
      <c r="I9" s="265" t="s">
        <v>333</v>
      </c>
      <c r="J9" s="265" t="s">
        <v>429</v>
      </c>
      <c r="K9" s="265" t="s">
        <v>334</v>
      </c>
      <c r="L9" s="265" t="s">
        <v>335</v>
      </c>
      <c r="M9" s="265" t="s">
        <v>339</v>
      </c>
      <c r="N9" s="265" t="s">
        <v>340</v>
      </c>
      <c r="O9" s="265" t="s">
        <v>336</v>
      </c>
      <c r="P9" s="265" t="s">
        <v>191</v>
      </c>
    </row>
    <row r="10" spans="1:16">
      <c r="A10" s="364" t="s">
        <v>380</v>
      </c>
      <c r="D10" s="278">
        <f>-ROUND(('Cash and Non-Cash'!D22)/1000,0)</f>
        <v>0</v>
      </c>
      <c r="E10" s="278">
        <f>-ROUND(('Cash and Non-Cash'!E22)/1000,0)</f>
        <v>0</v>
      </c>
      <c r="F10" s="278">
        <f>-ROUND(('Cash and Non-Cash'!F22)/1000,0)</f>
        <v>0</v>
      </c>
      <c r="G10" s="278">
        <f>-ROUND(('Cash and Non-Cash'!G22)/1000,0)</f>
        <v>0</v>
      </c>
      <c r="H10" s="278">
        <f>-ROUND(('Cash and Non-Cash'!H22)/1000,0)</f>
        <v>0</v>
      </c>
      <c r="I10" s="278">
        <f>-ROUND(('Cash and Non-Cash'!I22)/1000,0)</f>
        <v>0</v>
      </c>
      <c r="J10" s="278">
        <f>-ROUND(('Cash and Non-Cash'!J22)/1000,0)</f>
        <v>0</v>
      </c>
      <c r="K10" s="278">
        <f>-ROUND(('Cash and Non-Cash'!K22)/1000,0)</f>
        <v>0</v>
      </c>
      <c r="L10" s="278">
        <f>-ROUND(('Cash and Non-Cash'!L22)/1000,0)</f>
        <v>0</v>
      </c>
      <c r="M10" s="278">
        <f>-ROUND(('Cash and Non-Cash'!M22)/1000,0)</f>
        <v>0</v>
      </c>
      <c r="N10" s="278">
        <f>-ROUND(('Cash and Non-Cash'!N22)/1000,0)</f>
        <v>0</v>
      </c>
      <c r="O10" s="278">
        <f>-ROUND(('Cash and Non-Cash'!O22)/1000,0)</f>
        <v>0</v>
      </c>
      <c r="P10" s="277">
        <f t="shared" ref="P10:P17" si="0">SUM(D10:O10)</f>
        <v>0</v>
      </c>
    </row>
    <row r="11" spans="1:16">
      <c r="A11" s="365" t="s">
        <v>576</v>
      </c>
      <c r="P11" s="277">
        <f t="shared" si="0"/>
        <v>0</v>
      </c>
    </row>
    <row r="12" spans="1:16">
      <c r="A12" s="366" t="s">
        <v>577</v>
      </c>
      <c r="D12" s="277"/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>
        <f t="shared" si="0"/>
        <v>0</v>
      </c>
    </row>
    <row r="13" spans="1:16">
      <c r="A13" s="366" t="s">
        <v>577</v>
      </c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>
        <f t="shared" si="0"/>
        <v>0</v>
      </c>
    </row>
    <row r="14" spans="1:16">
      <c r="A14" s="366" t="s">
        <v>577</v>
      </c>
      <c r="D14" s="277"/>
      <c r="E14" s="277"/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>
        <f t="shared" si="0"/>
        <v>0</v>
      </c>
    </row>
    <row r="15" spans="1:16">
      <c r="A15" s="366" t="s">
        <v>577</v>
      </c>
      <c r="D15" s="277"/>
      <c r="E15" s="277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>
        <f t="shared" si="0"/>
        <v>0</v>
      </c>
    </row>
    <row r="16" spans="1:16">
      <c r="A16" s="366" t="s">
        <v>577</v>
      </c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>
        <f t="shared" si="0"/>
        <v>0</v>
      </c>
    </row>
    <row r="17" spans="1:16">
      <c r="A17" s="367" t="s">
        <v>578</v>
      </c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>
        <f t="shared" si="0"/>
        <v>0</v>
      </c>
    </row>
    <row r="18" spans="1:16" ht="15.6" thickBot="1">
      <c r="A18" s="340" t="s">
        <v>191</v>
      </c>
      <c r="D18" s="368">
        <f t="shared" ref="D18:P18" si="1">SUM(D10:D17)</f>
        <v>0</v>
      </c>
      <c r="E18" s="368">
        <f t="shared" si="1"/>
        <v>0</v>
      </c>
      <c r="F18" s="368">
        <f t="shared" si="1"/>
        <v>0</v>
      </c>
      <c r="G18" s="368">
        <f t="shared" si="1"/>
        <v>0</v>
      </c>
      <c r="H18" s="368">
        <f t="shared" si="1"/>
        <v>0</v>
      </c>
      <c r="I18" s="368">
        <f t="shared" si="1"/>
        <v>0</v>
      </c>
      <c r="J18" s="368">
        <f t="shared" si="1"/>
        <v>0</v>
      </c>
      <c r="K18" s="368">
        <f t="shared" si="1"/>
        <v>0</v>
      </c>
      <c r="L18" s="368">
        <f t="shared" si="1"/>
        <v>0</v>
      </c>
      <c r="M18" s="368">
        <f t="shared" si="1"/>
        <v>0</v>
      </c>
      <c r="N18" s="368">
        <f t="shared" si="1"/>
        <v>0</v>
      </c>
      <c r="O18" s="368">
        <f t="shared" si="1"/>
        <v>0</v>
      </c>
      <c r="P18" s="368">
        <f t="shared" si="1"/>
        <v>0</v>
      </c>
    </row>
    <row r="19" spans="1:16" ht="13.8" thickTop="1">
      <c r="A19" s="363"/>
    </row>
    <row r="20" spans="1:16">
      <c r="A20" s="363"/>
    </row>
    <row r="21" spans="1:16">
      <c r="A21" s="363"/>
    </row>
    <row r="22" spans="1:16">
      <c r="A22" s="362" t="s">
        <v>579</v>
      </c>
    </row>
    <row r="23" spans="1:16">
      <c r="A23" s="363"/>
      <c r="D23" s="265" t="s">
        <v>328</v>
      </c>
      <c r="E23" s="265" t="s">
        <v>329</v>
      </c>
      <c r="F23" s="265" t="s">
        <v>330</v>
      </c>
      <c r="G23" s="265" t="s">
        <v>331</v>
      </c>
      <c r="H23" s="265" t="s">
        <v>332</v>
      </c>
      <c r="I23" s="265" t="s">
        <v>333</v>
      </c>
      <c r="J23" s="265" t="s">
        <v>429</v>
      </c>
      <c r="K23" s="265" t="s">
        <v>334</v>
      </c>
      <c r="L23" s="265" t="s">
        <v>335</v>
      </c>
      <c r="M23" s="265" t="s">
        <v>339</v>
      </c>
      <c r="N23" s="265" t="s">
        <v>340</v>
      </c>
      <c r="O23" s="265" t="s">
        <v>336</v>
      </c>
      <c r="P23" s="265" t="s">
        <v>191</v>
      </c>
    </row>
    <row r="24" spans="1:16">
      <c r="A24" s="366" t="s">
        <v>580</v>
      </c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>
        <f t="shared" ref="P24:P31" si="2">SUM(D24:O24)</f>
        <v>0</v>
      </c>
    </row>
    <row r="25" spans="1:16">
      <c r="A25" s="366" t="s">
        <v>577</v>
      </c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>
        <f t="shared" si="2"/>
        <v>0</v>
      </c>
    </row>
    <row r="26" spans="1:16">
      <c r="A26" s="366" t="s">
        <v>577</v>
      </c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>
        <f t="shared" si="2"/>
        <v>0</v>
      </c>
    </row>
    <row r="27" spans="1:16">
      <c r="A27" s="366" t="s">
        <v>577</v>
      </c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>
        <f t="shared" si="2"/>
        <v>0</v>
      </c>
    </row>
    <row r="28" spans="1:16">
      <c r="A28" s="366" t="s">
        <v>577</v>
      </c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7"/>
      <c r="P28" s="277">
        <f t="shared" si="2"/>
        <v>0</v>
      </c>
    </row>
    <row r="29" spans="1:16">
      <c r="A29" s="366" t="s">
        <v>577</v>
      </c>
      <c r="D29" s="277"/>
      <c r="E29" s="277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>
        <f t="shared" si="2"/>
        <v>0</v>
      </c>
    </row>
    <row r="30" spans="1:16">
      <c r="A30" s="366" t="s">
        <v>577</v>
      </c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>
        <f t="shared" si="2"/>
        <v>0</v>
      </c>
    </row>
    <row r="31" spans="1:16">
      <c r="A31" s="367" t="s">
        <v>578</v>
      </c>
      <c r="D31" s="277"/>
      <c r="E31" s="277"/>
      <c r="F31" s="277"/>
      <c r="G31" s="277"/>
      <c r="H31" s="277"/>
      <c r="I31" s="277"/>
      <c r="J31" s="277"/>
      <c r="K31" s="277"/>
      <c r="L31" s="277"/>
      <c r="M31" s="277"/>
      <c r="N31" s="277"/>
      <c r="O31" s="277"/>
      <c r="P31" s="277">
        <f t="shared" si="2"/>
        <v>0</v>
      </c>
    </row>
    <row r="32" spans="1:16" ht="15.6" thickBot="1">
      <c r="A32" s="340" t="s">
        <v>191</v>
      </c>
      <c r="D32" s="368">
        <f t="shared" ref="D32:P32" si="3">SUM(D24:D31)</f>
        <v>0</v>
      </c>
      <c r="E32" s="368">
        <f t="shared" si="3"/>
        <v>0</v>
      </c>
      <c r="F32" s="368">
        <f t="shared" si="3"/>
        <v>0</v>
      </c>
      <c r="G32" s="368">
        <f t="shared" si="3"/>
        <v>0</v>
      </c>
      <c r="H32" s="368">
        <f t="shared" si="3"/>
        <v>0</v>
      </c>
      <c r="I32" s="368">
        <f t="shared" si="3"/>
        <v>0</v>
      </c>
      <c r="J32" s="368">
        <f t="shared" si="3"/>
        <v>0</v>
      </c>
      <c r="K32" s="368">
        <f t="shared" si="3"/>
        <v>0</v>
      </c>
      <c r="L32" s="368">
        <f t="shared" si="3"/>
        <v>0</v>
      </c>
      <c r="M32" s="368">
        <f t="shared" si="3"/>
        <v>0</v>
      </c>
      <c r="N32" s="368">
        <f t="shared" si="3"/>
        <v>0</v>
      </c>
      <c r="O32" s="368">
        <f t="shared" si="3"/>
        <v>0</v>
      </c>
      <c r="P32" s="368">
        <f t="shared" si="3"/>
        <v>0</v>
      </c>
    </row>
    <row r="33" spans="1:16" ht="13.8" thickTop="1">
      <c r="A33" s="363"/>
    </row>
    <row r="34" spans="1:16">
      <c r="A34" s="369"/>
    </row>
    <row r="35" spans="1:16">
      <c r="A35" s="369"/>
    </row>
    <row r="36" spans="1:16">
      <c r="A36" s="362" t="s">
        <v>581</v>
      </c>
    </row>
    <row r="37" spans="1:16">
      <c r="A37" s="363"/>
      <c r="D37" s="265" t="s">
        <v>328</v>
      </c>
      <c r="E37" s="265" t="s">
        <v>329</v>
      </c>
      <c r="F37" s="265" t="s">
        <v>330</v>
      </c>
      <c r="G37" s="265" t="s">
        <v>331</v>
      </c>
      <c r="H37" s="265" t="s">
        <v>332</v>
      </c>
      <c r="I37" s="265" t="s">
        <v>333</v>
      </c>
      <c r="J37" s="265" t="s">
        <v>429</v>
      </c>
      <c r="K37" s="265" t="s">
        <v>334</v>
      </c>
      <c r="L37" s="265" t="s">
        <v>335</v>
      </c>
      <c r="M37" s="265" t="s">
        <v>339</v>
      </c>
      <c r="N37" s="265" t="s">
        <v>340</v>
      </c>
      <c r="O37" s="265" t="s">
        <v>336</v>
      </c>
      <c r="P37" s="265" t="s">
        <v>191</v>
      </c>
    </row>
    <row r="38" spans="1:16">
      <c r="A38" s="366" t="s">
        <v>578</v>
      </c>
      <c r="D38" s="277"/>
      <c r="E38" s="277"/>
      <c r="F38" s="277"/>
      <c r="G38" s="277"/>
      <c r="H38" s="277"/>
      <c r="I38" s="277"/>
      <c r="J38" s="277"/>
      <c r="K38" s="277"/>
      <c r="L38" s="277"/>
      <c r="M38" s="277"/>
      <c r="N38" s="277"/>
      <c r="O38" s="277"/>
      <c r="P38" s="277">
        <f t="shared" ref="P38:P45" si="4">SUM(D38:O38)</f>
        <v>0</v>
      </c>
    </row>
    <row r="39" spans="1:16">
      <c r="A39" s="366" t="s">
        <v>577</v>
      </c>
      <c r="D39" s="277"/>
      <c r="E39" s="277"/>
      <c r="F39" s="277"/>
      <c r="G39" s="277"/>
      <c r="H39" s="277"/>
      <c r="I39" s="277"/>
      <c r="J39" s="277"/>
      <c r="K39" s="277"/>
      <c r="L39" s="277"/>
      <c r="M39" s="277"/>
      <c r="N39" s="277"/>
      <c r="O39" s="277"/>
      <c r="P39" s="277">
        <f t="shared" si="4"/>
        <v>0</v>
      </c>
    </row>
    <row r="40" spans="1:16">
      <c r="A40" s="366" t="s">
        <v>577</v>
      </c>
      <c r="D40" s="277"/>
      <c r="E40" s="277"/>
      <c r="F40" s="277"/>
      <c r="G40" s="277"/>
      <c r="H40" s="277"/>
      <c r="I40" s="277"/>
      <c r="J40" s="277"/>
      <c r="K40" s="277"/>
      <c r="L40" s="277"/>
      <c r="M40" s="277"/>
      <c r="N40" s="277"/>
      <c r="O40" s="277"/>
      <c r="P40" s="277">
        <f t="shared" si="4"/>
        <v>0</v>
      </c>
    </row>
    <row r="41" spans="1:16">
      <c r="A41" s="366" t="s">
        <v>577</v>
      </c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>
        <f t="shared" si="4"/>
        <v>0</v>
      </c>
    </row>
    <row r="42" spans="1:16">
      <c r="A42" s="366" t="s">
        <v>577</v>
      </c>
      <c r="D42" s="277"/>
      <c r="E42" s="277"/>
      <c r="F42" s="277"/>
      <c r="G42" s="277"/>
      <c r="H42" s="277"/>
      <c r="I42" s="277"/>
      <c r="J42" s="277"/>
      <c r="K42" s="277"/>
      <c r="L42" s="277"/>
      <c r="M42" s="277"/>
      <c r="N42" s="277"/>
      <c r="O42" s="277"/>
      <c r="P42" s="277">
        <f t="shared" si="4"/>
        <v>0</v>
      </c>
    </row>
    <row r="43" spans="1:16">
      <c r="A43" s="366" t="s">
        <v>577</v>
      </c>
      <c r="D43" s="277"/>
      <c r="E43" s="277"/>
      <c r="F43" s="277"/>
      <c r="G43" s="277"/>
      <c r="H43" s="277"/>
      <c r="I43" s="277"/>
      <c r="J43" s="277"/>
      <c r="K43" s="277"/>
      <c r="L43" s="277"/>
      <c r="M43" s="277"/>
      <c r="N43" s="277"/>
      <c r="O43" s="277"/>
      <c r="P43" s="277">
        <f t="shared" si="4"/>
        <v>0</v>
      </c>
    </row>
    <row r="44" spans="1:16">
      <c r="A44" s="366" t="s">
        <v>577</v>
      </c>
      <c r="D44" s="277"/>
      <c r="E44" s="277"/>
      <c r="F44" s="277"/>
      <c r="G44" s="277"/>
      <c r="H44" s="277"/>
      <c r="I44" s="277"/>
      <c r="J44" s="277"/>
      <c r="K44" s="277"/>
      <c r="L44" s="277"/>
      <c r="M44" s="277"/>
      <c r="N44" s="277"/>
      <c r="O44" s="277"/>
      <c r="P44" s="277">
        <f t="shared" si="4"/>
        <v>0</v>
      </c>
    </row>
    <row r="45" spans="1:16">
      <c r="A45" s="367" t="s">
        <v>578</v>
      </c>
      <c r="D45" s="277"/>
      <c r="E45" s="277"/>
      <c r="F45" s="277"/>
      <c r="G45" s="277"/>
      <c r="H45" s="277"/>
      <c r="I45" s="277"/>
      <c r="J45" s="277"/>
      <c r="K45" s="277"/>
      <c r="L45" s="277"/>
      <c r="M45" s="277"/>
      <c r="N45" s="277"/>
      <c r="O45" s="277"/>
      <c r="P45" s="277">
        <f t="shared" si="4"/>
        <v>0</v>
      </c>
    </row>
    <row r="46" spans="1:16" ht="15.6" thickBot="1">
      <c r="A46" s="340" t="s">
        <v>191</v>
      </c>
      <c r="D46" s="368">
        <f t="shared" ref="D46:P46" si="5">SUM(D38:D45)</f>
        <v>0</v>
      </c>
      <c r="E46" s="368">
        <f t="shared" si="5"/>
        <v>0</v>
      </c>
      <c r="F46" s="368">
        <f t="shared" si="5"/>
        <v>0</v>
      </c>
      <c r="G46" s="368">
        <f t="shared" si="5"/>
        <v>0</v>
      </c>
      <c r="H46" s="368">
        <f t="shared" si="5"/>
        <v>0</v>
      </c>
      <c r="I46" s="368">
        <f t="shared" si="5"/>
        <v>0</v>
      </c>
      <c r="J46" s="368">
        <f t="shared" si="5"/>
        <v>0</v>
      </c>
      <c r="K46" s="368">
        <f t="shared" si="5"/>
        <v>0</v>
      </c>
      <c r="L46" s="368">
        <f t="shared" si="5"/>
        <v>0</v>
      </c>
      <c r="M46" s="368">
        <f t="shared" si="5"/>
        <v>0</v>
      </c>
      <c r="N46" s="368">
        <f t="shared" si="5"/>
        <v>0</v>
      </c>
      <c r="O46" s="368">
        <f t="shared" si="5"/>
        <v>0</v>
      </c>
      <c r="P46" s="368">
        <f t="shared" si="5"/>
        <v>0</v>
      </c>
    </row>
    <row r="47" spans="1:16" ht="13.8" thickTop="1">
      <c r="A47" s="363"/>
    </row>
    <row r="48" spans="1:16">
      <c r="A48" s="363"/>
    </row>
    <row r="49" spans="1:16" ht="17.399999999999999">
      <c r="A49" s="361" t="s">
        <v>582</v>
      </c>
    </row>
    <row r="50" spans="1:16">
      <c r="A50" s="362" t="s">
        <v>583</v>
      </c>
    </row>
    <row r="51" spans="1:16">
      <c r="A51" s="363"/>
      <c r="D51" s="265" t="s">
        <v>328</v>
      </c>
      <c r="E51" s="265" t="s">
        <v>329</v>
      </c>
      <c r="F51" s="265" t="s">
        <v>330</v>
      </c>
      <c r="G51" s="265" t="s">
        <v>331</v>
      </c>
      <c r="H51" s="265" t="s">
        <v>332</v>
      </c>
      <c r="I51" s="265" t="s">
        <v>333</v>
      </c>
      <c r="J51" s="265" t="s">
        <v>429</v>
      </c>
      <c r="K51" s="265" t="s">
        <v>334</v>
      </c>
      <c r="L51" s="265" t="s">
        <v>335</v>
      </c>
      <c r="M51" s="265" t="s">
        <v>339</v>
      </c>
      <c r="N51" s="265" t="s">
        <v>340</v>
      </c>
      <c r="O51" s="265" t="s">
        <v>336</v>
      </c>
      <c r="P51" s="265" t="s">
        <v>191</v>
      </c>
    </row>
    <row r="52" spans="1:16">
      <c r="A52" s="366" t="s">
        <v>578</v>
      </c>
      <c r="D52" s="277"/>
      <c r="E52" s="277"/>
      <c r="F52" s="277"/>
      <c r="G52" s="277"/>
      <c r="H52" s="277"/>
      <c r="I52" s="277"/>
      <c r="J52" s="277"/>
      <c r="K52" s="277"/>
      <c r="L52" s="277"/>
      <c r="M52" s="277"/>
      <c r="N52" s="277"/>
      <c r="O52" s="277"/>
      <c r="P52" s="277">
        <f t="shared" ref="P52:P59" si="6">SUM(D52:O52)</f>
        <v>0</v>
      </c>
    </row>
    <row r="53" spans="1:16">
      <c r="A53" s="366" t="s">
        <v>577</v>
      </c>
      <c r="D53" s="277"/>
      <c r="E53" s="277"/>
      <c r="F53" s="277"/>
      <c r="G53" s="277"/>
      <c r="H53" s="277"/>
      <c r="I53" s="277"/>
      <c r="J53" s="277"/>
      <c r="K53" s="277"/>
      <c r="L53" s="277"/>
      <c r="M53" s="277"/>
      <c r="N53" s="277"/>
      <c r="O53" s="277"/>
      <c r="P53" s="277">
        <f t="shared" si="6"/>
        <v>0</v>
      </c>
    </row>
    <row r="54" spans="1:16">
      <c r="A54" s="366" t="s">
        <v>577</v>
      </c>
      <c r="D54" s="277"/>
      <c r="E54" s="277"/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>
        <f t="shared" si="6"/>
        <v>0</v>
      </c>
    </row>
    <row r="55" spans="1:16">
      <c r="A55" s="366" t="s">
        <v>577</v>
      </c>
      <c r="D55" s="277"/>
      <c r="E55" s="277"/>
      <c r="F55" s="277"/>
      <c r="G55" s="277"/>
      <c r="H55" s="277"/>
      <c r="I55" s="277"/>
      <c r="J55" s="277"/>
      <c r="K55" s="277"/>
      <c r="L55" s="277"/>
      <c r="M55" s="277"/>
      <c r="N55" s="277"/>
      <c r="O55" s="277"/>
      <c r="P55" s="277">
        <f t="shared" si="6"/>
        <v>0</v>
      </c>
    </row>
    <row r="56" spans="1:16">
      <c r="A56" s="366" t="s">
        <v>577</v>
      </c>
      <c r="D56" s="277"/>
      <c r="E56" s="277"/>
      <c r="F56" s="277"/>
      <c r="G56" s="277"/>
      <c r="H56" s="277"/>
      <c r="I56" s="277"/>
      <c r="J56" s="277"/>
      <c r="K56" s="277"/>
      <c r="L56" s="277"/>
      <c r="M56" s="277"/>
      <c r="N56" s="277"/>
      <c r="O56" s="277"/>
      <c r="P56" s="277">
        <f t="shared" si="6"/>
        <v>0</v>
      </c>
    </row>
    <row r="57" spans="1:16">
      <c r="A57" s="366" t="s">
        <v>577</v>
      </c>
      <c r="D57" s="277"/>
      <c r="E57" s="277"/>
      <c r="F57" s="277"/>
      <c r="G57" s="277"/>
      <c r="H57" s="277"/>
      <c r="I57" s="277"/>
      <c r="J57" s="277"/>
      <c r="K57" s="277"/>
      <c r="L57" s="277"/>
      <c r="M57" s="277"/>
      <c r="N57" s="277"/>
      <c r="O57" s="277"/>
      <c r="P57" s="277">
        <f t="shared" si="6"/>
        <v>0</v>
      </c>
    </row>
    <row r="58" spans="1:16">
      <c r="A58" s="366" t="s">
        <v>577</v>
      </c>
      <c r="D58" s="277"/>
      <c r="E58" s="277"/>
      <c r="F58" s="277"/>
      <c r="G58" s="277"/>
      <c r="H58" s="277"/>
      <c r="I58" s="277"/>
      <c r="J58" s="277"/>
      <c r="K58" s="277"/>
      <c r="L58" s="277"/>
      <c r="M58" s="277"/>
      <c r="N58" s="277"/>
      <c r="O58" s="277"/>
      <c r="P58" s="277">
        <f t="shared" si="6"/>
        <v>0</v>
      </c>
    </row>
    <row r="59" spans="1:16">
      <c r="A59" s="367" t="s">
        <v>578</v>
      </c>
      <c r="D59" s="277"/>
      <c r="E59" s="277"/>
      <c r="F59" s="277"/>
      <c r="G59" s="277"/>
      <c r="H59" s="277"/>
      <c r="I59" s="277"/>
      <c r="J59" s="277"/>
      <c r="K59" s="277"/>
      <c r="L59" s="277"/>
      <c r="M59" s="277"/>
      <c r="N59" s="277"/>
      <c r="O59" s="277"/>
      <c r="P59" s="277">
        <f t="shared" si="6"/>
        <v>0</v>
      </c>
    </row>
    <row r="60" spans="1:16" ht="15.6" thickBot="1">
      <c r="A60" s="340" t="s">
        <v>191</v>
      </c>
      <c r="D60" s="368">
        <f t="shared" ref="D60:P60" si="7">SUM(D52:D59)</f>
        <v>0</v>
      </c>
      <c r="E60" s="368">
        <f t="shared" si="7"/>
        <v>0</v>
      </c>
      <c r="F60" s="368">
        <f t="shared" si="7"/>
        <v>0</v>
      </c>
      <c r="G60" s="368">
        <f t="shared" si="7"/>
        <v>0</v>
      </c>
      <c r="H60" s="368">
        <f t="shared" si="7"/>
        <v>0</v>
      </c>
      <c r="I60" s="368">
        <f t="shared" si="7"/>
        <v>0</v>
      </c>
      <c r="J60" s="368">
        <f t="shared" si="7"/>
        <v>0</v>
      </c>
      <c r="K60" s="368">
        <f t="shared" si="7"/>
        <v>0</v>
      </c>
      <c r="L60" s="368">
        <f t="shared" si="7"/>
        <v>0</v>
      </c>
      <c r="M60" s="368">
        <f t="shared" si="7"/>
        <v>0</v>
      </c>
      <c r="N60" s="368">
        <f t="shared" si="7"/>
        <v>0</v>
      </c>
      <c r="O60" s="368">
        <f t="shared" si="7"/>
        <v>0</v>
      </c>
      <c r="P60" s="368">
        <f t="shared" si="7"/>
        <v>0</v>
      </c>
    </row>
    <row r="61" spans="1:16" ht="13.8" thickTop="1"/>
    <row r="63" spans="1:16">
      <c r="A63" s="333" t="str">
        <f ca="1">CELL("filename",A41)</f>
        <v>O:\Enron Net Works\Accounting\2001 Plan\Deal Bench\[Deal Bench 2001 Plan.xls]Schedule E - Other</v>
      </c>
    </row>
    <row r="64" spans="1:16">
      <c r="A64" s="335">
        <f ca="1">NOW()</f>
        <v>36838.463314351851</v>
      </c>
    </row>
  </sheetData>
  <mergeCells count="4">
    <mergeCell ref="A2:P2"/>
    <mergeCell ref="A3:P3"/>
    <mergeCell ref="A4:P4"/>
    <mergeCell ref="A5:P5"/>
  </mergeCells>
  <printOptions horizontalCentered="1"/>
  <pageMargins left="0.5" right="0.25" top="0.25" bottom="0.25" header="0.5" footer="0.5"/>
  <pageSetup scale="68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H27"/>
  <sheetViews>
    <sheetView workbookViewId="0"/>
  </sheetViews>
  <sheetFormatPr defaultColWidth="10.6640625" defaultRowHeight="13.2"/>
  <cols>
    <col min="1" max="1" width="12.33203125" style="258" bestFit="1" customWidth="1"/>
    <col min="2" max="2" width="10.6640625" style="258" customWidth="1"/>
    <col min="3" max="3" width="16.44140625" style="258" customWidth="1"/>
    <col min="4" max="16" width="10.6640625" style="258" customWidth="1"/>
    <col min="17" max="17" width="19.109375" style="258" bestFit="1" customWidth="1"/>
    <col min="18" max="16384" width="10.6640625" style="258"/>
  </cols>
  <sheetData>
    <row r="1" spans="1:30" ht="17.399999999999999">
      <c r="A1" s="319"/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</row>
    <row r="2" spans="1:30" ht="17.399999999999999">
      <c r="A2" s="398" t="s">
        <v>422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</row>
    <row r="3" spans="1:30" ht="17.399999999999999">
      <c r="A3" s="396" t="s">
        <v>424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</row>
    <row r="4" spans="1:30" ht="17.399999999999999">
      <c r="A4" s="399" t="s">
        <v>584</v>
      </c>
      <c r="B4" s="397"/>
      <c r="C4" s="397"/>
      <c r="D4" s="397"/>
      <c r="E4" s="397"/>
      <c r="F4" s="397"/>
      <c r="G4" s="397"/>
      <c r="H4" s="397"/>
      <c r="I4" s="397"/>
      <c r="J4" s="397"/>
      <c r="K4" s="397"/>
      <c r="L4" s="397"/>
      <c r="M4" s="397"/>
      <c r="N4" s="397"/>
      <c r="O4" s="397"/>
      <c r="P4" s="397"/>
    </row>
    <row r="5" spans="1:30" ht="15.6">
      <c r="A5" s="395" t="s">
        <v>529</v>
      </c>
      <c r="B5" s="395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</row>
    <row r="6" spans="1:30" ht="15.6">
      <c r="A6" s="343" t="str">
        <f>+INDIRECT!A5</f>
        <v>Deal Bench</v>
      </c>
      <c r="B6" s="321"/>
    </row>
    <row r="7" spans="1:30" ht="13.8">
      <c r="A7" s="322"/>
      <c r="B7" s="322"/>
      <c r="C7" s="322"/>
    </row>
    <row r="8" spans="1:30" ht="13.8">
      <c r="A8" s="322"/>
      <c r="B8" s="322"/>
      <c r="C8" s="370" t="s">
        <v>585</v>
      </c>
      <c r="Q8" s="370" t="s">
        <v>585</v>
      </c>
    </row>
    <row r="9" spans="1:30" ht="13.8">
      <c r="A9" s="326"/>
      <c r="B9" s="323"/>
      <c r="C9" s="370" t="s">
        <v>586</v>
      </c>
      <c r="Q9" s="370" t="s">
        <v>586</v>
      </c>
    </row>
    <row r="10" spans="1:30" ht="13.8">
      <c r="A10" s="328"/>
      <c r="B10" s="326"/>
      <c r="C10" s="371" t="s">
        <v>587</v>
      </c>
      <c r="D10" s="265" t="s">
        <v>328</v>
      </c>
      <c r="E10" s="265" t="s">
        <v>329</v>
      </c>
      <c r="F10" s="265" t="s">
        <v>330</v>
      </c>
      <c r="G10" s="265" t="s">
        <v>331</v>
      </c>
      <c r="H10" s="265" t="s">
        <v>332</v>
      </c>
      <c r="I10" s="265" t="s">
        <v>333</v>
      </c>
      <c r="J10" s="265" t="s">
        <v>429</v>
      </c>
      <c r="K10" s="265" t="s">
        <v>334</v>
      </c>
      <c r="L10" s="265" t="s">
        <v>335</v>
      </c>
      <c r="M10" s="265" t="s">
        <v>339</v>
      </c>
      <c r="N10" s="265" t="s">
        <v>340</v>
      </c>
      <c r="O10" s="265" t="s">
        <v>336</v>
      </c>
      <c r="P10" s="265" t="s">
        <v>191</v>
      </c>
      <c r="Q10" s="371" t="s">
        <v>588</v>
      </c>
    </row>
    <row r="11" spans="1:30" ht="13.8">
      <c r="A11" s="328"/>
      <c r="B11" s="326"/>
      <c r="C11" s="372"/>
      <c r="Q11" s="373"/>
    </row>
    <row r="12" spans="1:30" ht="13.8">
      <c r="A12" s="328"/>
      <c r="B12" s="326"/>
      <c r="C12" s="372"/>
      <c r="Q12" s="373"/>
    </row>
    <row r="13" spans="1:30" ht="13.8">
      <c r="A13" s="374" t="s">
        <v>589</v>
      </c>
      <c r="B13" s="326"/>
      <c r="C13" s="375" t="s">
        <v>590</v>
      </c>
      <c r="D13" s="376">
        <f>+'Schedule B - Investing'!D15+'Schedule B - Investing'!D20+'Schedule A - Capital Exp Detail'!D28</f>
        <v>0</v>
      </c>
      <c r="E13" s="376">
        <f>+'Schedule B - Investing'!E15+'Schedule B - Investing'!E20+'Schedule A - Capital Exp Detail'!E28</f>
        <v>0</v>
      </c>
      <c r="F13" s="376">
        <f>+'Schedule B - Investing'!F15+'Schedule B - Investing'!F20+'Schedule A - Capital Exp Detail'!F28</f>
        <v>500</v>
      </c>
      <c r="G13" s="376">
        <f>+'Schedule B - Investing'!G15+'Schedule B - Investing'!G20+'Schedule A - Capital Exp Detail'!G28</f>
        <v>0</v>
      </c>
      <c r="H13" s="376">
        <f>+'Schedule B - Investing'!H15+'Schedule B - Investing'!H20+'Schedule A - Capital Exp Detail'!H28</f>
        <v>250</v>
      </c>
      <c r="I13" s="376">
        <f>+'Schedule B - Investing'!I15+'Schedule B - Investing'!I20+'Schedule A - Capital Exp Detail'!I28</f>
        <v>0</v>
      </c>
      <c r="J13" s="376">
        <f>+'Schedule B - Investing'!J15+'Schedule B - Investing'!J20+'Schedule A - Capital Exp Detail'!J28</f>
        <v>0</v>
      </c>
      <c r="K13" s="376">
        <f>+'Schedule B - Investing'!K15+'Schedule B - Investing'!K20+'Schedule A - Capital Exp Detail'!K28</f>
        <v>0</v>
      </c>
      <c r="L13" s="376">
        <f>+'Schedule B - Investing'!L15+'Schedule B - Investing'!L20+'Schedule A - Capital Exp Detail'!L28</f>
        <v>0</v>
      </c>
      <c r="M13" s="376">
        <f>+'Schedule B - Investing'!M15+'Schedule B - Investing'!M20+'Schedule A - Capital Exp Detail'!M28</f>
        <v>0</v>
      </c>
      <c r="N13" s="376">
        <f>+'Schedule B - Investing'!N15+'Schedule B - Investing'!N20+'Schedule A - Capital Exp Detail'!N28</f>
        <v>0</v>
      </c>
      <c r="O13" s="376">
        <f>+'Schedule B - Investing'!O15+'Schedule B - Investing'!O20+'Schedule A - Capital Exp Detail'!O28</f>
        <v>0</v>
      </c>
      <c r="P13" s="377">
        <f>SUM(D13:O13)</f>
        <v>750</v>
      </c>
      <c r="Q13" s="375" t="s">
        <v>590</v>
      </c>
      <c r="R13" s="378"/>
      <c r="S13" s="379"/>
      <c r="T13" s="378"/>
      <c r="U13" s="379"/>
      <c r="V13" s="378"/>
      <c r="W13" s="379"/>
      <c r="X13" s="378"/>
      <c r="Y13" s="379"/>
      <c r="Z13" s="378"/>
      <c r="AA13" s="379"/>
      <c r="AB13" s="379"/>
      <c r="AC13" s="379"/>
      <c r="AD13" s="375"/>
    </row>
    <row r="14" spans="1:30" ht="13.8">
      <c r="A14" s="328"/>
      <c r="B14" s="326"/>
      <c r="C14" s="373"/>
      <c r="D14" s="379"/>
      <c r="E14" s="379"/>
      <c r="F14" s="379"/>
      <c r="G14" s="379"/>
      <c r="H14" s="379"/>
      <c r="I14" s="379"/>
      <c r="J14" s="379"/>
      <c r="K14" s="379"/>
      <c r="L14" s="379"/>
      <c r="M14" s="379"/>
      <c r="N14" s="379"/>
      <c r="O14" s="379"/>
      <c r="P14" s="379"/>
      <c r="Q14" s="378"/>
      <c r="R14" s="379"/>
      <c r="S14" s="379"/>
      <c r="T14" s="379"/>
      <c r="U14" s="379"/>
      <c r="V14" s="379"/>
      <c r="W14" s="379"/>
      <c r="X14" s="379"/>
      <c r="Y14" s="379"/>
      <c r="Z14" s="379"/>
      <c r="AA14" s="379"/>
      <c r="AB14" s="378"/>
      <c r="AC14" s="379"/>
      <c r="AD14" s="378"/>
    </row>
    <row r="15" spans="1:30" ht="13.8">
      <c r="A15" s="374" t="s">
        <v>591</v>
      </c>
      <c r="B15" s="326"/>
      <c r="C15" s="380">
        <v>0</v>
      </c>
      <c r="D15" s="379">
        <f t="shared" ref="D15:O15" si="0">C15+D13</f>
        <v>0</v>
      </c>
      <c r="E15" s="379">
        <f t="shared" si="0"/>
        <v>0</v>
      </c>
      <c r="F15" s="379">
        <f t="shared" si="0"/>
        <v>500</v>
      </c>
      <c r="G15" s="379">
        <f t="shared" si="0"/>
        <v>500</v>
      </c>
      <c r="H15" s="379">
        <f t="shared" si="0"/>
        <v>750</v>
      </c>
      <c r="I15" s="379">
        <f t="shared" si="0"/>
        <v>750</v>
      </c>
      <c r="J15" s="379">
        <f t="shared" si="0"/>
        <v>750</v>
      </c>
      <c r="K15" s="379">
        <f t="shared" si="0"/>
        <v>750</v>
      </c>
      <c r="L15" s="379">
        <f t="shared" si="0"/>
        <v>750</v>
      </c>
      <c r="M15" s="379">
        <f t="shared" si="0"/>
        <v>750</v>
      </c>
      <c r="N15" s="379">
        <f t="shared" si="0"/>
        <v>750</v>
      </c>
      <c r="O15" s="379">
        <f t="shared" si="0"/>
        <v>750</v>
      </c>
      <c r="P15" s="379"/>
      <c r="Q15" s="381">
        <f>O15</f>
        <v>750</v>
      </c>
      <c r="R15" s="379"/>
      <c r="S15" s="379"/>
      <c r="T15" s="379"/>
      <c r="U15" s="379"/>
      <c r="V15" s="379"/>
      <c r="W15" s="379"/>
      <c r="X15" s="379"/>
      <c r="Y15" s="379"/>
      <c r="Z15" s="379"/>
      <c r="AA15" s="379"/>
      <c r="AB15" s="378"/>
      <c r="AC15" s="379"/>
      <c r="AD15" s="381"/>
    </row>
    <row r="16" spans="1:30" ht="13.8">
      <c r="A16" s="328"/>
      <c r="B16" s="326"/>
      <c r="C16" s="373"/>
      <c r="D16" s="379"/>
      <c r="E16" s="379"/>
      <c r="F16" s="379"/>
      <c r="G16" s="379"/>
      <c r="H16" s="379"/>
      <c r="I16" s="379"/>
      <c r="J16" s="379"/>
      <c r="K16" s="379"/>
      <c r="L16" s="379"/>
      <c r="M16" s="379"/>
      <c r="N16" s="379"/>
      <c r="O16" s="379"/>
      <c r="P16" s="379"/>
      <c r="Q16" s="378"/>
      <c r="R16" s="379"/>
      <c r="S16" s="379"/>
      <c r="T16" s="379"/>
      <c r="U16" s="379"/>
      <c r="V16" s="379"/>
      <c r="W16" s="379"/>
      <c r="X16" s="379"/>
      <c r="Y16" s="379"/>
      <c r="Z16" s="379"/>
      <c r="AA16" s="379"/>
      <c r="AB16" s="378"/>
      <c r="AC16" s="379"/>
      <c r="AD16" s="378"/>
    </row>
    <row r="17" spans="1:86" ht="13.8">
      <c r="A17" s="374" t="s">
        <v>389</v>
      </c>
      <c r="B17" s="326"/>
      <c r="C17" s="375" t="s">
        <v>590</v>
      </c>
      <c r="D17" s="379">
        <f t="shared" ref="D17:O17" si="1">ROUND(((C15*0.065/12)+(D13/2*0.065/12)),0)</f>
        <v>0</v>
      </c>
      <c r="E17" s="379">
        <f t="shared" si="1"/>
        <v>0</v>
      </c>
      <c r="F17" s="379">
        <f t="shared" si="1"/>
        <v>1</v>
      </c>
      <c r="G17" s="379">
        <f t="shared" si="1"/>
        <v>3</v>
      </c>
      <c r="H17" s="379">
        <f t="shared" si="1"/>
        <v>3</v>
      </c>
      <c r="I17" s="379">
        <f t="shared" si="1"/>
        <v>4</v>
      </c>
      <c r="J17" s="379">
        <f t="shared" si="1"/>
        <v>4</v>
      </c>
      <c r="K17" s="379">
        <f t="shared" si="1"/>
        <v>4</v>
      </c>
      <c r="L17" s="379">
        <f t="shared" si="1"/>
        <v>4</v>
      </c>
      <c r="M17" s="379">
        <f t="shared" si="1"/>
        <v>4</v>
      </c>
      <c r="N17" s="379">
        <f t="shared" si="1"/>
        <v>4</v>
      </c>
      <c r="O17" s="379">
        <f t="shared" si="1"/>
        <v>4</v>
      </c>
      <c r="P17" s="377">
        <f>SUM(D17:O17)</f>
        <v>35</v>
      </c>
      <c r="Q17" s="382" t="s">
        <v>590</v>
      </c>
      <c r="R17" s="379"/>
      <c r="S17" s="379"/>
      <c r="T17" s="379"/>
      <c r="U17" s="379"/>
      <c r="V17" s="379"/>
      <c r="W17" s="379"/>
      <c r="X17" s="379"/>
      <c r="Y17" s="379"/>
      <c r="Z17" s="379"/>
      <c r="AA17" s="379"/>
      <c r="AB17" s="379"/>
      <c r="AC17" s="379"/>
      <c r="AD17" s="382"/>
    </row>
    <row r="18" spans="1:86" ht="15">
      <c r="A18" s="383"/>
      <c r="B18" s="383"/>
      <c r="C18" s="383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</row>
    <row r="19" spans="1:86" ht="15">
      <c r="A19" s="383"/>
      <c r="B19" s="383"/>
      <c r="C19" s="383"/>
      <c r="D19" s="379"/>
      <c r="E19" s="384" t="s">
        <v>592</v>
      </c>
      <c r="F19" s="385">
        <f>SUM(D17:F17)</f>
        <v>1</v>
      </c>
      <c r="H19" s="386" t="s">
        <v>593</v>
      </c>
      <c r="I19" s="385">
        <f>SUM(G17:I17)</f>
        <v>10</v>
      </c>
      <c r="J19" s="379"/>
      <c r="K19" s="386" t="s">
        <v>594</v>
      </c>
      <c r="L19" s="385">
        <f>SUM(J17:L17)</f>
        <v>12</v>
      </c>
      <c r="M19" s="387"/>
      <c r="N19" s="386" t="s">
        <v>595</v>
      </c>
      <c r="O19" s="385">
        <f>SUM(M17:O17)</f>
        <v>12</v>
      </c>
      <c r="P19" s="379"/>
      <c r="Q19" s="379"/>
      <c r="R19" s="379"/>
      <c r="S19" s="387"/>
      <c r="T19" s="388"/>
      <c r="U19" s="379"/>
      <c r="V19" s="379"/>
      <c r="W19" s="387"/>
      <c r="X19" s="379"/>
      <c r="Y19" s="387"/>
      <c r="Z19" s="388"/>
      <c r="AA19" s="379"/>
      <c r="AB19" s="379"/>
      <c r="AC19" s="379"/>
      <c r="AD19" s="379"/>
      <c r="AE19" s="315"/>
      <c r="AF19" s="315"/>
      <c r="AG19" s="315"/>
      <c r="AH19" s="315"/>
      <c r="AI19" s="315"/>
      <c r="AJ19" s="315"/>
      <c r="AK19" s="315"/>
      <c r="AL19" s="315"/>
      <c r="AM19" s="315"/>
      <c r="AN19" s="315"/>
      <c r="AO19" s="315"/>
      <c r="AP19" s="315"/>
      <c r="AQ19" s="315"/>
      <c r="AR19" s="315"/>
      <c r="AS19" s="315"/>
      <c r="AT19" s="315"/>
      <c r="AU19" s="315"/>
      <c r="AV19" s="315"/>
      <c r="AW19" s="315"/>
      <c r="AX19" s="315"/>
      <c r="AY19" s="315"/>
      <c r="AZ19" s="315"/>
      <c r="BA19" s="315"/>
      <c r="BB19" s="315"/>
      <c r="BC19" s="315"/>
      <c r="BD19" s="315"/>
      <c r="BE19" s="315"/>
      <c r="BF19" s="315"/>
      <c r="BG19" s="315"/>
      <c r="BH19" s="315"/>
      <c r="BI19" s="315"/>
      <c r="BJ19" s="315"/>
      <c r="BK19" s="315"/>
      <c r="BL19" s="315"/>
      <c r="BM19" s="315"/>
      <c r="BN19" s="315"/>
      <c r="BO19" s="315"/>
      <c r="BP19" s="315"/>
      <c r="BQ19" s="315"/>
      <c r="BR19" s="315"/>
      <c r="BS19" s="315"/>
      <c r="BT19" s="315"/>
      <c r="BU19" s="315"/>
      <c r="BV19" s="315"/>
      <c r="BW19" s="315"/>
      <c r="BX19" s="315"/>
      <c r="BY19" s="315"/>
      <c r="BZ19" s="315"/>
      <c r="CA19" s="315"/>
      <c r="CB19" s="315"/>
      <c r="CC19" s="315"/>
      <c r="CD19" s="315"/>
      <c r="CE19" s="315"/>
      <c r="CF19" s="315"/>
      <c r="CG19" s="315"/>
      <c r="CH19" s="315"/>
    </row>
    <row r="20" spans="1:86" ht="15">
      <c r="A20" s="383"/>
      <c r="B20" s="383"/>
      <c r="C20" s="383"/>
    </row>
    <row r="21" spans="1:86" ht="15">
      <c r="A21" s="389" t="s">
        <v>596</v>
      </c>
      <c r="B21" s="383"/>
      <c r="C21" s="383"/>
    </row>
    <row r="22" spans="1:86" ht="15">
      <c r="A22" s="383"/>
      <c r="B22" s="383"/>
      <c r="C22" s="383"/>
    </row>
    <row r="23" spans="1:86" ht="15">
      <c r="B23" s="334"/>
      <c r="C23" s="321"/>
    </row>
    <row r="24" spans="1:86" ht="15">
      <c r="B24" s="334"/>
      <c r="C24" s="334"/>
    </row>
    <row r="26" spans="1:86">
      <c r="A26" s="333" t="str">
        <f ca="1">CELL("filename",A2)</f>
        <v>O:\Enron Net Works\Accounting\2001 Plan\Deal Bench\[Deal Bench 2001 Plan.xls]Capital Charge</v>
      </c>
    </row>
    <row r="27" spans="1:86">
      <c r="A27" s="335">
        <f ca="1">NOW()</f>
        <v>36838.463314351851</v>
      </c>
    </row>
  </sheetData>
  <mergeCells count="4">
    <mergeCell ref="A2:P2"/>
    <mergeCell ref="A3:P3"/>
    <mergeCell ref="A4:P4"/>
    <mergeCell ref="A5:P5"/>
  </mergeCells>
  <pageMargins left="0.25" right="0.25" top="0.25" bottom="0.25" header="0.5" footer="0.5"/>
  <pageSetup scale="7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39"/>
  <sheetViews>
    <sheetView workbookViewId="0">
      <selection activeCell="D15" sqref="D15"/>
    </sheetView>
  </sheetViews>
  <sheetFormatPr defaultColWidth="9.33203125" defaultRowHeight="13.8"/>
  <cols>
    <col min="1" max="1" width="13.109375" style="1" customWidth="1"/>
    <col min="2" max="2" width="12.77734375" style="1" bestFit="1" customWidth="1"/>
    <col min="3" max="14" width="9.6640625" style="1" bestFit="1" customWidth="1"/>
    <col min="15" max="15" width="10.6640625" style="1" bestFit="1" customWidth="1"/>
    <col min="16" max="16384" width="9.33203125" style="1"/>
  </cols>
  <sheetData>
    <row r="1" spans="1:16" s="14" customFormat="1">
      <c r="A1" s="43" t="s">
        <v>126</v>
      </c>
      <c r="C1" s="2" t="str">
        <f>+'Direct Expense'!D5</f>
        <v>10738</v>
      </c>
      <c r="D1" s="2"/>
      <c r="G1" s="16"/>
    </row>
    <row r="2" spans="1:16" s="14" customFormat="1">
      <c r="A2" s="43" t="s">
        <v>128</v>
      </c>
      <c r="C2" s="2" t="str">
        <f>+'Direct Expense'!D6</f>
        <v>Harry Arora</v>
      </c>
      <c r="D2" s="2"/>
      <c r="G2" s="16"/>
      <c r="H2" s="16"/>
      <c r="N2" s="43"/>
    </row>
    <row r="3" spans="1:16" s="14" customFormat="1">
      <c r="A3" s="43" t="s">
        <v>127</v>
      </c>
      <c r="C3" s="2" t="str">
        <f>+'Direct Expense'!D7</f>
        <v>103237</v>
      </c>
      <c r="D3" s="2"/>
      <c r="H3" s="16"/>
      <c r="P3" s="35"/>
    </row>
    <row r="4" spans="1:16" s="14" customFormat="1">
      <c r="C4" s="15"/>
      <c r="D4" s="2"/>
      <c r="H4" s="16"/>
    </row>
    <row r="5" spans="1:16" s="14" customFormat="1">
      <c r="A5" s="59" t="s">
        <v>131</v>
      </c>
      <c r="B5" s="70" t="s">
        <v>131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2" t="s">
        <v>124</v>
      </c>
    </row>
    <row r="6" spans="1:16" s="14" customFormat="1">
      <c r="A6" s="63" t="s">
        <v>134</v>
      </c>
      <c r="B6" s="71" t="s">
        <v>132</v>
      </c>
      <c r="C6" s="66">
        <v>36892</v>
      </c>
      <c r="D6" s="66">
        <v>36923</v>
      </c>
      <c r="E6" s="66">
        <v>36951</v>
      </c>
      <c r="F6" s="66">
        <v>36982</v>
      </c>
      <c r="G6" s="66">
        <v>37012</v>
      </c>
      <c r="H6" s="66">
        <v>37043</v>
      </c>
      <c r="I6" s="66">
        <v>37073</v>
      </c>
      <c r="J6" s="66">
        <v>37104</v>
      </c>
      <c r="K6" s="66">
        <v>37135</v>
      </c>
      <c r="L6" s="66">
        <v>37165</v>
      </c>
      <c r="M6" s="66">
        <v>37196</v>
      </c>
      <c r="N6" s="66">
        <v>37226</v>
      </c>
      <c r="O6" s="67" t="s">
        <v>125</v>
      </c>
    </row>
    <row r="7" spans="1:16">
      <c r="A7" s="30" t="str">
        <f>+'Direct Expense'!$D$7</f>
        <v>103237</v>
      </c>
      <c r="B7" s="30" t="s">
        <v>96</v>
      </c>
      <c r="C7" s="32">
        <f>+'Direct Expense'!D12+'Direct Expense'!D13</f>
        <v>117583.33333333334</v>
      </c>
      <c r="D7" s="32">
        <f>+'Direct Expense'!E12+'Direct Expense'!E13</f>
        <v>128361.80555555556</v>
      </c>
      <c r="E7" s="32">
        <f>+'Direct Expense'!F12+'Direct Expense'!F13</f>
        <v>128361.80555555556</v>
      </c>
      <c r="F7" s="32">
        <f>+'Direct Expense'!G12+'Direct Expense'!G13</f>
        <v>128361.80555555556</v>
      </c>
      <c r="G7" s="32">
        <f>+'Direct Expense'!H12+'Direct Expense'!H13</f>
        <v>128361.80555555556</v>
      </c>
      <c r="H7" s="32">
        <f>+'Direct Expense'!I12+'Direct Expense'!I13</f>
        <v>128361.80555555556</v>
      </c>
      <c r="I7" s="32">
        <f>+'Direct Expense'!J12+'Direct Expense'!J13</f>
        <v>128361.80555555556</v>
      </c>
      <c r="J7" s="32">
        <f>+'Direct Expense'!K12+'Direct Expense'!K13</f>
        <v>128361.80555555556</v>
      </c>
      <c r="K7" s="32">
        <f>+'Direct Expense'!L12+'Direct Expense'!L13</f>
        <v>128361.80555555556</v>
      </c>
      <c r="L7" s="32">
        <f>+'Direct Expense'!M12+'Direct Expense'!M13</f>
        <v>128361.80555555556</v>
      </c>
      <c r="M7" s="32">
        <f>+'Direct Expense'!N12+'Direct Expense'!N13</f>
        <v>128361.80555555556</v>
      </c>
      <c r="N7" s="32">
        <f>+'Direct Expense'!O12+'Direct Expense'!O13</f>
        <v>128361.80555555556</v>
      </c>
      <c r="O7" s="33">
        <f>+'Direct Expense'!P12+'Direct Expense'!P13</f>
        <v>1529563.1944444443</v>
      </c>
    </row>
    <row r="8" spans="1:16">
      <c r="A8" s="30" t="str">
        <f>+'Direct Expense'!$D$7</f>
        <v>103237</v>
      </c>
      <c r="B8" s="30" t="s">
        <v>97</v>
      </c>
      <c r="C8" s="32">
        <f>+'Direct Expense'!D15</f>
        <v>16994.041666666668</v>
      </c>
      <c r="D8" s="32">
        <f>+'Direct Expense'!E15</f>
        <v>18001.828819444447</v>
      </c>
      <c r="E8" s="32">
        <f>+'Direct Expense'!F15</f>
        <v>18001.828819444447</v>
      </c>
      <c r="F8" s="32">
        <f>+'Direct Expense'!G15</f>
        <v>18001.828819444447</v>
      </c>
      <c r="G8" s="32">
        <f>+'Direct Expense'!H15</f>
        <v>18001.828819444447</v>
      </c>
      <c r="H8" s="32">
        <f>+'Direct Expense'!I15</f>
        <v>18001.828819444447</v>
      </c>
      <c r="I8" s="32">
        <f>+'Direct Expense'!J15</f>
        <v>18001.828819444447</v>
      </c>
      <c r="J8" s="32">
        <f>+'Direct Expense'!K15</f>
        <v>18001.828819444447</v>
      </c>
      <c r="K8" s="32">
        <f>+'Direct Expense'!L15</f>
        <v>18001.828819444447</v>
      </c>
      <c r="L8" s="32">
        <f>+'Direct Expense'!M15</f>
        <v>18001.828819444447</v>
      </c>
      <c r="M8" s="32">
        <f>+'Direct Expense'!N15</f>
        <v>18001.828819444447</v>
      </c>
      <c r="N8" s="32">
        <f>+'Direct Expense'!O15</f>
        <v>18001.828819444447</v>
      </c>
      <c r="O8" s="33">
        <f>+'Direct Expense'!P15</f>
        <v>215014.15868055564</v>
      </c>
    </row>
    <row r="9" spans="1:16">
      <c r="A9" s="30" t="str">
        <f>+'Direct Expense'!$D$7</f>
        <v>103237</v>
      </c>
      <c r="B9" s="30" t="s">
        <v>98</v>
      </c>
      <c r="C9" s="32">
        <f>+'Direct Expense'!D16</f>
        <v>8564.1666666666661</v>
      </c>
      <c r="D9" s="32">
        <f>+'Direct Expense'!E16</f>
        <v>8779.7361111111113</v>
      </c>
      <c r="E9" s="32">
        <f>+'Direct Expense'!F16</f>
        <v>8779.7361111111113</v>
      </c>
      <c r="F9" s="32">
        <f>+'Direct Expense'!G16</f>
        <v>8779.7361111111113</v>
      </c>
      <c r="G9" s="32">
        <f>+'Direct Expense'!H16</f>
        <v>8779.7361111111113</v>
      </c>
      <c r="H9" s="32">
        <f>+'Direct Expense'!I16</f>
        <v>8779.7361111111113</v>
      </c>
      <c r="I9" s="32">
        <f>+'Direct Expense'!J16</f>
        <v>8779.7361111111113</v>
      </c>
      <c r="J9" s="32">
        <f>+'Direct Expense'!K16</f>
        <v>8779.7361111111113</v>
      </c>
      <c r="K9" s="32">
        <f>+'Direct Expense'!L16</f>
        <v>8779.7361111111113</v>
      </c>
      <c r="L9" s="32">
        <f>+'Direct Expense'!M16</f>
        <v>8779.7361111111113</v>
      </c>
      <c r="M9" s="32">
        <f>+'Direct Expense'!N16</f>
        <v>8779.7361111111113</v>
      </c>
      <c r="N9" s="32">
        <f>+'Direct Expense'!O16</f>
        <v>8779.7361111111113</v>
      </c>
      <c r="O9" s="33">
        <f>+'Direct Expense'!P16</f>
        <v>105141.26388888888</v>
      </c>
    </row>
    <row r="10" spans="1:16">
      <c r="A10" s="30" t="str">
        <f>+'Direct Expense'!$D$7</f>
        <v>103237</v>
      </c>
      <c r="B10" s="30" t="s">
        <v>99</v>
      </c>
      <c r="C10" s="32">
        <f>+'Direct Expense'!D18+'Direct Expense'!D20</f>
        <v>2800</v>
      </c>
      <c r="D10" s="32">
        <f>+'Direct Expense'!E18+'Direct Expense'!E20</f>
        <v>2800</v>
      </c>
      <c r="E10" s="32">
        <f>+'Direct Expense'!F18+'Direct Expense'!F20</f>
        <v>2800</v>
      </c>
      <c r="F10" s="32">
        <f>+'Direct Expense'!G18+'Direct Expense'!G20</f>
        <v>2800</v>
      </c>
      <c r="G10" s="32">
        <f>+'Direct Expense'!H18+'Direct Expense'!H20</f>
        <v>2800</v>
      </c>
      <c r="H10" s="32">
        <f>+'Direct Expense'!I18+'Direct Expense'!I20</f>
        <v>2800</v>
      </c>
      <c r="I10" s="32">
        <f>+'Direct Expense'!J18+'Direct Expense'!J20</f>
        <v>2800</v>
      </c>
      <c r="J10" s="32">
        <f>+'Direct Expense'!K18+'Direct Expense'!K20</f>
        <v>2800</v>
      </c>
      <c r="K10" s="32">
        <f>+'Direct Expense'!L18+'Direct Expense'!L20</f>
        <v>2800</v>
      </c>
      <c r="L10" s="32">
        <f>+'Direct Expense'!M18+'Direct Expense'!M20</f>
        <v>2800</v>
      </c>
      <c r="M10" s="32">
        <f>+'Direct Expense'!N18+'Direct Expense'!N20</f>
        <v>2800</v>
      </c>
      <c r="N10" s="32">
        <f>+'Direct Expense'!O18+'Direct Expense'!O20</f>
        <v>2800</v>
      </c>
      <c r="O10" s="32">
        <f>+'Direct Expense'!P18+'Direct Expense'!P20</f>
        <v>33600</v>
      </c>
    </row>
    <row r="11" spans="1:16">
      <c r="A11" s="30" t="str">
        <f>+'Direct Expense'!$D$7</f>
        <v>103237</v>
      </c>
      <c r="B11" s="30" t="s">
        <v>100</v>
      </c>
      <c r="C11" s="32">
        <f>+'Direct Expense'!D19</f>
        <v>500</v>
      </c>
      <c r="D11" s="32">
        <f>+'Direct Expense'!E19</f>
        <v>500</v>
      </c>
      <c r="E11" s="32">
        <f>+'Direct Expense'!F19</f>
        <v>500</v>
      </c>
      <c r="F11" s="32">
        <f>+'Direct Expense'!G19</f>
        <v>500</v>
      </c>
      <c r="G11" s="32">
        <f>+'Direct Expense'!H19</f>
        <v>500</v>
      </c>
      <c r="H11" s="32">
        <f>+'Direct Expense'!I19</f>
        <v>500</v>
      </c>
      <c r="I11" s="32">
        <f>+'Direct Expense'!J19</f>
        <v>500</v>
      </c>
      <c r="J11" s="32">
        <f>+'Direct Expense'!K19</f>
        <v>500</v>
      </c>
      <c r="K11" s="32">
        <f>+'Direct Expense'!L19</f>
        <v>500</v>
      </c>
      <c r="L11" s="32">
        <f>+'Direct Expense'!M19</f>
        <v>500</v>
      </c>
      <c r="M11" s="32">
        <f>+'Direct Expense'!N19</f>
        <v>500</v>
      </c>
      <c r="N11" s="32">
        <f>+'Direct Expense'!O19</f>
        <v>500</v>
      </c>
      <c r="O11" s="32">
        <f>+'Direct Expense'!P19</f>
        <v>6000</v>
      </c>
    </row>
    <row r="12" spans="1:16">
      <c r="A12" s="30" t="str">
        <f>+'Direct Expense'!$D$7</f>
        <v>103237</v>
      </c>
      <c r="B12" s="30" t="s">
        <v>101</v>
      </c>
      <c r="C12" s="32">
        <f>+'Direct Expense'!D21</f>
        <v>2500</v>
      </c>
      <c r="D12" s="32">
        <f>+'Direct Expense'!E21</f>
        <v>2500</v>
      </c>
      <c r="E12" s="32">
        <f>+'Direct Expense'!F21</f>
        <v>2500</v>
      </c>
      <c r="F12" s="32">
        <f>+'Direct Expense'!G21</f>
        <v>2500</v>
      </c>
      <c r="G12" s="32">
        <f>+'Direct Expense'!H21</f>
        <v>2500</v>
      </c>
      <c r="H12" s="32">
        <f>+'Direct Expense'!I21</f>
        <v>2500</v>
      </c>
      <c r="I12" s="32">
        <f>+'Direct Expense'!J21</f>
        <v>2500</v>
      </c>
      <c r="J12" s="32">
        <f>+'Direct Expense'!K21</f>
        <v>2500</v>
      </c>
      <c r="K12" s="32">
        <f>+'Direct Expense'!L21</f>
        <v>2500</v>
      </c>
      <c r="L12" s="32">
        <f>+'Direct Expense'!M21</f>
        <v>2500</v>
      </c>
      <c r="M12" s="32">
        <f>+'Direct Expense'!N21</f>
        <v>2500</v>
      </c>
      <c r="N12" s="32">
        <f>+'Direct Expense'!O21</f>
        <v>2500</v>
      </c>
      <c r="O12" s="32">
        <f>+'Direct Expense'!P21</f>
        <v>30000</v>
      </c>
    </row>
    <row r="13" spans="1:16">
      <c r="A13" s="30" t="str">
        <f>+'Direct Expense'!$D$7</f>
        <v>103237</v>
      </c>
      <c r="B13" s="30" t="s">
        <v>102</v>
      </c>
      <c r="C13" s="32">
        <f>+'Direct Expense'!D22+'Direct Expense'!D26+'Direct Expense'!D30</f>
        <v>60000</v>
      </c>
      <c r="D13" s="32">
        <f>+'Direct Expense'!E22+'Direct Expense'!E26+'Direct Expense'!E30</f>
        <v>60000</v>
      </c>
      <c r="E13" s="32">
        <f>+'Direct Expense'!F22+'Direct Expense'!F26+'Direct Expense'!F30</f>
        <v>60000</v>
      </c>
      <c r="F13" s="32">
        <f>+'Direct Expense'!G22+'Direct Expense'!G26+'Direct Expense'!G30</f>
        <v>60000</v>
      </c>
      <c r="G13" s="32">
        <f>+'Direct Expense'!H22+'Direct Expense'!H26+'Direct Expense'!H30</f>
        <v>60000</v>
      </c>
      <c r="H13" s="32">
        <f>+'Direct Expense'!I22+'Direct Expense'!I26+'Direct Expense'!I30</f>
        <v>60000</v>
      </c>
      <c r="I13" s="32">
        <f>+'Direct Expense'!J22+'Direct Expense'!J26+'Direct Expense'!J30</f>
        <v>60000</v>
      </c>
      <c r="J13" s="32">
        <f>+'Direct Expense'!K22+'Direct Expense'!K26+'Direct Expense'!K30</f>
        <v>60000</v>
      </c>
      <c r="K13" s="32">
        <f>+'Direct Expense'!L22+'Direct Expense'!L26+'Direct Expense'!L30</f>
        <v>60000</v>
      </c>
      <c r="L13" s="32">
        <f>+'Direct Expense'!M22+'Direct Expense'!M26+'Direct Expense'!M30</f>
        <v>60000</v>
      </c>
      <c r="M13" s="32">
        <f>+'Direct Expense'!N22+'Direct Expense'!N26+'Direct Expense'!N30</f>
        <v>60000</v>
      </c>
      <c r="N13" s="32">
        <f>+'Direct Expense'!O22+'Direct Expense'!O26+'Direct Expense'!O30</f>
        <v>60000</v>
      </c>
      <c r="O13" s="32">
        <f>+'Direct Expense'!P22+'Direct Expense'!P26+'Direct Expense'!P30</f>
        <v>720000</v>
      </c>
    </row>
    <row r="14" spans="1:16">
      <c r="A14" s="30" t="str">
        <f>+'Direct Expense'!$D$7</f>
        <v>103237</v>
      </c>
      <c r="B14" s="31" t="s">
        <v>103</v>
      </c>
      <c r="C14" s="32">
        <f>+'Direct Expense'!D23</f>
        <v>1500</v>
      </c>
      <c r="D14" s="32">
        <f>+'Direct Expense'!E23</f>
        <v>1500</v>
      </c>
      <c r="E14" s="32">
        <f>+'Direct Expense'!F23</f>
        <v>1500</v>
      </c>
      <c r="F14" s="32">
        <f>+'Direct Expense'!G23</f>
        <v>1500</v>
      </c>
      <c r="G14" s="32">
        <f>+'Direct Expense'!H23</f>
        <v>1500</v>
      </c>
      <c r="H14" s="32">
        <f>+'Direct Expense'!I23</f>
        <v>1500</v>
      </c>
      <c r="I14" s="32">
        <f>+'Direct Expense'!J23</f>
        <v>1500</v>
      </c>
      <c r="J14" s="32">
        <f>+'Direct Expense'!K23</f>
        <v>1500</v>
      </c>
      <c r="K14" s="32">
        <f>+'Direct Expense'!L23</f>
        <v>1500</v>
      </c>
      <c r="L14" s="32">
        <f>+'Direct Expense'!M23</f>
        <v>1500</v>
      </c>
      <c r="M14" s="32">
        <f>+'Direct Expense'!N23</f>
        <v>1500</v>
      </c>
      <c r="N14" s="32">
        <f>+'Direct Expense'!O23</f>
        <v>1500</v>
      </c>
      <c r="O14" s="32">
        <f>+'Direct Expense'!P23</f>
        <v>18000</v>
      </c>
    </row>
    <row r="15" spans="1:16">
      <c r="A15" s="30" t="str">
        <f>+'Direct Expense'!$D$7</f>
        <v>103237</v>
      </c>
      <c r="B15" s="30" t="s">
        <v>104</v>
      </c>
      <c r="C15" s="32">
        <f>+'Direct Expense'!D24</f>
        <v>2000</v>
      </c>
      <c r="D15" s="32">
        <f>+'Direct Expense'!E24</f>
        <v>2000</v>
      </c>
      <c r="E15" s="32">
        <f>+'Direct Expense'!F24</f>
        <v>2000</v>
      </c>
      <c r="F15" s="32">
        <f>+'Direct Expense'!G24</f>
        <v>2000</v>
      </c>
      <c r="G15" s="32">
        <f>+'Direct Expense'!H24</f>
        <v>2000</v>
      </c>
      <c r="H15" s="32">
        <f>+'Direct Expense'!I24</f>
        <v>2000</v>
      </c>
      <c r="I15" s="32">
        <f>+'Direct Expense'!J24</f>
        <v>2000</v>
      </c>
      <c r="J15" s="32">
        <f>+'Direct Expense'!K24</f>
        <v>2000</v>
      </c>
      <c r="K15" s="32">
        <f>+'Direct Expense'!L24</f>
        <v>2000</v>
      </c>
      <c r="L15" s="32">
        <f>+'Direct Expense'!M24</f>
        <v>2000</v>
      </c>
      <c r="M15" s="32">
        <f>+'Direct Expense'!N24</f>
        <v>2000</v>
      </c>
      <c r="N15" s="32">
        <f>+'Direct Expense'!O24</f>
        <v>2000</v>
      </c>
      <c r="O15" s="32">
        <f>+'Direct Expense'!P24</f>
        <v>24000</v>
      </c>
    </row>
    <row r="16" spans="1:16">
      <c r="A16" s="30" t="str">
        <f>+'Direct Expense'!$D$7</f>
        <v>103237</v>
      </c>
      <c r="B16" s="30" t="s">
        <v>105</v>
      </c>
      <c r="C16" s="32">
        <f>+'Direct Expense'!D27+'Direct Expense'!D28+'Direct Expense'!D29+'Direct Expense'!D31</f>
        <v>0</v>
      </c>
      <c r="D16" s="32">
        <f>+'Direct Expense'!E27+'Direct Expense'!E28+'Direct Expense'!E29+'Direct Expense'!E31</f>
        <v>0</v>
      </c>
      <c r="E16" s="32">
        <f>+'Direct Expense'!F27+'Direct Expense'!F28+'Direct Expense'!F29+'Direct Expense'!F31</f>
        <v>0</v>
      </c>
      <c r="F16" s="32">
        <f>+'Direct Expense'!G27+'Direct Expense'!G28+'Direct Expense'!G29+'Direct Expense'!G31</f>
        <v>0</v>
      </c>
      <c r="G16" s="32">
        <f>+'Direct Expense'!H27+'Direct Expense'!H28+'Direct Expense'!H29+'Direct Expense'!H31</f>
        <v>0</v>
      </c>
      <c r="H16" s="32">
        <f>+'Direct Expense'!I27+'Direct Expense'!I28+'Direct Expense'!I29+'Direct Expense'!I31</f>
        <v>0</v>
      </c>
      <c r="I16" s="32">
        <f>+'Direct Expense'!J27+'Direct Expense'!J28+'Direct Expense'!J29+'Direct Expense'!J31</f>
        <v>0</v>
      </c>
      <c r="J16" s="32">
        <f>+'Direct Expense'!K27+'Direct Expense'!K28+'Direct Expense'!K29+'Direct Expense'!K31</f>
        <v>0</v>
      </c>
      <c r="K16" s="32">
        <f>+'Direct Expense'!L27+'Direct Expense'!L28+'Direct Expense'!L29+'Direct Expense'!L31</f>
        <v>0</v>
      </c>
      <c r="L16" s="32">
        <f>+'Direct Expense'!M27+'Direct Expense'!M28+'Direct Expense'!M29+'Direct Expense'!M31</f>
        <v>0</v>
      </c>
      <c r="M16" s="32">
        <f>+'Direct Expense'!N27+'Direct Expense'!N28+'Direct Expense'!N29+'Direct Expense'!N31</f>
        <v>0</v>
      </c>
      <c r="N16" s="32">
        <f>+'Direct Expense'!O27+'Direct Expense'!O28+'Direct Expense'!O29+'Direct Expense'!O31</f>
        <v>0</v>
      </c>
      <c r="O16" s="32">
        <f>+'Direct Expense'!P27+'Direct Expense'!P28+'Direct Expense'!P29+'Direct Expense'!P31</f>
        <v>0</v>
      </c>
    </row>
    <row r="17" spans="1:15">
      <c r="A17" s="30" t="str">
        <f>+'Direct Expense'!$D$7</f>
        <v>103237</v>
      </c>
      <c r="B17" s="30" t="s">
        <v>106</v>
      </c>
      <c r="C17" s="32">
        <f>+'Direct Expense'!D33+'Direct Expense'!D35</f>
        <v>20000</v>
      </c>
      <c r="D17" s="32">
        <f>+'Direct Expense'!E33+'Direct Expense'!E35</f>
        <v>20000</v>
      </c>
      <c r="E17" s="32">
        <f>+'Direct Expense'!F33+'Direct Expense'!F35</f>
        <v>20000</v>
      </c>
      <c r="F17" s="32">
        <f>+'Direct Expense'!G33+'Direct Expense'!G35</f>
        <v>20000</v>
      </c>
      <c r="G17" s="32">
        <f>+'Direct Expense'!H33+'Direct Expense'!H35</f>
        <v>20000</v>
      </c>
      <c r="H17" s="32">
        <f>+'Direct Expense'!I33+'Direct Expense'!I35</f>
        <v>20000</v>
      </c>
      <c r="I17" s="32">
        <f>+'Direct Expense'!J33+'Direct Expense'!J35</f>
        <v>20000</v>
      </c>
      <c r="J17" s="32">
        <f>+'Direct Expense'!K33+'Direct Expense'!K35</f>
        <v>20000</v>
      </c>
      <c r="K17" s="32">
        <f>+'Direct Expense'!L33+'Direct Expense'!L35</f>
        <v>20000</v>
      </c>
      <c r="L17" s="32">
        <f>+'Direct Expense'!M33+'Direct Expense'!M35</f>
        <v>20000</v>
      </c>
      <c r="M17" s="32">
        <f>+'Direct Expense'!N33+'Direct Expense'!N35</f>
        <v>20000</v>
      </c>
      <c r="N17" s="32">
        <f>+'Direct Expense'!O33+'Direct Expense'!O35</f>
        <v>20000</v>
      </c>
      <c r="O17" s="32">
        <f>+'Direct Expense'!P33+'Direct Expense'!P35</f>
        <v>240000</v>
      </c>
    </row>
    <row r="18" spans="1:15">
      <c r="A18" s="30" t="str">
        <f>+'Direct Expense'!$D$7</f>
        <v>103237</v>
      </c>
      <c r="B18" s="30" t="s">
        <v>107</v>
      </c>
      <c r="C18" s="32">
        <f>+'Direct Expense'!D34</f>
        <v>750</v>
      </c>
      <c r="D18" s="32">
        <f>+'Direct Expense'!E34</f>
        <v>750</v>
      </c>
      <c r="E18" s="32">
        <f>+'Direct Expense'!F34</f>
        <v>750</v>
      </c>
      <c r="F18" s="32">
        <f>+'Direct Expense'!G34</f>
        <v>750</v>
      </c>
      <c r="G18" s="32">
        <f>+'Direct Expense'!H34</f>
        <v>750</v>
      </c>
      <c r="H18" s="32">
        <f>+'Direct Expense'!I34</f>
        <v>750</v>
      </c>
      <c r="I18" s="32">
        <f>+'Direct Expense'!J34</f>
        <v>750</v>
      </c>
      <c r="J18" s="32">
        <f>+'Direct Expense'!K34</f>
        <v>750</v>
      </c>
      <c r="K18" s="32">
        <f>+'Direct Expense'!L34</f>
        <v>750</v>
      </c>
      <c r="L18" s="32">
        <f>+'Direct Expense'!M34</f>
        <v>750</v>
      </c>
      <c r="M18" s="32">
        <f>+'Direct Expense'!N34</f>
        <v>750</v>
      </c>
      <c r="N18" s="32">
        <f>+'Direct Expense'!O34</f>
        <v>750</v>
      </c>
      <c r="O18" s="32">
        <f>+'Direct Expense'!P34</f>
        <v>9000</v>
      </c>
    </row>
    <row r="19" spans="1:15">
      <c r="A19" s="30" t="str">
        <f>+'Direct Expense'!$D$7</f>
        <v>103237</v>
      </c>
      <c r="B19" s="30" t="s">
        <v>108</v>
      </c>
      <c r="C19" s="32">
        <f>+'Direct Expense'!D37</f>
        <v>0</v>
      </c>
      <c r="D19" s="32">
        <f>+'Direct Expense'!E37</f>
        <v>0</v>
      </c>
      <c r="E19" s="32">
        <f>+'Direct Expense'!F37</f>
        <v>0</v>
      </c>
      <c r="F19" s="32">
        <f>+'Direct Expense'!G37</f>
        <v>0</v>
      </c>
      <c r="G19" s="32">
        <f>+'Direct Expense'!H37</f>
        <v>0</v>
      </c>
      <c r="H19" s="32">
        <f>+'Direct Expense'!I37</f>
        <v>0</v>
      </c>
      <c r="I19" s="32">
        <f>+'Direct Expense'!J37</f>
        <v>0</v>
      </c>
      <c r="J19" s="32">
        <f>+'Direct Expense'!K37</f>
        <v>0</v>
      </c>
      <c r="K19" s="32">
        <f>+'Direct Expense'!L37</f>
        <v>0</v>
      </c>
      <c r="L19" s="32">
        <f>+'Direct Expense'!M37</f>
        <v>0</v>
      </c>
      <c r="M19" s="32">
        <f>+'Direct Expense'!N37</f>
        <v>0</v>
      </c>
      <c r="N19" s="32">
        <f>+'Direct Expense'!O37</f>
        <v>0</v>
      </c>
      <c r="O19" s="32">
        <f>+'Direct Expense'!P37</f>
        <v>0</v>
      </c>
    </row>
    <row r="20" spans="1:15">
      <c r="A20" s="30" t="str">
        <f>+'Direct Expense'!$D$7</f>
        <v>103237</v>
      </c>
      <c r="B20" s="30" t="s">
        <v>109</v>
      </c>
      <c r="C20" s="32">
        <f>+'Direct Expense'!D38+'Direct Expense'!D41+'Direct Expense'!D42</f>
        <v>300</v>
      </c>
      <c r="D20" s="32">
        <f>+'Direct Expense'!E38+'Direct Expense'!E41+'Direct Expense'!E42</f>
        <v>300</v>
      </c>
      <c r="E20" s="32">
        <f>+'Direct Expense'!F38+'Direct Expense'!F41+'Direct Expense'!F42</f>
        <v>300</v>
      </c>
      <c r="F20" s="32">
        <f>+'Direct Expense'!G38+'Direct Expense'!G41+'Direct Expense'!G42</f>
        <v>300</v>
      </c>
      <c r="G20" s="32">
        <f>+'Direct Expense'!H38+'Direct Expense'!H41+'Direct Expense'!H42</f>
        <v>300</v>
      </c>
      <c r="H20" s="32">
        <f>+'Direct Expense'!I38+'Direct Expense'!I41+'Direct Expense'!I42</f>
        <v>300</v>
      </c>
      <c r="I20" s="32">
        <f>+'Direct Expense'!J38+'Direct Expense'!J41+'Direct Expense'!J42</f>
        <v>300</v>
      </c>
      <c r="J20" s="32">
        <f>+'Direct Expense'!K38+'Direct Expense'!K41+'Direct Expense'!K42</f>
        <v>300</v>
      </c>
      <c r="K20" s="32">
        <f>+'Direct Expense'!L38+'Direct Expense'!L41+'Direct Expense'!L42</f>
        <v>300</v>
      </c>
      <c r="L20" s="32">
        <f>+'Direct Expense'!M38+'Direct Expense'!M41+'Direct Expense'!M42</f>
        <v>300</v>
      </c>
      <c r="M20" s="32">
        <f>+'Direct Expense'!N38+'Direct Expense'!N41+'Direct Expense'!N42</f>
        <v>300</v>
      </c>
      <c r="N20" s="32">
        <f>+'Direct Expense'!O38+'Direct Expense'!O41+'Direct Expense'!O42</f>
        <v>300</v>
      </c>
      <c r="O20" s="32">
        <f>+'Direct Expense'!P38+'Direct Expense'!P41+'Direct Expense'!P42</f>
        <v>3600</v>
      </c>
    </row>
    <row r="21" spans="1:15">
      <c r="A21" s="30" t="str">
        <f>+'Direct Expense'!$D$7</f>
        <v>103237</v>
      </c>
      <c r="B21" s="30" t="s">
        <v>110</v>
      </c>
      <c r="C21" s="32">
        <f>+'Direct Expense'!D39</f>
        <v>2000</v>
      </c>
      <c r="D21" s="32">
        <f>+'Direct Expense'!E39</f>
        <v>2000</v>
      </c>
      <c r="E21" s="32">
        <f>+'Direct Expense'!F39</f>
        <v>2000</v>
      </c>
      <c r="F21" s="32">
        <f>+'Direct Expense'!G39</f>
        <v>2000</v>
      </c>
      <c r="G21" s="32">
        <f>+'Direct Expense'!H39</f>
        <v>2000</v>
      </c>
      <c r="H21" s="32">
        <f>+'Direct Expense'!I39</f>
        <v>2000</v>
      </c>
      <c r="I21" s="32">
        <f>+'Direct Expense'!J39</f>
        <v>2000</v>
      </c>
      <c r="J21" s="32">
        <f>+'Direct Expense'!K39</f>
        <v>2000</v>
      </c>
      <c r="K21" s="32">
        <f>+'Direct Expense'!L39</f>
        <v>2000</v>
      </c>
      <c r="L21" s="32">
        <f>+'Direct Expense'!M39</f>
        <v>2000</v>
      </c>
      <c r="M21" s="32">
        <f>+'Direct Expense'!N39</f>
        <v>2000</v>
      </c>
      <c r="N21" s="32">
        <f>+'Direct Expense'!O39</f>
        <v>2000</v>
      </c>
      <c r="O21" s="32">
        <f>+'Direct Expense'!P39</f>
        <v>24000</v>
      </c>
    </row>
    <row r="22" spans="1:15">
      <c r="A22" s="30" t="str">
        <f>+'Direct Expense'!$D$7</f>
        <v>103237</v>
      </c>
      <c r="B22" s="30" t="s">
        <v>111</v>
      </c>
      <c r="C22" s="32">
        <f>+'Direct Expense'!D40</f>
        <v>75</v>
      </c>
      <c r="D22" s="32">
        <f>+'Direct Expense'!E40</f>
        <v>75</v>
      </c>
      <c r="E22" s="32">
        <f>+'Direct Expense'!F40</f>
        <v>75</v>
      </c>
      <c r="F22" s="32">
        <f>+'Direct Expense'!G40</f>
        <v>75</v>
      </c>
      <c r="G22" s="32">
        <f>+'Direct Expense'!H40</f>
        <v>75</v>
      </c>
      <c r="H22" s="32">
        <f>+'Direct Expense'!I40</f>
        <v>75</v>
      </c>
      <c r="I22" s="32">
        <f>+'Direct Expense'!J40</f>
        <v>75</v>
      </c>
      <c r="J22" s="32">
        <f>+'Direct Expense'!K40</f>
        <v>75</v>
      </c>
      <c r="K22" s="32">
        <f>+'Direct Expense'!L40</f>
        <v>75</v>
      </c>
      <c r="L22" s="32">
        <f>+'Direct Expense'!M40</f>
        <v>75</v>
      </c>
      <c r="M22" s="32">
        <f>+'Direct Expense'!N40</f>
        <v>75</v>
      </c>
      <c r="N22" s="32">
        <f>+'Direct Expense'!O40</f>
        <v>75</v>
      </c>
      <c r="O22" s="32">
        <f>+'Direct Expense'!P40</f>
        <v>900</v>
      </c>
    </row>
    <row r="23" spans="1:15">
      <c r="A23" s="30" t="str">
        <f>+'Direct Expense'!$D$7</f>
        <v>103237</v>
      </c>
      <c r="B23" s="30" t="s">
        <v>110</v>
      </c>
      <c r="C23" s="32">
        <f>+'Direct Expense'!D43</f>
        <v>350</v>
      </c>
      <c r="D23" s="32">
        <f>+'Direct Expense'!E43</f>
        <v>350</v>
      </c>
      <c r="E23" s="32">
        <f>+'Direct Expense'!F43</f>
        <v>350</v>
      </c>
      <c r="F23" s="32">
        <f>+'Direct Expense'!G43</f>
        <v>350</v>
      </c>
      <c r="G23" s="32">
        <f>+'Direct Expense'!H43</f>
        <v>350</v>
      </c>
      <c r="H23" s="32">
        <f>+'Direct Expense'!I43</f>
        <v>350</v>
      </c>
      <c r="I23" s="32">
        <f>+'Direct Expense'!J43</f>
        <v>350</v>
      </c>
      <c r="J23" s="32">
        <f>+'Direct Expense'!K43</f>
        <v>350</v>
      </c>
      <c r="K23" s="32">
        <f>+'Direct Expense'!L43</f>
        <v>350</v>
      </c>
      <c r="L23" s="32">
        <f>+'Direct Expense'!M43</f>
        <v>350</v>
      </c>
      <c r="M23" s="32">
        <f>+'Direct Expense'!N43</f>
        <v>350</v>
      </c>
      <c r="N23" s="32">
        <f>+'Direct Expense'!O43</f>
        <v>350</v>
      </c>
      <c r="O23" s="32">
        <f>+'Direct Expense'!P43</f>
        <v>4200</v>
      </c>
    </row>
    <row r="24" spans="1:15">
      <c r="A24" s="30" t="str">
        <f>+'Direct Expense'!$D$7</f>
        <v>103237</v>
      </c>
      <c r="B24" s="30" t="s">
        <v>112</v>
      </c>
      <c r="C24" s="32">
        <f>+'Direct Expense'!D45+'Direct Expense'!D48</f>
        <v>15000</v>
      </c>
      <c r="D24" s="32">
        <f>+'Direct Expense'!E45+'Direct Expense'!E48</f>
        <v>15000</v>
      </c>
      <c r="E24" s="32">
        <f>+'Direct Expense'!F45+'Direct Expense'!F48</f>
        <v>15000</v>
      </c>
      <c r="F24" s="32">
        <f>+'Direct Expense'!G45+'Direct Expense'!G48</f>
        <v>15000</v>
      </c>
      <c r="G24" s="32">
        <f>+'Direct Expense'!H45+'Direct Expense'!H48</f>
        <v>15000</v>
      </c>
      <c r="H24" s="32">
        <f>+'Direct Expense'!I45+'Direct Expense'!I48</f>
        <v>15000</v>
      </c>
      <c r="I24" s="32">
        <f>+'Direct Expense'!J45+'Direct Expense'!J48</f>
        <v>15000</v>
      </c>
      <c r="J24" s="32">
        <f>+'Direct Expense'!K45+'Direct Expense'!K48</f>
        <v>15000</v>
      </c>
      <c r="K24" s="32">
        <f>+'Direct Expense'!L45+'Direct Expense'!L48</f>
        <v>15000</v>
      </c>
      <c r="L24" s="32">
        <f>+'Direct Expense'!M45+'Direct Expense'!M48</f>
        <v>15000</v>
      </c>
      <c r="M24" s="32">
        <f>+'Direct Expense'!N45+'Direct Expense'!N48</f>
        <v>15000</v>
      </c>
      <c r="N24" s="32">
        <f>+'Direct Expense'!O45+'Direct Expense'!O48</f>
        <v>15000</v>
      </c>
      <c r="O24" s="32">
        <f>+'Direct Expense'!P45+'Direct Expense'!P48</f>
        <v>180000</v>
      </c>
    </row>
    <row r="25" spans="1:15">
      <c r="A25" s="30" t="str">
        <f>+'Direct Expense'!$D$7</f>
        <v>103237</v>
      </c>
      <c r="B25" s="30" t="s">
        <v>113</v>
      </c>
      <c r="C25" s="32">
        <f>+'Direct Expense'!D46+'Direct Expense'!D47</f>
        <v>10000</v>
      </c>
      <c r="D25" s="32">
        <f>+'Direct Expense'!E46+'Direct Expense'!E47</f>
        <v>10000</v>
      </c>
      <c r="E25" s="32">
        <f>+'Direct Expense'!F46+'Direct Expense'!F47</f>
        <v>10000</v>
      </c>
      <c r="F25" s="32">
        <f>+'Direct Expense'!G46+'Direct Expense'!G47</f>
        <v>10000</v>
      </c>
      <c r="G25" s="32">
        <f>+'Direct Expense'!H46+'Direct Expense'!H47</f>
        <v>10000</v>
      </c>
      <c r="H25" s="32">
        <f>+'Direct Expense'!I46+'Direct Expense'!I47</f>
        <v>10000</v>
      </c>
      <c r="I25" s="32">
        <f>+'Direct Expense'!J46+'Direct Expense'!J47</f>
        <v>10000</v>
      </c>
      <c r="J25" s="32">
        <f>+'Direct Expense'!K46+'Direct Expense'!K47</f>
        <v>10000</v>
      </c>
      <c r="K25" s="32">
        <f>+'Direct Expense'!L46+'Direct Expense'!L47</f>
        <v>10000</v>
      </c>
      <c r="L25" s="32">
        <f>+'Direct Expense'!M46+'Direct Expense'!M47</f>
        <v>10000</v>
      </c>
      <c r="M25" s="32">
        <f>+'Direct Expense'!N46+'Direct Expense'!N47</f>
        <v>10000</v>
      </c>
      <c r="N25" s="32">
        <f>+'Direct Expense'!O46+'Direct Expense'!O47</f>
        <v>10000</v>
      </c>
      <c r="O25" s="32">
        <f>+'Direct Expense'!P46+'Direct Expense'!P47</f>
        <v>120000</v>
      </c>
    </row>
    <row r="26" spans="1:15">
      <c r="A26" s="30" t="str">
        <f>+'Direct Expense'!$D$7</f>
        <v>103237</v>
      </c>
      <c r="B26" s="30" t="s">
        <v>114</v>
      </c>
      <c r="C26" s="32">
        <f>+'Direct Expense'!D50</f>
        <v>0</v>
      </c>
      <c r="D26" s="32">
        <f>+'Direct Expense'!E50</f>
        <v>0</v>
      </c>
      <c r="E26" s="32">
        <f>+'Direct Expense'!F50</f>
        <v>0</v>
      </c>
      <c r="F26" s="32">
        <f>+'Direct Expense'!G50</f>
        <v>0</v>
      </c>
      <c r="G26" s="32">
        <f>+'Direct Expense'!H50</f>
        <v>0</v>
      </c>
      <c r="H26" s="32">
        <f>+'Direct Expense'!I50</f>
        <v>0</v>
      </c>
      <c r="I26" s="32">
        <f>+'Direct Expense'!J50</f>
        <v>0</v>
      </c>
      <c r="J26" s="32">
        <f>+'Direct Expense'!K50</f>
        <v>0</v>
      </c>
      <c r="K26" s="32">
        <f>+'Direct Expense'!L50</f>
        <v>0</v>
      </c>
      <c r="L26" s="32">
        <f>+'Direct Expense'!M50</f>
        <v>0</v>
      </c>
      <c r="M26" s="32">
        <f>+'Direct Expense'!N50</f>
        <v>0</v>
      </c>
      <c r="N26" s="32">
        <f>+'Direct Expense'!O50</f>
        <v>0</v>
      </c>
      <c r="O26" s="32">
        <f>+'Direct Expense'!P50</f>
        <v>0</v>
      </c>
    </row>
    <row r="27" spans="1:15">
      <c r="A27" s="30" t="str">
        <f>+'Direct Expense'!$D$7</f>
        <v>103237</v>
      </c>
      <c r="B27" s="30" t="s">
        <v>115</v>
      </c>
      <c r="C27" s="32">
        <f>+'Direct Expense'!D51</f>
        <v>0</v>
      </c>
      <c r="D27" s="32">
        <f>+'Direct Expense'!E51</f>
        <v>0</v>
      </c>
      <c r="E27" s="32">
        <f>+'Direct Expense'!F51</f>
        <v>0</v>
      </c>
      <c r="F27" s="32">
        <f>+'Direct Expense'!G51</f>
        <v>0</v>
      </c>
      <c r="G27" s="32">
        <f>+'Direct Expense'!H51</f>
        <v>0</v>
      </c>
      <c r="H27" s="32">
        <f>+'Direct Expense'!I51</f>
        <v>0</v>
      </c>
      <c r="I27" s="32">
        <f>+'Direct Expense'!J51</f>
        <v>0</v>
      </c>
      <c r="J27" s="32">
        <f>+'Direct Expense'!K51</f>
        <v>0</v>
      </c>
      <c r="K27" s="32">
        <f>+'Direct Expense'!L51</f>
        <v>0</v>
      </c>
      <c r="L27" s="32">
        <f>+'Direct Expense'!M51</f>
        <v>0</v>
      </c>
      <c r="M27" s="32">
        <f>+'Direct Expense'!N51</f>
        <v>0</v>
      </c>
      <c r="N27" s="32">
        <f>+'Direct Expense'!O51</f>
        <v>0</v>
      </c>
      <c r="O27" s="32">
        <f>+'Direct Expense'!P51</f>
        <v>0</v>
      </c>
    </row>
    <row r="28" spans="1:15">
      <c r="A28" s="30" t="str">
        <f>+'Direct Expense'!$D$7</f>
        <v>103237</v>
      </c>
      <c r="B28" s="30" t="s">
        <v>116</v>
      </c>
      <c r="C28" s="32">
        <f>+'Direct Expense'!D52</f>
        <v>700</v>
      </c>
      <c r="D28" s="32">
        <f>+'Direct Expense'!E52</f>
        <v>700</v>
      </c>
      <c r="E28" s="32">
        <f>+'Direct Expense'!F52</f>
        <v>700</v>
      </c>
      <c r="F28" s="32">
        <f>+'Direct Expense'!G52</f>
        <v>700</v>
      </c>
      <c r="G28" s="32">
        <f>+'Direct Expense'!H52</f>
        <v>700</v>
      </c>
      <c r="H28" s="32">
        <f>+'Direct Expense'!I52</f>
        <v>700</v>
      </c>
      <c r="I28" s="32">
        <f>+'Direct Expense'!J52</f>
        <v>700</v>
      </c>
      <c r="J28" s="32">
        <f>+'Direct Expense'!K52</f>
        <v>700</v>
      </c>
      <c r="K28" s="32">
        <f>+'Direct Expense'!L52</f>
        <v>700</v>
      </c>
      <c r="L28" s="32">
        <f>+'Direct Expense'!M52</f>
        <v>700</v>
      </c>
      <c r="M28" s="32">
        <f>+'Direct Expense'!N52</f>
        <v>700</v>
      </c>
      <c r="N28" s="32">
        <f>+'Direct Expense'!O52</f>
        <v>700</v>
      </c>
      <c r="O28" s="32">
        <f>+'Direct Expense'!P52</f>
        <v>8400</v>
      </c>
    </row>
    <row r="29" spans="1:15">
      <c r="A29" s="30" t="str">
        <f>+'Direct Expense'!$D$7</f>
        <v>103237</v>
      </c>
      <c r="B29" s="30" t="s">
        <v>117</v>
      </c>
      <c r="C29" s="32">
        <f>+'Direct Expense'!D54</f>
        <v>3500</v>
      </c>
      <c r="D29" s="32">
        <f>+'Direct Expense'!E54</f>
        <v>7000</v>
      </c>
      <c r="E29" s="32">
        <f>+'Direct Expense'!F54</f>
        <v>3500</v>
      </c>
      <c r="F29" s="32">
        <f>+'Direct Expense'!G54</f>
        <v>3500</v>
      </c>
      <c r="G29" s="32">
        <f>+'Direct Expense'!H54</f>
        <v>7000</v>
      </c>
      <c r="H29" s="32">
        <f>+'Direct Expense'!I54</f>
        <v>3500</v>
      </c>
      <c r="I29" s="32">
        <f>+'Direct Expense'!J54</f>
        <v>3500</v>
      </c>
      <c r="J29" s="32">
        <f>+'Direct Expense'!K54</f>
        <v>7000</v>
      </c>
      <c r="K29" s="32">
        <f>+'Direct Expense'!L54</f>
        <v>3500</v>
      </c>
      <c r="L29" s="32">
        <f>+'Direct Expense'!M54</f>
        <v>3500</v>
      </c>
      <c r="M29" s="32">
        <f>+'Direct Expense'!N54</f>
        <v>3500</v>
      </c>
      <c r="N29" s="32">
        <f>+'Direct Expense'!O54</f>
        <v>3500</v>
      </c>
      <c r="O29" s="32">
        <f>+'Direct Expense'!P54</f>
        <v>52500</v>
      </c>
    </row>
    <row r="30" spans="1:15">
      <c r="A30" s="30" t="str">
        <f>+'Direct Expense'!$D$7</f>
        <v>103237</v>
      </c>
      <c r="B30" s="30" t="s">
        <v>118</v>
      </c>
      <c r="C30" s="32">
        <f>+'Direct Expense'!D55</f>
        <v>0</v>
      </c>
      <c r="D30" s="32">
        <f>+'Direct Expense'!E55</f>
        <v>0</v>
      </c>
      <c r="E30" s="32">
        <f>+'Direct Expense'!F55</f>
        <v>0</v>
      </c>
      <c r="F30" s="32">
        <f>+'Direct Expense'!G55</f>
        <v>0</v>
      </c>
      <c r="G30" s="32">
        <f>+'Direct Expense'!H55</f>
        <v>0</v>
      </c>
      <c r="H30" s="32">
        <f>+'Direct Expense'!I55</f>
        <v>0</v>
      </c>
      <c r="I30" s="32">
        <f>+'Direct Expense'!J55</f>
        <v>0</v>
      </c>
      <c r="J30" s="32">
        <f>+'Direct Expense'!K55</f>
        <v>0</v>
      </c>
      <c r="K30" s="32">
        <f>+'Direct Expense'!L55</f>
        <v>0</v>
      </c>
      <c r="L30" s="32">
        <f>+'Direct Expense'!M55</f>
        <v>0</v>
      </c>
      <c r="M30" s="32">
        <f>+'Direct Expense'!N55</f>
        <v>0</v>
      </c>
      <c r="N30" s="32">
        <f>+'Direct Expense'!O55</f>
        <v>0</v>
      </c>
      <c r="O30" s="32">
        <f>+'Direct Expense'!P55</f>
        <v>0</v>
      </c>
    </row>
    <row r="31" spans="1:15">
      <c r="A31" s="30" t="str">
        <f>+'Direct Expense'!$D$7</f>
        <v>103237</v>
      </c>
      <c r="B31" s="30" t="s">
        <v>119</v>
      </c>
      <c r="C31" s="32">
        <f>+'Direct Expense'!D56</f>
        <v>12586.840824037812</v>
      </c>
      <c r="D31" s="32">
        <f>+'Direct Expense'!E56</f>
        <v>12586.840824037812</v>
      </c>
      <c r="E31" s="32">
        <f>+'Direct Expense'!F56</f>
        <v>12586.840824037812</v>
      </c>
      <c r="F31" s="32">
        <f>+'Direct Expense'!G56</f>
        <v>12586.840824037812</v>
      </c>
      <c r="G31" s="32">
        <f>+'Direct Expense'!H56</f>
        <v>12586.840824037812</v>
      </c>
      <c r="H31" s="32">
        <f>+'Direct Expense'!I56</f>
        <v>12586.840824037812</v>
      </c>
      <c r="I31" s="32">
        <f>+'Direct Expense'!J56</f>
        <v>12586.840824037812</v>
      </c>
      <c r="J31" s="32">
        <f>+'Direct Expense'!K56</f>
        <v>12586.840824037812</v>
      </c>
      <c r="K31" s="32">
        <f>+'Direct Expense'!L56</f>
        <v>12586.840824037812</v>
      </c>
      <c r="L31" s="32">
        <f>+'Direct Expense'!M56</f>
        <v>12586.840824037812</v>
      </c>
      <c r="M31" s="32">
        <f>+'Direct Expense'!N56</f>
        <v>12586.840824037812</v>
      </c>
      <c r="N31" s="32">
        <f>+'Direct Expense'!O56</f>
        <v>12586.840824037812</v>
      </c>
      <c r="O31" s="32">
        <f>+'Direct Expense'!P56</f>
        <v>151042.08988845377</v>
      </c>
    </row>
    <row r="32" spans="1:15">
      <c r="A32" s="30" t="str">
        <f>+'Direct Expense'!$D$7</f>
        <v>103237</v>
      </c>
      <c r="B32" s="30" t="s">
        <v>120</v>
      </c>
      <c r="C32" s="32">
        <f>+'Direct Expense'!D57</f>
        <v>12000</v>
      </c>
      <c r="D32" s="32">
        <f>+'Direct Expense'!E57</f>
        <v>12000</v>
      </c>
      <c r="E32" s="32">
        <f>+'Direct Expense'!F57</f>
        <v>12000</v>
      </c>
      <c r="F32" s="32">
        <f>+'Direct Expense'!G57</f>
        <v>12000</v>
      </c>
      <c r="G32" s="32">
        <f>+'Direct Expense'!H57</f>
        <v>12000</v>
      </c>
      <c r="H32" s="32">
        <f>+'Direct Expense'!I57</f>
        <v>12000</v>
      </c>
      <c r="I32" s="32">
        <f>+'Direct Expense'!J57</f>
        <v>12000</v>
      </c>
      <c r="J32" s="32">
        <f>+'Direct Expense'!K57</f>
        <v>12000</v>
      </c>
      <c r="K32" s="32">
        <f>+'Direct Expense'!L57</f>
        <v>12000</v>
      </c>
      <c r="L32" s="32">
        <f>+'Direct Expense'!M57</f>
        <v>12000</v>
      </c>
      <c r="M32" s="32">
        <f>+'Direct Expense'!N57</f>
        <v>12000</v>
      </c>
      <c r="N32" s="32">
        <f>+'Direct Expense'!O57</f>
        <v>12000</v>
      </c>
      <c r="O32" s="32">
        <f>+'Direct Expense'!P57</f>
        <v>144000</v>
      </c>
    </row>
    <row r="33" spans="1:16">
      <c r="A33" s="30" t="str">
        <f>+'Direct Expense'!$D$7</f>
        <v>103237</v>
      </c>
      <c r="B33" s="30" t="s">
        <v>105</v>
      </c>
      <c r="C33" s="32">
        <f>+'Direct Expense'!D58+'Direct Expense'!D59</f>
        <v>44000</v>
      </c>
      <c r="D33" s="32">
        <f>+'Direct Expense'!E58+'Direct Expense'!E59</f>
        <v>44000</v>
      </c>
      <c r="E33" s="32">
        <f>+'Direct Expense'!F58+'Direct Expense'!F59</f>
        <v>44000</v>
      </c>
      <c r="F33" s="32">
        <f>+'Direct Expense'!G58+'Direct Expense'!G59</f>
        <v>44000</v>
      </c>
      <c r="G33" s="32">
        <f>+'Direct Expense'!H58+'Direct Expense'!H59</f>
        <v>44000</v>
      </c>
      <c r="H33" s="32">
        <f>+'Direct Expense'!I58+'Direct Expense'!I59</f>
        <v>44000</v>
      </c>
      <c r="I33" s="32">
        <f>+'Direct Expense'!J58+'Direct Expense'!J59</f>
        <v>44000</v>
      </c>
      <c r="J33" s="32">
        <f>+'Direct Expense'!K58+'Direct Expense'!K59</f>
        <v>44000</v>
      </c>
      <c r="K33" s="32">
        <f>+'Direct Expense'!L58+'Direct Expense'!L59</f>
        <v>44000</v>
      </c>
      <c r="L33" s="32">
        <f>+'Direct Expense'!M58+'Direct Expense'!M59</f>
        <v>44000</v>
      </c>
      <c r="M33" s="32">
        <f>+'Direct Expense'!N58+'Direct Expense'!N59</f>
        <v>44000</v>
      </c>
      <c r="N33" s="32">
        <f>+'Direct Expense'!O58+'Direct Expense'!O59</f>
        <v>44000</v>
      </c>
      <c r="O33" s="32">
        <f>+'Direct Expense'!P58+'Direct Expense'!P59</f>
        <v>528000</v>
      </c>
    </row>
    <row r="34" spans="1:16">
      <c r="A34" s="30" t="str">
        <f>+'Direct Expense'!$D$7</f>
        <v>103237</v>
      </c>
      <c r="B34" s="30" t="s">
        <v>121</v>
      </c>
      <c r="C34" s="32">
        <f>+'Direct Expense'!D61</f>
        <v>0</v>
      </c>
      <c r="D34" s="32">
        <f>+'Direct Expense'!E61</f>
        <v>0</v>
      </c>
      <c r="E34" s="32">
        <f>+'Direct Expense'!F61</f>
        <v>0</v>
      </c>
      <c r="F34" s="32">
        <f>+'Direct Expense'!G61</f>
        <v>0</v>
      </c>
      <c r="G34" s="32">
        <f>+'Direct Expense'!H61</f>
        <v>0</v>
      </c>
      <c r="H34" s="32">
        <f>+'Direct Expense'!I61</f>
        <v>0</v>
      </c>
      <c r="I34" s="32">
        <f>+'Direct Expense'!J61</f>
        <v>0</v>
      </c>
      <c r="J34" s="32">
        <f>+'Direct Expense'!K61</f>
        <v>0</v>
      </c>
      <c r="K34" s="32">
        <f>+'Direct Expense'!L61</f>
        <v>0</v>
      </c>
      <c r="L34" s="32">
        <f>+'Direct Expense'!M61</f>
        <v>0</v>
      </c>
      <c r="M34" s="32">
        <f>+'Direct Expense'!N61</f>
        <v>0</v>
      </c>
      <c r="N34" s="32">
        <f>+'Direct Expense'!O61</f>
        <v>0</v>
      </c>
      <c r="O34" s="32">
        <f>+'Direct Expense'!P61</f>
        <v>0</v>
      </c>
    </row>
    <row r="35" spans="1:16">
      <c r="A35" s="30" t="str">
        <f>+'Direct Expense'!$D$7</f>
        <v>103237</v>
      </c>
      <c r="B35" s="30" t="s">
        <v>122</v>
      </c>
      <c r="C35" s="32">
        <f>+'Direct Expense'!D62</f>
        <v>0</v>
      </c>
      <c r="D35" s="32">
        <f>+'Direct Expense'!E62</f>
        <v>0</v>
      </c>
      <c r="E35" s="32">
        <f>+'Direct Expense'!F62</f>
        <v>0</v>
      </c>
      <c r="F35" s="32">
        <f>+'Direct Expense'!G62</f>
        <v>0</v>
      </c>
      <c r="G35" s="32">
        <f>+'Direct Expense'!H62</f>
        <v>0</v>
      </c>
      <c r="H35" s="32">
        <f>+'Direct Expense'!I62</f>
        <v>0</v>
      </c>
      <c r="I35" s="32">
        <f>+'Direct Expense'!J62</f>
        <v>0</v>
      </c>
      <c r="J35" s="32">
        <f>+'Direct Expense'!K62</f>
        <v>0</v>
      </c>
      <c r="K35" s="32">
        <f>+'Direct Expense'!L62</f>
        <v>0</v>
      </c>
      <c r="L35" s="32">
        <f>+'Direct Expense'!M62</f>
        <v>0</v>
      </c>
      <c r="M35" s="32">
        <f>+'Direct Expense'!N62</f>
        <v>0</v>
      </c>
      <c r="N35" s="32">
        <f>+'Direct Expense'!O62</f>
        <v>0</v>
      </c>
      <c r="O35" s="32">
        <f>+'Direct Expense'!P62</f>
        <v>0</v>
      </c>
    </row>
    <row r="36" spans="1:16">
      <c r="A36" s="30" t="str">
        <f>+'Direct Expense'!$D$7</f>
        <v>103237</v>
      </c>
      <c r="B36" s="30" t="s">
        <v>123</v>
      </c>
      <c r="C36" s="32">
        <f>+'Direct Expense'!D64</f>
        <v>0</v>
      </c>
      <c r="D36" s="32">
        <f>+'Direct Expense'!E64</f>
        <v>0</v>
      </c>
      <c r="E36" s="32">
        <f>+'Direct Expense'!F64</f>
        <v>0</v>
      </c>
      <c r="F36" s="32">
        <f>+'Direct Expense'!G64</f>
        <v>0</v>
      </c>
      <c r="G36" s="32">
        <f>+'Direct Expense'!H64</f>
        <v>0</v>
      </c>
      <c r="H36" s="32">
        <f>+'Direct Expense'!I64</f>
        <v>0</v>
      </c>
      <c r="I36" s="32">
        <f>+'Direct Expense'!J64</f>
        <v>0</v>
      </c>
      <c r="J36" s="32">
        <f>+'Direct Expense'!K64</f>
        <v>0</v>
      </c>
      <c r="K36" s="32">
        <f>+'Direct Expense'!L64</f>
        <v>0</v>
      </c>
      <c r="L36" s="32">
        <f>+'Direct Expense'!M64</f>
        <v>0</v>
      </c>
      <c r="M36" s="32">
        <f>+'Direct Expense'!N64</f>
        <v>0</v>
      </c>
      <c r="N36" s="32">
        <f>+'Direct Expense'!O64</f>
        <v>0</v>
      </c>
      <c r="O36" s="32">
        <f>+'Direct Expense'!P64</f>
        <v>0</v>
      </c>
    </row>
    <row r="37" spans="1:16"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</row>
    <row r="38" spans="1:16">
      <c r="C38" s="34">
        <f>SUM(C7:C37)</f>
        <v>333703.38249070442</v>
      </c>
      <c r="D38" s="34">
        <f t="shared" ref="D38:N38" si="0">SUM(D7:D37)</f>
        <v>349205.21131014894</v>
      </c>
      <c r="E38" s="34">
        <f t="shared" si="0"/>
        <v>345705.21131014894</v>
      </c>
      <c r="F38" s="34">
        <f t="shared" si="0"/>
        <v>345705.21131014894</v>
      </c>
      <c r="G38" s="34">
        <f t="shared" si="0"/>
        <v>349205.21131014894</v>
      </c>
      <c r="H38" s="34">
        <f t="shared" si="0"/>
        <v>345705.21131014894</v>
      </c>
      <c r="I38" s="34">
        <f t="shared" si="0"/>
        <v>345705.21131014894</v>
      </c>
      <c r="J38" s="34">
        <f t="shared" si="0"/>
        <v>349205.21131014894</v>
      </c>
      <c r="K38" s="34">
        <f t="shared" si="0"/>
        <v>345705.21131014894</v>
      </c>
      <c r="L38" s="34">
        <f t="shared" si="0"/>
        <v>345705.21131014894</v>
      </c>
      <c r="M38" s="34">
        <f t="shared" si="0"/>
        <v>345705.21131014894</v>
      </c>
      <c r="N38" s="34">
        <f t="shared" si="0"/>
        <v>345705.21131014894</v>
      </c>
      <c r="O38" s="34">
        <f>SUM(C38:N38)</f>
        <v>4146960.7069023438</v>
      </c>
      <c r="P38" s="1" t="s">
        <v>129</v>
      </c>
    </row>
    <row r="39" spans="1:16">
      <c r="B39" s="5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4">
        <f>+O38-'Direct Expense'!P65</f>
        <v>0</v>
      </c>
      <c r="P39" s="5" t="s">
        <v>130</v>
      </c>
    </row>
  </sheetData>
  <sheetProtection password="CDF2" sheet="1" objects="1" scenarios="1"/>
  <pageMargins left="0.75" right="0.75" top="1" bottom="1" header="0.5" footer="0.5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8"/>
  <sheetViews>
    <sheetView workbookViewId="0"/>
  </sheetViews>
  <sheetFormatPr defaultColWidth="14.33203125" defaultRowHeight="13.2"/>
  <cols>
    <col min="1" max="1" width="13.77734375" style="182" customWidth="1"/>
    <col min="2" max="2" width="9.6640625" style="182" customWidth="1"/>
    <col min="3" max="3" width="14.33203125" style="182" customWidth="1"/>
    <col min="4" max="4" width="19" style="182" customWidth="1"/>
    <col min="5" max="5" width="14.33203125" style="182" customWidth="1"/>
    <col min="6" max="6" width="4.77734375" style="182" customWidth="1"/>
    <col min="7" max="7" width="20.44140625" style="182" bestFit="1" customWidth="1"/>
    <col min="8" max="8" width="6" style="182" customWidth="1"/>
    <col min="9" max="9" width="14.33203125" style="182" customWidth="1"/>
    <col min="10" max="10" width="5.77734375" style="182" customWidth="1"/>
    <col min="11" max="16384" width="14.33203125" style="182"/>
  </cols>
  <sheetData>
    <row r="1" spans="1:13">
      <c r="A1"/>
      <c r="B1"/>
      <c r="C1"/>
      <c r="D1"/>
      <c r="E1"/>
      <c r="F1"/>
      <c r="G1"/>
      <c r="H1"/>
      <c r="I1"/>
    </row>
    <row r="2" spans="1:13">
      <c r="A2"/>
      <c r="B2"/>
      <c r="C2"/>
      <c r="D2"/>
      <c r="E2"/>
      <c r="F2"/>
      <c r="G2"/>
      <c r="H2"/>
      <c r="I2"/>
    </row>
    <row r="3" spans="1:13">
      <c r="A3"/>
      <c r="B3"/>
      <c r="C3"/>
      <c r="D3"/>
      <c r="E3"/>
      <c r="F3"/>
      <c r="G3"/>
      <c r="H3"/>
      <c r="I3"/>
    </row>
    <row r="4" spans="1:13">
      <c r="A4"/>
      <c r="B4"/>
      <c r="C4"/>
      <c r="D4"/>
      <c r="E4"/>
      <c r="F4"/>
      <c r="G4"/>
      <c r="H4"/>
      <c r="I4"/>
    </row>
    <row r="5" spans="1:13">
      <c r="A5"/>
      <c r="B5"/>
      <c r="C5"/>
      <c r="D5"/>
      <c r="E5"/>
      <c r="F5"/>
      <c r="G5"/>
      <c r="H5"/>
      <c r="I5"/>
    </row>
    <row r="6" spans="1:13">
      <c r="A6"/>
      <c r="B6"/>
      <c r="C6"/>
      <c r="D6"/>
      <c r="E6"/>
      <c r="F6"/>
      <c r="G6"/>
      <c r="H6"/>
      <c r="I6"/>
    </row>
    <row r="7" spans="1:13">
      <c r="A7"/>
      <c r="B7"/>
      <c r="C7"/>
      <c r="D7"/>
      <c r="E7"/>
      <c r="F7"/>
      <c r="G7"/>
      <c r="H7"/>
      <c r="I7"/>
    </row>
    <row r="8" spans="1:13">
      <c r="A8"/>
      <c r="B8"/>
      <c r="C8"/>
      <c r="D8"/>
      <c r="E8"/>
      <c r="F8"/>
      <c r="G8"/>
      <c r="H8"/>
      <c r="I8"/>
    </row>
    <row r="10" spans="1:13" ht="15" hidden="1">
      <c r="A10" s="183" t="s">
        <v>609</v>
      </c>
    </row>
    <row r="11" spans="1:13" hidden="1"/>
    <row r="12" spans="1:13" ht="15" hidden="1">
      <c r="B12" s="184" t="s">
        <v>610</v>
      </c>
      <c r="E12" s="185"/>
      <c r="G12" s="198">
        <v>0</v>
      </c>
    </row>
    <row r="13" spans="1:13" hidden="1"/>
    <row r="15" spans="1:13" ht="15">
      <c r="A15" s="183" t="s">
        <v>611</v>
      </c>
      <c r="C15" s="186"/>
      <c r="D15" s="186"/>
      <c r="E15"/>
      <c r="F15" s="187"/>
      <c r="G15"/>
      <c r="H15"/>
      <c r="I15"/>
      <c r="J15"/>
      <c r="K15"/>
      <c r="L15"/>
      <c r="M15"/>
    </row>
    <row r="16" spans="1:13" ht="15">
      <c r="B16" s="184"/>
      <c r="C16" s="184"/>
      <c r="D16" s="184"/>
      <c r="E16" s="184"/>
      <c r="F16" s="184"/>
      <c r="G16"/>
      <c r="H16"/>
      <c r="I16"/>
      <c r="J16"/>
      <c r="K16"/>
      <c r="L16"/>
      <c r="M16"/>
    </row>
    <row r="17" spans="2:13" ht="15">
      <c r="B17" s="184" t="s">
        <v>356</v>
      </c>
      <c r="C17" s="184"/>
      <c r="D17" s="184"/>
      <c r="E17" s="185">
        <f>'Direct Expense'!P14/1000+'Direct Expense'!P58/1000</f>
        <v>2057.563194444444</v>
      </c>
      <c r="F17" s="185"/>
      <c r="G17"/>
      <c r="H17"/>
      <c r="I17"/>
      <c r="J17"/>
      <c r="K17"/>
      <c r="L17"/>
      <c r="M17"/>
    </row>
    <row r="18" spans="2:13" ht="15">
      <c r="B18" s="184" t="s">
        <v>357</v>
      </c>
      <c r="C18" s="186"/>
      <c r="D18" s="184"/>
      <c r="E18" s="185">
        <f>'Direct Expense'!P25/1000+'Direct Expense'!P26/1000+'Direct Expense'!P30/1000+'Direct Expense'!P37/1000+'Direct Expense'!P46/1000+'Direct Expense'!P47/1000</f>
        <v>951.6</v>
      </c>
      <c r="F18" s="185"/>
      <c r="G18"/>
      <c r="H18"/>
      <c r="I18"/>
      <c r="J18"/>
      <c r="K18"/>
      <c r="L18"/>
      <c r="M18"/>
    </row>
    <row r="19" spans="2:13" ht="15">
      <c r="B19" s="184" t="s">
        <v>358</v>
      </c>
      <c r="C19" s="184"/>
      <c r="D19" s="184"/>
      <c r="E19" s="185"/>
      <c r="F19" s="185"/>
      <c r="G19"/>
      <c r="H19"/>
      <c r="I19"/>
      <c r="J19"/>
      <c r="K19"/>
      <c r="L19"/>
      <c r="M19"/>
    </row>
    <row r="20" spans="2:13" ht="15">
      <c r="B20" s="184"/>
      <c r="C20" s="184" t="s">
        <v>359</v>
      </c>
      <c r="D20" s="184"/>
      <c r="E20" s="185">
        <f>'Direct Expense'!P38/1000+'Direct Expense'!P39/1000+'Direct Expense'!P40/1000+'Direct Expense'!P41/1000+'Direct Expense'!P42/1000+'Direct Expense'!P43/1000</f>
        <v>32.700000000000003</v>
      </c>
      <c r="F20" s="185"/>
      <c r="G20"/>
      <c r="H20"/>
      <c r="I20"/>
      <c r="J20"/>
      <c r="K20"/>
      <c r="L20"/>
      <c r="M20"/>
    </row>
    <row r="21" spans="2:13" ht="15">
      <c r="B21" s="184"/>
      <c r="C21" s="184" t="s">
        <v>360</v>
      </c>
      <c r="D21" s="184"/>
      <c r="E21" s="185">
        <f>'Direct Expense'!P36/1000</f>
        <v>249</v>
      </c>
      <c r="F21" s="185"/>
      <c r="G21"/>
      <c r="H21"/>
      <c r="I21"/>
      <c r="J21"/>
      <c r="K21"/>
      <c r="L21"/>
      <c r="M21"/>
    </row>
    <row r="22" spans="2:13" ht="15">
      <c r="B22" s="184"/>
      <c r="C22" s="184" t="s">
        <v>361</v>
      </c>
      <c r="D22" s="184"/>
      <c r="E22" s="185">
        <f>'Direct Expense'!P54/1000</f>
        <v>52.5</v>
      </c>
      <c r="F22" s="185"/>
      <c r="G22"/>
      <c r="H22"/>
      <c r="I22"/>
      <c r="J22"/>
      <c r="K22"/>
      <c r="L22"/>
      <c r="M22"/>
    </row>
    <row r="23" spans="2:13" ht="15">
      <c r="B23" s="184"/>
      <c r="C23" s="184" t="s">
        <v>362</v>
      </c>
      <c r="D23" s="184"/>
      <c r="E23" s="185">
        <f>'Direct Expense'!P27/1000+'Direct Expense'!P28/1000+'Direct Expense'!P29/1000+'Direct Expense'!P31/1000+'Direct Expense'!P45/1000+'Direct Expense'!P48/1000+'Direct Expense'!P50/1000+'Direct Expense'!P51/1000+'Direct Expense'!P52/1000+'Direct Expense'!P55/1000+'Direct Expense'!P61/1000+'Direct Expense'!P62/1000+'Direct Expense'!P64/1000+'Direct Expense'!P59/1000</f>
        <v>188.4</v>
      </c>
      <c r="F23" s="185"/>
      <c r="G23"/>
      <c r="H23"/>
      <c r="I23"/>
      <c r="J23"/>
      <c r="K23"/>
      <c r="L23"/>
      <c r="M23"/>
    </row>
    <row r="24" spans="2:13" ht="15">
      <c r="B24" s="184"/>
      <c r="C24" s="184"/>
      <c r="D24" s="184"/>
      <c r="E24" s="188"/>
      <c r="F24" s="185"/>
      <c r="G24"/>
      <c r="H24"/>
      <c r="I24"/>
      <c r="J24"/>
      <c r="K24"/>
      <c r="L24"/>
      <c r="M24"/>
    </row>
    <row r="25" spans="2:13" ht="15">
      <c r="B25" s="184"/>
      <c r="C25" s="184" t="s">
        <v>363</v>
      </c>
      <c r="D25" s="184"/>
      <c r="E25" s="189">
        <f>SUM(E17:E23)</f>
        <v>3531.7631944444438</v>
      </c>
      <c r="F25" s="185"/>
      <c r="G25"/>
      <c r="H25"/>
      <c r="I25"/>
      <c r="J25"/>
      <c r="K25"/>
      <c r="L25"/>
      <c r="M25"/>
    </row>
    <row r="26" spans="2:13" ht="15">
      <c r="B26" s="184"/>
      <c r="C26" s="184"/>
      <c r="D26" s="184"/>
      <c r="E26" s="185"/>
      <c r="F26" s="185"/>
      <c r="G26"/>
      <c r="H26"/>
      <c r="I26"/>
      <c r="J26"/>
      <c r="K26"/>
      <c r="L26"/>
      <c r="M26"/>
    </row>
    <row r="27" spans="2:13" ht="15">
      <c r="B27" s="184" t="s">
        <v>364</v>
      </c>
      <c r="C27" s="184"/>
      <c r="D27" s="184"/>
      <c r="E27" s="185">
        <f>'Direct Expense'!P16/1000</f>
        <v>105.14126388888887</v>
      </c>
      <c r="F27" s="185"/>
      <c r="G27"/>
      <c r="H27"/>
      <c r="I27"/>
      <c r="J27"/>
      <c r="K27"/>
      <c r="L27"/>
      <c r="M27"/>
    </row>
    <row r="28" spans="2:13" ht="15">
      <c r="B28" s="184" t="s">
        <v>365</v>
      </c>
      <c r="C28" s="184"/>
      <c r="D28" s="184"/>
      <c r="E28" s="185">
        <f>'Direct Expense'!P15/1000</f>
        <v>215.01415868055565</v>
      </c>
      <c r="F28" s="185"/>
      <c r="G28"/>
      <c r="H28"/>
      <c r="I28"/>
      <c r="J28"/>
      <c r="K28"/>
      <c r="L28"/>
      <c r="M28"/>
    </row>
    <row r="29" spans="2:13" ht="15">
      <c r="B29" s="184" t="s">
        <v>366</v>
      </c>
      <c r="C29" s="184"/>
      <c r="D29" s="184"/>
      <c r="E29" s="185">
        <f>'Direct Expense'!P56/1000</f>
        <v>151.04208988845377</v>
      </c>
      <c r="F29" s="185"/>
      <c r="G29"/>
      <c r="H29"/>
      <c r="I29"/>
      <c r="J29"/>
      <c r="K29"/>
      <c r="L29"/>
      <c r="M29"/>
    </row>
    <row r="30" spans="2:13" ht="15">
      <c r="B30" s="184" t="s">
        <v>367</v>
      </c>
      <c r="C30" s="184"/>
      <c r="D30" s="184"/>
      <c r="E30" s="188">
        <f>'Direct Expense'!P57/1000</f>
        <v>144</v>
      </c>
      <c r="F30" s="185"/>
      <c r="G30"/>
      <c r="H30"/>
      <c r="I30"/>
      <c r="J30"/>
      <c r="K30"/>
      <c r="L30"/>
      <c r="M30"/>
    </row>
    <row r="31" spans="2:13" ht="15">
      <c r="C31" s="184"/>
      <c r="D31" s="184"/>
      <c r="E31" s="185"/>
      <c r="F31" s="185"/>
      <c r="G31" s="166"/>
      <c r="H31"/>
      <c r="I31"/>
      <c r="J31"/>
      <c r="K31"/>
      <c r="L31"/>
      <c r="M31"/>
    </row>
    <row r="32" spans="2:13" ht="15">
      <c r="C32" s="190" t="s">
        <v>612</v>
      </c>
      <c r="D32" s="191"/>
      <c r="F32" s="192"/>
      <c r="G32" s="192">
        <f>E25+E27+E28+E29+E30</f>
        <v>4146.9607069023423</v>
      </c>
      <c r="H32"/>
      <c r="I32"/>
      <c r="J32"/>
      <c r="K32"/>
      <c r="L32"/>
      <c r="M32"/>
    </row>
    <row r="33" spans="1:13" ht="15">
      <c r="C33" s="184"/>
      <c r="D33" s="184"/>
      <c r="E33" s="185"/>
      <c r="F33" s="185"/>
      <c r="G33"/>
      <c r="H33"/>
      <c r="I33"/>
      <c r="J33"/>
      <c r="K33"/>
      <c r="L33"/>
      <c r="M33"/>
    </row>
    <row r="34" spans="1:13" ht="15">
      <c r="B34" s="184" t="s">
        <v>608</v>
      </c>
      <c r="C34" s="184"/>
      <c r="D34" s="184"/>
      <c r="E34" s="185"/>
      <c r="F34" s="185"/>
      <c r="G34" s="192">
        <f>'Cash and Non-Cash'!P86/1000</f>
        <v>347.75731549549334</v>
      </c>
      <c r="H34"/>
      <c r="I34"/>
      <c r="J34"/>
      <c r="K34"/>
      <c r="L34"/>
      <c r="M34"/>
    </row>
    <row r="35" spans="1:13" ht="15">
      <c r="C35" s="184"/>
      <c r="D35" s="184"/>
      <c r="E35" s="185"/>
      <c r="F35" s="185"/>
      <c r="G35"/>
      <c r="H35"/>
      <c r="I35"/>
      <c r="J35"/>
      <c r="K35"/>
      <c r="L35"/>
      <c r="M35"/>
    </row>
    <row r="36" spans="1:13" ht="15.6" thickBot="1">
      <c r="C36" s="184"/>
      <c r="D36" s="190" t="s">
        <v>368</v>
      </c>
      <c r="E36" s="185"/>
      <c r="F36" s="185"/>
      <c r="G36" s="193">
        <f>G12-G32-G34</f>
        <v>-4494.7180223978357</v>
      </c>
      <c r="H36"/>
      <c r="I36"/>
      <c r="J36"/>
      <c r="K36"/>
      <c r="L36"/>
      <c r="M36"/>
    </row>
    <row r="37" spans="1:13" ht="15.6" thickTop="1">
      <c r="C37" s="184"/>
      <c r="D37" s="184"/>
      <c r="E37" s="185"/>
      <c r="F37" s="185"/>
      <c r="G37"/>
      <c r="H37"/>
      <c r="I37" s="194"/>
      <c r="J37"/>
      <c r="K37"/>
      <c r="L37"/>
      <c r="M37"/>
    </row>
    <row r="38" spans="1:13" ht="15">
      <c r="C38" s="184"/>
      <c r="D38" s="184"/>
      <c r="E38" s="185"/>
      <c r="F38" s="185"/>
      <c r="G38"/>
      <c r="H38"/>
      <c r="I38"/>
      <c r="J38"/>
      <c r="K38"/>
      <c r="L38"/>
      <c r="M38"/>
    </row>
    <row r="39" spans="1:13" ht="15">
      <c r="B39" s="184" t="s">
        <v>369</v>
      </c>
      <c r="C39" s="184"/>
      <c r="D39" s="184"/>
      <c r="E39" s="184"/>
      <c r="F39" s="184"/>
      <c r="G39" s="199">
        <f>Capital!J26/1000</f>
        <v>0</v>
      </c>
      <c r="H39"/>
      <c r="I39"/>
      <c r="J39"/>
      <c r="K39"/>
      <c r="L39"/>
      <c r="M39"/>
    </row>
    <row r="40" spans="1:13" ht="15">
      <c r="C40" s="184"/>
      <c r="D40" s="184"/>
      <c r="E40" s="185"/>
      <c r="F40" s="185"/>
      <c r="G40"/>
      <c r="H40"/>
      <c r="I40"/>
      <c r="J40"/>
      <c r="K40"/>
      <c r="L40"/>
      <c r="M40"/>
    </row>
    <row r="41" spans="1:13" ht="15">
      <c r="C41" s="184"/>
      <c r="D41" s="184"/>
      <c r="E41" s="185"/>
      <c r="F41" s="185"/>
      <c r="G41"/>
      <c r="H41"/>
      <c r="I41"/>
      <c r="J41"/>
      <c r="K41"/>
      <c r="L41"/>
      <c r="M41"/>
    </row>
    <row r="42" spans="1:13" ht="15">
      <c r="A42" s="183" t="s">
        <v>370</v>
      </c>
      <c r="C42"/>
      <c r="G42"/>
      <c r="H42"/>
      <c r="I42"/>
      <c r="J42"/>
      <c r="K42"/>
      <c r="L42"/>
      <c r="M42"/>
    </row>
    <row r="43" spans="1:13">
      <c r="G43"/>
      <c r="H43"/>
      <c r="I43"/>
      <c r="J43"/>
      <c r="K43"/>
      <c r="L43"/>
      <c r="M43"/>
    </row>
    <row r="44" spans="1:13" ht="15">
      <c r="B44" s="184" t="s">
        <v>371</v>
      </c>
      <c r="C44" s="184"/>
      <c r="E44" s="188">
        <v>11</v>
      </c>
      <c r="F44" s="195"/>
      <c r="G44"/>
      <c r="H44"/>
      <c r="I44"/>
      <c r="J44"/>
      <c r="K44"/>
      <c r="L44"/>
      <c r="M44"/>
    </row>
    <row r="45" spans="1:13" ht="15">
      <c r="B45" s="184" t="s">
        <v>372</v>
      </c>
      <c r="C45" s="184"/>
      <c r="E45" s="188">
        <v>0</v>
      </c>
      <c r="F45" s="195"/>
      <c r="G45"/>
      <c r="H45"/>
      <c r="I45"/>
      <c r="J45"/>
      <c r="K45"/>
      <c r="L45"/>
      <c r="M45"/>
    </row>
    <row r="46" spans="1:13" ht="15">
      <c r="B46" s="184" t="s">
        <v>373</v>
      </c>
      <c r="C46" s="184"/>
      <c r="E46" s="196">
        <v>9</v>
      </c>
      <c r="F46" s="195"/>
      <c r="G46"/>
      <c r="H46"/>
      <c r="I46"/>
      <c r="J46"/>
      <c r="K46"/>
      <c r="L46"/>
      <c r="M46"/>
    </row>
    <row r="47" spans="1:13" ht="15">
      <c r="C47" s="184"/>
      <c r="E47" s="195"/>
      <c r="F47" s="195"/>
      <c r="G47"/>
      <c r="H47"/>
      <c r="I47"/>
      <c r="J47"/>
      <c r="K47"/>
      <c r="L47"/>
      <c r="M47"/>
    </row>
    <row r="48" spans="1:13" ht="15.6" thickBot="1">
      <c r="C48" s="190" t="s">
        <v>374</v>
      </c>
      <c r="E48" s="197">
        <f>SUM(E44:E46)</f>
        <v>20</v>
      </c>
      <c r="F48" s="195"/>
      <c r="G48"/>
      <c r="H48"/>
      <c r="I48"/>
      <c r="J48"/>
      <c r="K48"/>
      <c r="L48"/>
      <c r="M48"/>
    </row>
    <row r="49" spans="7:13" ht="13.8" thickTop="1">
      <c r="G49"/>
      <c r="H49"/>
      <c r="I49"/>
      <c r="J49"/>
      <c r="K49"/>
      <c r="L49"/>
      <c r="M49"/>
    </row>
    <row r="50" spans="7:13">
      <c r="G50"/>
      <c r="H50"/>
      <c r="I50"/>
      <c r="J50"/>
      <c r="K50"/>
      <c r="L50"/>
      <c r="M50"/>
    </row>
    <row r="51" spans="7:13">
      <c r="G51"/>
      <c r="H51"/>
      <c r="I51"/>
      <c r="J51"/>
      <c r="K51"/>
      <c r="L51"/>
      <c r="M51"/>
    </row>
    <row r="52" spans="7:13">
      <c r="G52"/>
      <c r="H52"/>
      <c r="I52"/>
      <c r="J52"/>
      <c r="K52"/>
      <c r="L52"/>
      <c r="M52"/>
    </row>
    <row r="53" spans="7:13">
      <c r="G53"/>
      <c r="H53"/>
      <c r="I53"/>
      <c r="J53"/>
      <c r="K53"/>
      <c r="L53"/>
      <c r="M53"/>
    </row>
    <row r="54" spans="7:13">
      <c r="G54"/>
      <c r="H54"/>
      <c r="I54"/>
      <c r="J54"/>
      <c r="K54"/>
      <c r="L54"/>
      <c r="M54"/>
    </row>
    <row r="55" spans="7:13">
      <c r="G55"/>
      <c r="H55"/>
      <c r="I55"/>
      <c r="J55"/>
      <c r="K55"/>
      <c r="L55"/>
      <c r="M55"/>
    </row>
    <row r="56" spans="7:13">
      <c r="G56"/>
      <c r="H56"/>
      <c r="I56"/>
      <c r="J56"/>
      <c r="K56"/>
      <c r="L56"/>
      <c r="M56"/>
    </row>
    <row r="57" spans="7:13">
      <c r="G57"/>
      <c r="H57"/>
      <c r="I57"/>
      <c r="J57"/>
      <c r="K57"/>
      <c r="L57"/>
      <c r="M57"/>
    </row>
    <row r="58" spans="7:13">
      <c r="G58"/>
      <c r="H58"/>
      <c r="I58"/>
      <c r="J58"/>
      <c r="K58"/>
      <c r="L58"/>
      <c r="M58"/>
    </row>
  </sheetData>
  <pageMargins left="0.45" right="0.63" top="0.52" bottom="0.3" header="0.25" footer="0.22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PhotoEd.3" shapeId="8194" r:id="rId4">
          <objectPr defaultSize="0" r:id="rId5">
            <anchor moveWithCells="1">
              <from>
                <xdr:col>0</xdr:col>
                <xdr:colOff>327660</xdr:colOff>
                <xdr:row>0</xdr:row>
                <xdr:rowOff>137160</xdr:rowOff>
              </from>
              <to>
                <xdr:col>1</xdr:col>
                <xdr:colOff>53340</xdr:colOff>
                <xdr:row>4</xdr:row>
                <xdr:rowOff>45720</xdr:rowOff>
              </to>
            </anchor>
          </objectPr>
        </oleObject>
      </mc:Choice>
      <mc:Fallback>
        <oleObject progId="MSPhotoEd.3" shapeId="8194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P47"/>
  <sheetViews>
    <sheetView tabSelected="1" zoomScale="90" workbookViewId="0">
      <pane xSplit="2" ySplit="11" topLeftCell="M12" activePane="bottomRight" state="frozen"/>
      <selection pane="topRight" activeCell="C1" sqref="C1"/>
      <selection pane="bottomLeft" activeCell="A12" sqref="A12"/>
      <selection pane="bottomRight" activeCell="O16" sqref="O16:O26"/>
    </sheetView>
  </sheetViews>
  <sheetFormatPr defaultColWidth="9.33203125" defaultRowHeight="13.8"/>
  <cols>
    <col min="1" max="1" width="33.33203125" style="1" customWidth="1"/>
    <col min="2" max="2" width="1.44140625" style="1" customWidth="1"/>
    <col min="3" max="15" width="13.77734375" style="1" customWidth="1"/>
    <col min="16" max="16" width="11.77734375" style="1" customWidth="1"/>
    <col min="17" max="16384" width="9.33203125" style="1"/>
  </cols>
  <sheetData>
    <row r="1" spans="1:16" s="21" customFormat="1" ht="9.75" customHeight="1">
      <c r="A1" s="36"/>
      <c r="B1" s="37"/>
      <c r="C1" s="37"/>
      <c r="D1" s="37"/>
    </row>
    <row r="2" spans="1:16" s="41" customFormat="1" ht="27" customHeight="1">
      <c r="A2" s="38" t="s">
        <v>178</v>
      </c>
      <c r="B2" s="38"/>
      <c r="C2" s="38"/>
      <c r="D2" s="38"/>
      <c r="E2" s="39"/>
      <c r="F2" s="39"/>
      <c r="G2" s="39"/>
      <c r="H2" s="40"/>
    </row>
    <row r="3" spans="1:16" s="41" customFormat="1" ht="27" customHeight="1">
      <c r="A3" s="38" t="s">
        <v>135</v>
      </c>
      <c r="B3" s="38"/>
      <c r="C3" s="38"/>
      <c r="D3" s="38"/>
      <c r="E3" s="39"/>
      <c r="F3" s="39"/>
      <c r="G3" s="39"/>
      <c r="H3" s="40"/>
      <c r="P3" s="42" t="s">
        <v>179</v>
      </c>
    </row>
    <row r="4" spans="1:16" s="14" customFormat="1" ht="13.5" customHeight="1">
      <c r="B4" s="15"/>
      <c r="C4" s="2"/>
      <c r="D4" s="2"/>
      <c r="G4" s="16"/>
      <c r="H4" s="16"/>
      <c r="I4" s="19"/>
    </row>
    <row r="5" spans="1:16" s="14" customFormat="1" ht="14.25" customHeight="1" thickBot="1">
      <c r="A5" s="77" t="s">
        <v>126</v>
      </c>
      <c r="B5" s="78"/>
      <c r="C5" s="79" t="s">
        <v>348</v>
      </c>
      <c r="D5" s="86"/>
    </row>
    <row r="6" spans="1:16" s="14" customFormat="1" ht="14.25" customHeight="1" thickBot="1">
      <c r="A6" s="77" t="s">
        <v>128</v>
      </c>
      <c r="B6" s="78"/>
      <c r="C6" s="79" t="s">
        <v>349</v>
      </c>
      <c r="D6" s="86"/>
    </row>
    <row r="7" spans="1:16" s="14" customFormat="1" ht="14.25" customHeight="1" thickBot="1">
      <c r="A7" s="15" t="s">
        <v>141</v>
      </c>
      <c r="C7" s="72" t="s">
        <v>350</v>
      </c>
      <c r="D7" s="86"/>
      <c r="H7" s="16"/>
      <c r="N7" s="43" t="s">
        <v>133</v>
      </c>
      <c r="O7" s="81">
        <v>36797</v>
      </c>
    </row>
    <row r="8" spans="1:16" s="14" customFormat="1" ht="14.4" thickBot="1">
      <c r="A8" s="15" t="s">
        <v>140</v>
      </c>
      <c r="B8" s="15"/>
      <c r="C8" s="72" t="s">
        <v>349</v>
      </c>
      <c r="D8" s="2"/>
      <c r="H8" s="16"/>
      <c r="N8" s="73" t="s">
        <v>148</v>
      </c>
    </row>
    <row r="9" spans="1:16" s="14" customFormat="1">
      <c r="A9" s="15"/>
      <c r="B9" s="15"/>
      <c r="C9" s="2"/>
      <c r="D9" s="2"/>
      <c r="H9" s="16"/>
      <c r="N9" s="73" t="s">
        <v>229</v>
      </c>
    </row>
    <row r="10" spans="1:16" s="90" customFormat="1" ht="15.6">
      <c r="A10" s="87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9" t="s">
        <v>149</v>
      </c>
    </row>
    <row r="11" spans="1:16" s="90" customFormat="1" ht="15.6">
      <c r="A11" s="91" t="s">
        <v>150</v>
      </c>
      <c r="B11" s="92">
        <v>36892</v>
      </c>
      <c r="C11" s="92">
        <v>36892</v>
      </c>
      <c r="D11" s="92">
        <v>36923</v>
      </c>
      <c r="E11" s="92">
        <v>36951</v>
      </c>
      <c r="F11" s="92">
        <v>36982</v>
      </c>
      <c r="G11" s="92">
        <v>37012</v>
      </c>
      <c r="H11" s="92">
        <v>37043</v>
      </c>
      <c r="I11" s="92">
        <v>37073</v>
      </c>
      <c r="J11" s="92">
        <v>37104</v>
      </c>
      <c r="K11" s="92">
        <v>37135</v>
      </c>
      <c r="L11" s="92">
        <v>37165</v>
      </c>
      <c r="M11" s="92">
        <v>37196</v>
      </c>
      <c r="N11" s="92">
        <v>37226</v>
      </c>
      <c r="O11" s="93" t="s">
        <v>151</v>
      </c>
    </row>
    <row r="12" spans="1:16" s="97" customFormat="1" ht="15.6">
      <c r="A12" s="94" t="s">
        <v>152</v>
      </c>
      <c r="B12" s="95">
        <v>1</v>
      </c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6">
        <f t="shared" ref="O12:O26" si="0">N12</f>
        <v>0</v>
      </c>
    </row>
    <row r="13" spans="1:16" s="97" customFormat="1" ht="15.6">
      <c r="A13" s="94" t="s">
        <v>153</v>
      </c>
      <c r="B13" s="95">
        <v>1</v>
      </c>
      <c r="C13" s="95">
        <v>1</v>
      </c>
      <c r="D13" s="95">
        <v>1</v>
      </c>
      <c r="E13" s="95">
        <v>1</v>
      </c>
      <c r="F13" s="95">
        <v>1</v>
      </c>
      <c r="G13" s="95">
        <v>1</v>
      </c>
      <c r="H13" s="95">
        <v>1</v>
      </c>
      <c r="I13" s="95">
        <v>1</v>
      </c>
      <c r="J13" s="95">
        <v>1</v>
      </c>
      <c r="K13" s="95">
        <v>1</v>
      </c>
      <c r="L13" s="95">
        <v>1</v>
      </c>
      <c r="M13" s="95">
        <v>1</v>
      </c>
      <c r="N13" s="95">
        <v>1</v>
      </c>
      <c r="O13" s="96">
        <f t="shared" si="0"/>
        <v>1</v>
      </c>
    </row>
    <row r="14" spans="1:16" s="97" customFormat="1" ht="15.6">
      <c r="A14" s="94" t="s">
        <v>154</v>
      </c>
      <c r="B14" s="95">
        <v>1</v>
      </c>
      <c r="C14" s="95">
        <v>4</v>
      </c>
      <c r="D14" s="95">
        <v>4</v>
      </c>
      <c r="E14" s="95">
        <v>4</v>
      </c>
      <c r="F14" s="95">
        <v>4</v>
      </c>
      <c r="G14" s="95">
        <v>4</v>
      </c>
      <c r="H14" s="95">
        <v>4</v>
      </c>
      <c r="I14" s="95">
        <v>4</v>
      </c>
      <c r="J14" s="95">
        <v>4</v>
      </c>
      <c r="K14" s="95">
        <v>4</v>
      </c>
      <c r="L14" s="95">
        <v>4</v>
      </c>
      <c r="M14" s="95">
        <v>4</v>
      </c>
      <c r="N14" s="95">
        <v>4</v>
      </c>
      <c r="O14" s="96">
        <f t="shared" si="0"/>
        <v>4</v>
      </c>
    </row>
    <row r="15" spans="1:16" s="97" customFormat="1" ht="15.6">
      <c r="A15" s="94" t="s">
        <v>155</v>
      </c>
      <c r="B15" s="98">
        <f>SUM(B13:B14)</f>
        <v>2</v>
      </c>
      <c r="C15" s="95">
        <v>6</v>
      </c>
      <c r="D15" s="95">
        <v>6</v>
      </c>
      <c r="E15" s="95">
        <v>6</v>
      </c>
      <c r="F15" s="95">
        <v>6</v>
      </c>
      <c r="G15" s="95">
        <v>6</v>
      </c>
      <c r="H15" s="95">
        <v>6</v>
      </c>
      <c r="I15" s="95">
        <v>6</v>
      </c>
      <c r="J15" s="95">
        <v>6</v>
      </c>
      <c r="K15" s="95">
        <v>6</v>
      </c>
      <c r="L15" s="95">
        <v>6</v>
      </c>
      <c r="M15" s="95">
        <v>6</v>
      </c>
      <c r="N15" s="95">
        <v>6</v>
      </c>
      <c r="O15" s="96">
        <f t="shared" si="0"/>
        <v>6</v>
      </c>
    </row>
    <row r="16" spans="1:16" s="97" customFormat="1" ht="15.6">
      <c r="A16" s="94" t="s">
        <v>156</v>
      </c>
      <c r="B16" s="95">
        <v>1</v>
      </c>
      <c r="C16" s="95">
        <v>1</v>
      </c>
      <c r="D16" s="95">
        <v>1</v>
      </c>
      <c r="E16" s="95">
        <v>1</v>
      </c>
      <c r="F16" s="95">
        <v>1</v>
      </c>
      <c r="G16" s="95">
        <v>1</v>
      </c>
      <c r="H16" s="95">
        <v>1</v>
      </c>
      <c r="I16" s="95">
        <v>1</v>
      </c>
      <c r="J16" s="95">
        <v>1</v>
      </c>
      <c r="K16" s="95">
        <v>1</v>
      </c>
      <c r="L16" s="95">
        <v>1</v>
      </c>
      <c r="M16" s="95">
        <v>1</v>
      </c>
      <c r="N16" s="95">
        <v>1</v>
      </c>
      <c r="O16" s="96">
        <f t="shared" si="0"/>
        <v>1</v>
      </c>
    </row>
    <row r="17" spans="1:15" s="97" customFormat="1" ht="15.6">
      <c r="A17" s="94" t="s">
        <v>157</v>
      </c>
      <c r="B17" s="95">
        <v>1</v>
      </c>
      <c r="C17" s="95">
        <v>1</v>
      </c>
      <c r="D17" s="95">
        <v>1</v>
      </c>
      <c r="E17" s="95">
        <v>1</v>
      </c>
      <c r="F17" s="95">
        <v>1</v>
      </c>
      <c r="G17" s="95">
        <v>1</v>
      </c>
      <c r="H17" s="95">
        <v>1</v>
      </c>
      <c r="I17" s="95">
        <v>1</v>
      </c>
      <c r="J17" s="95">
        <v>1</v>
      </c>
      <c r="K17" s="95">
        <v>1</v>
      </c>
      <c r="L17" s="95">
        <v>1</v>
      </c>
      <c r="M17" s="95">
        <v>1</v>
      </c>
      <c r="N17" s="95">
        <v>1</v>
      </c>
      <c r="O17" s="96">
        <f t="shared" si="0"/>
        <v>1</v>
      </c>
    </row>
    <row r="18" spans="1:15" s="97" customFormat="1" ht="15.6">
      <c r="A18" s="94" t="s">
        <v>158</v>
      </c>
      <c r="B18" s="95">
        <v>1</v>
      </c>
      <c r="C18" s="95">
        <v>1</v>
      </c>
      <c r="D18" s="95">
        <v>1</v>
      </c>
      <c r="E18" s="95">
        <v>1</v>
      </c>
      <c r="F18" s="95">
        <v>1</v>
      </c>
      <c r="G18" s="95">
        <v>1</v>
      </c>
      <c r="H18" s="95">
        <v>1</v>
      </c>
      <c r="I18" s="95">
        <v>1</v>
      </c>
      <c r="J18" s="95">
        <v>1</v>
      </c>
      <c r="K18" s="95">
        <v>1</v>
      </c>
      <c r="L18" s="95">
        <v>1</v>
      </c>
      <c r="M18" s="95">
        <v>1</v>
      </c>
      <c r="N18" s="95">
        <v>1</v>
      </c>
      <c r="O18" s="96">
        <f t="shared" si="0"/>
        <v>1</v>
      </c>
    </row>
    <row r="19" spans="1:15" s="97" customFormat="1" ht="15.6">
      <c r="A19" s="94" t="s">
        <v>159</v>
      </c>
      <c r="B19" s="95">
        <v>1</v>
      </c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6">
        <f t="shared" si="0"/>
        <v>0</v>
      </c>
    </row>
    <row r="20" spans="1:15" s="97" customFormat="1" ht="15.6">
      <c r="A20" s="94" t="s">
        <v>160</v>
      </c>
      <c r="B20" s="95">
        <v>1</v>
      </c>
      <c r="C20" s="95">
        <v>3</v>
      </c>
      <c r="D20" s="95">
        <v>3</v>
      </c>
      <c r="E20" s="95">
        <v>3</v>
      </c>
      <c r="F20" s="95">
        <v>3</v>
      </c>
      <c r="G20" s="95">
        <v>3</v>
      </c>
      <c r="H20" s="95">
        <v>3</v>
      </c>
      <c r="I20" s="95">
        <v>3</v>
      </c>
      <c r="J20" s="95">
        <v>3</v>
      </c>
      <c r="K20" s="95">
        <v>3</v>
      </c>
      <c r="L20" s="95">
        <v>3</v>
      </c>
      <c r="M20" s="95">
        <v>3</v>
      </c>
      <c r="N20" s="95">
        <v>3</v>
      </c>
      <c r="O20" s="96">
        <f t="shared" si="0"/>
        <v>3</v>
      </c>
    </row>
    <row r="21" spans="1:15" s="97" customFormat="1" ht="15.6">
      <c r="A21" s="94" t="s">
        <v>161</v>
      </c>
      <c r="B21" s="95"/>
      <c r="C21" s="95">
        <v>2</v>
      </c>
      <c r="D21" s="95">
        <v>2</v>
      </c>
      <c r="E21" s="95">
        <v>2</v>
      </c>
      <c r="F21" s="95">
        <v>2</v>
      </c>
      <c r="G21" s="95">
        <v>2</v>
      </c>
      <c r="H21" s="95">
        <v>2</v>
      </c>
      <c r="I21" s="95">
        <v>2</v>
      </c>
      <c r="J21" s="95">
        <v>2</v>
      </c>
      <c r="K21" s="95">
        <v>2</v>
      </c>
      <c r="L21" s="95">
        <v>2</v>
      </c>
      <c r="M21" s="95">
        <v>2</v>
      </c>
      <c r="N21" s="95">
        <v>2</v>
      </c>
      <c r="O21" s="96">
        <f t="shared" si="0"/>
        <v>2</v>
      </c>
    </row>
    <row r="22" spans="1:15" s="97" customFormat="1" ht="15.6">
      <c r="A22" s="94" t="s">
        <v>162</v>
      </c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6">
        <f t="shared" si="0"/>
        <v>0</v>
      </c>
    </row>
    <row r="23" spans="1:15" s="97" customFormat="1" ht="15.6">
      <c r="A23" s="94" t="s">
        <v>163</v>
      </c>
      <c r="B23" s="95"/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 s="95">
        <v>0</v>
      </c>
      <c r="I23" s="95">
        <v>0</v>
      </c>
      <c r="J23" s="95">
        <v>0</v>
      </c>
      <c r="K23" s="95">
        <v>0</v>
      </c>
      <c r="L23" s="95">
        <v>0</v>
      </c>
      <c r="M23" s="95">
        <v>0</v>
      </c>
      <c r="N23" s="95">
        <v>0</v>
      </c>
      <c r="O23" s="96">
        <f t="shared" si="0"/>
        <v>0</v>
      </c>
    </row>
    <row r="24" spans="1:15" s="97" customFormat="1" ht="15.6">
      <c r="A24" s="94" t="s">
        <v>164</v>
      </c>
      <c r="B24" s="95"/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 s="95">
        <v>0</v>
      </c>
      <c r="I24" s="95">
        <v>0</v>
      </c>
      <c r="J24" s="95">
        <v>0</v>
      </c>
      <c r="K24" s="95">
        <v>0</v>
      </c>
      <c r="L24" s="95">
        <v>0</v>
      </c>
      <c r="M24" s="95">
        <v>0</v>
      </c>
      <c r="N24" s="95">
        <v>0</v>
      </c>
      <c r="O24" s="96">
        <f t="shared" si="0"/>
        <v>0</v>
      </c>
    </row>
    <row r="25" spans="1:15" s="97" customFormat="1" ht="15.6">
      <c r="A25" s="94" t="s">
        <v>165</v>
      </c>
      <c r="B25" s="95">
        <v>1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6">
        <f t="shared" si="0"/>
        <v>0</v>
      </c>
    </row>
    <row r="26" spans="1:15" s="97" customFormat="1" ht="15.6">
      <c r="A26" s="94" t="s">
        <v>166</v>
      </c>
      <c r="B26" s="98" t="e">
        <f>#REF!+#REF!+#REF!+#REF!+#REF!+#REF!+#REF!+B12+B15+SUM(B16:B25)</f>
        <v>#REF!</v>
      </c>
      <c r="C26" s="95">
        <v>1</v>
      </c>
      <c r="D26" s="95">
        <v>1</v>
      </c>
      <c r="E26" s="95">
        <v>1</v>
      </c>
      <c r="F26" s="95">
        <v>1</v>
      </c>
      <c r="G26" s="95">
        <v>1</v>
      </c>
      <c r="H26" s="95">
        <v>1</v>
      </c>
      <c r="I26" s="95">
        <v>1</v>
      </c>
      <c r="J26" s="95">
        <v>1</v>
      </c>
      <c r="K26" s="95">
        <v>1</v>
      </c>
      <c r="L26" s="95">
        <v>1</v>
      </c>
      <c r="M26" s="95">
        <v>1</v>
      </c>
      <c r="N26" s="95">
        <v>1</v>
      </c>
      <c r="O26" s="96">
        <f t="shared" si="0"/>
        <v>1</v>
      </c>
    </row>
    <row r="27" spans="1:15" s="97" customFormat="1" ht="15.6">
      <c r="A27" s="99" t="s">
        <v>167</v>
      </c>
      <c r="B27" s="98" t="e">
        <f>SUM(#REF!)</f>
        <v>#REF!</v>
      </c>
      <c r="C27" s="100">
        <f t="shared" ref="C27:O27" si="1">SUM(C12:C26)</f>
        <v>20</v>
      </c>
      <c r="D27" s="100">
        <f t="shared" si="1"/>
        <v>20</v>
      </c>
      <c r="E27" s="100">
        <f t="shared" si="1"/>
        <v>20</v>
      </c>
      <c r="F27" s="100">
        <f t="shared" si="1"/>
        <v>20</v>
      </c>
      <c r="G27" s="100">
        <f t="shared" si="1"/>
        <v>20</v>
      </c>
      <c r="H27" s="100">
        <f t="shared" si="1"/>
        <v>20</v>
      </c>
      <c r="I27" s="100">
        <f t="shared" si="1"/>
        <v>20</v>
      </c>
      <c r="J27" s="100">
        <f t="shared" si="1"/>
        <v>20</v>
      </c>
      <c r="K27" s="100">
        <f t="shared" si="1"/>
        <v>20</v>
      </c>
      <c r="L27" s="100">
        <f t="shared" si="1"/>
        <v>20</v>
      </c>
      <c r="M27" s="100">
        <f t="shared" si="1"/>
        <v>20</v>
      </c>
      <c r="N27" s="100">
        <f t="shared" si="1"/>
        <v>20</v>
      </c>
      <c r="O27" s="101">
        <f t="shared" si="1"/>
        <v>20</v>
      </c>
    </row>
    <row r="28" spans="1:15" s="97" customFormat="1" ht="15.6">
      <c r="A28" s="94" t="s">
        <v>168</v>
      </c>
      <c r="B28" s="98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6">
        <f t="shared" ref="O28:O43" si="2">N28</f>
        <v>0</v>
      </c>
    </row>
    <row r="29" spans="1:15" s="97" customFormat="1" ht="15.6">
      <c r="A29" s="94" t="s">
        <v>169</v>
      </c>
      <c r="B29" s="98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6">
        <f t="shared" si="2"/>
        <v>0</v>
      </c>
    </row>
    <row r="30" spans="1:15" s="97" customFormat="1" ht="15.6">
      <c r="A30" s="94" t="s">
        <v>170</v>
      </c>
      <c r="B30" s="98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6">
        <f t="shared" si="2"/>
        <v>0</v>
      </c>
    </row>
    <row r="31" spans="1:15" s="97" customFormat="1" ht="15.6">
      <c r="A31" s="94" t="s">
        <v>171</v>
      </c>
      <c r="B31" s="98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6">
        <f t="shared" si="2"/>
        <v>0</v>
      </c>
    </row>
    <row r="32" spans="1:15" s="97" customFormat="1" ht="15.6">
      <c r="A32" s="94" t="s">
        <v>172</v>
      </c>
      <c r="B32" s="98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6">
        <f t="shared" si="2"/>
        <v>0</v>
      </c>
    </row>
    <row r="33" spans="1:15" s="97" customFormat="1" ht="15.6">
      <c r="A33" s="94" t="s">
        <v>173</v>
      </c>
      <c r="B33" s="98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6">
        <f t="shared" si="2"/>
        <v>0</v>
      </c>
    </row>
    <row r="34" spans="1:15" s="97" customFormat="1" ht="15.6">
      <c r="A34" s="94" t="s">
        <v>174</v>
      </c>
      <c r="B34" s="98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6">
        <f t="shared" si="2"/>
        <v>0</v>
      </c>
    </row>
    <row r="35" spans="1:15" s="97" customFormat="1" ht="15.6">
      <c r="A35" s="94" t="s">
        <v>175</v>
      </c>
      <c r="B35" s="98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6">
        <f t="shared" si="2"/>
        <v>0</v>
      </c>
    </row>
    <row r="36" spans="1:15" s="97" customFormat="1" ht="15.6">
      <c r="A36" s="94" t="s">
        <v>181</v>
      </c>
      <c r="B36" s="98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6">
        <f t="shared" si="2"/>
        <v>0</v>
      </c>
    </row>
    <row r="37" spans="1:15" s="97" customFormat="1" ht="15.6">
      <c r="A37" s="94" t="s">
        <v>182</v>
      </c>
      <c r="B37" s="98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6">
        <f t="shared" si="2"/>
        <v>0</v>
      </c>
    </row>
    <row r="38" spans="1:15" s="97" customFormat="1" ht="15.6">
      <c r="A38" s="94" t="s">
        <v>180</v>
      </c>
      <c r="B38" s="98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6">
        <f t="shared" si="2"/>
        <v>0</v>
      </c>
    </row>
    <row r="39" spans="1:15" s="97" customFormat="1" ht="15.6">
      <c r="A39" s="94" t="s">
        <v>183</v>
      </c>
      <c r="B39" s="98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6">
        <f t="shared" si="2"/>
        <v>0</v>
      </c>
    </row>
    <row r="40" spans="1:15" s="97" customFormat="1" ht="15.6">
      <c r="A40" s="94" t="s">
        <v>184</v>
      </c>
      <c r="B40" s="98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6">
        <f t="shared" si="2"/>
        <v>0</v>
      </c>
    </row>
    <row r="41" spans="1:15" s="97" customFormat="1" ht="15.6">
      <c r="A41" s="94" t="s">
        <v>185</v>
      </c>
      <c r="B41" s="98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6">
        <f t="shared" si="2"/>
        <v>0</v>
      </c>
    </row>
    <row r="42" spans="1:15" s="97" customFormat="1" ht="15.6">
      <c r="A42" s="94" t="s">
        <v>186</v>
      </c>
      <c r="B42" s="95">
        <v>1</v>
      </c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6">
        <f t="shared" si="2"/>
        <v>0</v>
      </c>
    </row>
    <row r="43" spans="1:15" s="97" customFormat="1" ht="15.6">
      <c r="A43" s="99" t="s">
        <v>176</v>
      </c>
      <c r="B43" s="95"/>
      <c r="C43" s="100">
        <f>SUM(C28:C41)</f>
        <v>0</v>
      </c>
      <c r="D43" s="100">
        <f t="shared" ref="D43:N43" si="3">SUM(D28:D42)</f>
        <v>0</v>
      </c>
      <c r="E43" s="100">
        <f t="shared" si="3"/>
        <v>0</v>
      </c>
      <c r="F43" s="100">
        <f t="shared" si="3"/>
        <v>0</v>
      </c>
      <c r="G43" s="100">
        <f t="shared" si="3"/>
        <v>0</v>
      </c>
      <c r="H43" s="100">
        <f t="shared" si="3"/>
        <v>0</v>
      </c>
      <c r="I43" s="100">
        <f t="shared" si="3"/>
        <v>0</v>
      </c>
      <c r="J43" s="100">
        <f t="shared" si="3"/>
        <v>0</v>
      </c>
      <c r="K43" s="100">
        <f t="shared" si="3"/>
        <v>0</v>
      </c>
      <c r="L43" s="100">
        <f t="shared" si="3"/>
        <v>0</v>
      </c>
      <c r="M43" s="100">
        <f t="shared" si="3"/>
        <v>0</v>
      </c>
      <c r="N43" s="100">
        <f t="shared" si="3"/>
        <v>0</v>
      </c>
      <c r="O43" s="101">
        <f t="shared" si="2"/>
        <v>0</v>
      </c>
    </row>
    <row r="44" spans="1:15" s="97" customFormat="1" ht="15.6">
      <c r="A44" s="102" t="s">
        <v>177</v>
      </c>
      <c r="B44" s="103" t="e">
        <f>B27+B26+B42</f>
        <v>#REF!</v>
      </c>
      <c r="C44" s="103">
        <f t="shared" ref="C44:O44" si="4">C27+C43</f>
        <v>20</v>
      </c>
      <c r="D44" s="103">
        <f t="shared" si="4"/>
        <v>20</v>
      </c>
      <c r="E44" s="103">
        <f t="shared" si="4"/>
        <v>20</v>
      </c>
      <c r="F44" s="103">
        <f t="shared" si="4"/>
        <v>20</v>
      </c>
      <c r="G44" s="103">
        <f t="shared" si="4"/>
        <v>20</v>
      </c>
      <c r="H44" s="103">
        <f t="shared" si="4"/>
        <v>20</v>
      </c>
      <c r="I44" s="103">
        <f t="shared" si="4"/>
        <v>20</v>
      </c>
      <c r="J44" s="103">
        <f t="shared" si="4"/>
        <v>20</v>
      </c>
      <c r="K44" s="103">
        <f t="shared" si="4"/>
        <v>20</v>
      </c>
      <c r="L44" s="103">
        <f t="shared" si="4"/>
        <v>20</v>
      </c>
      <c r="M44" s="103">
        <f t="shared" si="4"/>
        <v>20</v>
      </c>
      <c r="N44" s="103">
        <f t="shared" si="4"/>
        <v>20</v>
      </c>
      <c r="O44" s="104">
        <f t="shared" si="4"/>
        <v>20</v>
      </c>
    </row>
    <row r="46" spans="1:15">
      <c r="A46" s="13" t="str">
        <f ca="1">CELL("FILENAME")</f>
        <v>O:\Enron Net Works\Accounting\2001 Plan\Deal Bench\[Deal Bench 2001 Plan.xls]Cash and Non-Cash</v>
      </c>
    </row>
    <row r="47" spans="1:15">
      <c r="C47" s="29"/>
      <c r="D47" s="29"/>
    </row>
  </sheetData>
  <printOptions horizontalCentered="1"/>
  <pageMargins left="0.1" right="0.1" top="0.45" bottom="0.5" header="0" footer="0"/>
  <pageSetup scale="61" orientation="landscape" verticalDpi="300" r:id="rId1"/>
  <headerFooter alignWithMargins="0">
    <oddFooter>&amp;L&amp;"Arial Narrow,Regular"&amp;8&amp;D
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P78"/>
  <sheetViews>
    <sheetView zoomScale="90" workbookViewId="0">
      <pane xSplit="3" ySplit="11" topLeftCell="J56" activePane="bottomRight" state="frozen"/>
      <selection activeCell="C37" sqref="C37"/>
      <selection pane="topRight" activeCell="C37" sqref="C37"/>
      <selection pane="bottomLeft" activeCell="C37" sqref="C37"/>
      <selection pane="bottomRight" activeCell="B1" sqref="B1"/>
    </sheetView>
  </sheetViews>
  <sheetFormatPr defaultColWidth="9.33203125" defaultRowHeight="13.8"/>
  <cols>
    <col min="1" max="1" width="18.77734375" style="1" customWidth="1"/>
    <col min="2" max="2" width="36.109375" style="1" customWidth="1"/>
    <col min="3" max="3" width="1.44140625" style="1" customWidth="1"/>
    <col min="4" max="16" width="11.77734375" style="1" customWidth="1"/>
    <col min="17" max="16384" width="9.33203125" style="1"/>
  </cols>
  <sheetData>
    <row r="1" spans="1:16" s="21" customFormat="1" ht="9.75" customHeight="1">
      <c r="A1" s="36"/>
      <c r="B1" s="37"/>
      <c r="C1" s="37"/>
      <c r="D1" s="37"/>
    </row>
    <row r="2" spans="1:16" s="41" customFormat="1" ht="27" customHeight="1">
      <c r="A2" s="38" t="s">
        <v>138</v>
      </c>
      <c r="B2" s="38"/>
      <c r="C2" s="38"/>
      <c r="D2" s="38"/>
      <c r="E2" s="39"/>
      <c r="F2" s="39"/>
      <c r="G2" s="39"/>
      <c r="H2" s="40"/>
    </row>
    <row r="3" spans="1:16" s="41" customFormat="1" ht="27" customHeight="1">
      <c r="A3" s="38" t="s">
        <v>135</v>
      </c>
      <c r="B3" s="38"/>
      <c r="C3" s="38"/>
      <c r="D3" s="38"/>
      <c r="E3" s="39"/>
      <c r="F3" s="39"/>
      <c r="G3" s="39"/>
      <c r="H3" s="40"/>
      <c r="P3" s="42" t="s">
        <v>136</v>
      </c>
    </row>
    <row r="4" spans="1:16" s="14" customFormat="1" ht="13.5" customHeight="1">
      <c r="C4" s="15"/>
      <c r="D4" s="2"/>
      <c r="G4" s="16"/>
      <c r="H4" s="16"/>
      <c r="I4" s="19"/>
    </row>
    <row r="5" spans="1:16" s="14" customFormat="1" ht="14.25" customHeight="1" thickBot="1">
      <c r="B5" s="77" t="s">
        <v>126</v>
      </c>
      <c r="C5" s="78"/>
      <c r="D5" s="79" t="s">
        <v>348</v>
      </c>
    </row>
    <row r="6" spans="1:16" s="14" customFormat="1" ht="14.25" customHeight="1" thickBot="1">
      <c r="B6" s="77" t="s">
        <v>128</v>
      </c>
      <c r="C6" s="78"/>
      <c r="D6" s="79" t="s">
        <v>349</v>
      </c>
    </row>
    <row r="7" spans="1:16" s="14" customFormat="1" ht="14.25" customHeight="1" thickBot="1">
      <c r="B7" s="15" t="s">
        <v>141</v>
      </c>
      <c r="D7" s="72" t="s">
        <v>350</v>
      </c>
      <c r="H7" s="16"/>
      <c r="N7" s="43" t="s">
        <v>133</v>
      </c>
      <c r="O7" s="81">
        <v>36795</v>
      </c>
    </row>
    <row r="8" spans="1:16" s="14" customFormat="1" ht="14.4" thickBot="1">
      <c r="B8" s="15" t="s">
        <v>140</v>
      </c>
      <c r="D8" s="72" t="s">
        <v>349</v>
      </c>
      <c r="H8" s="16"/>
      <c r="N8" s="73" t="s">
        <v>139</v>
      </c>
    </row>
    <row r="9" spans="1:16" s="14" customFormat="1">
      <c r="C9" s="15"/>
      <c r="D9" s="2"/>
      <c r="H9" s="16"/>
      <c r="N9" s="73" t="s">
        <v>230</v>
      </c>
    </row>
    <row r="10" spans="1:16" s="14" customFormat="1">
      <c r="A10" s="59" t="s">
        <v>131</v>
      </c>
      <c r="B10" s="60"/>
      <c r="C10" s="60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2" t="s">
        <v>124</v>
      </c>
    </row>
    <row r="11" spans="1:16" s="14" customFormat="1">
      <c r="A11" s="63" t="s">
        <v>132</v>
      </c>
      <c r="B11" s="64" t="s">
        <v>0</v>
      </c>
      <c r="C11" s="65"/>
      <c r="D11" s="66">
        <v>36892</v>
      </c>
      <c r="E11" s="66">
        <v>36923</v>
      </c>
      <c r="F11" s="66">
        <v>36951</v>
      </c>
      <c r="G11" s="66">
        <v>36982</v>
      </c>
      <c r="H11" s="66">
        <v>37012</v>
      </c>
      <c r="I11" s="66">
        <v>37043</v>
      </c>
      <c r="J11" s="66">
        <v>37073</v>
      </c>
      <c r="K11" s="66">
        <v>37104</v>
      </c>
      <c r="L11" s="66">
        <v>37135</v>
      </c>
      <c r="M11" s="66">
        <v>37165</v>
      </c>
      <c r="N11" s="66">
        <v>37196</v>
      </c>
      <c r="O11" s="66">
        <v>37226</v>
      </c>
      <c r="P11" s="67" t="s">
        <v>125</v>
      </c>
    </row>
    <row r="12" spans="1:16">
      <c r="A12" s="74" t="s">
        <v>96</v>
      </c>
      <c r="B12" s="75" t="s">
        <v>1</v>
      </c>
      <c r="C12" s="17"/>
      <c r="D12" s="46">
        <f>Assumption!F27</f>
        <v>117583.33333333334</v>
      </c>
      <c r="E12" s="46">
        <f>Assumption!F27+Assumption!G30</f>
        <v>128361.80555555556</v>
      </c>
      <c r="F12" s="46">
        <f>E12</f>
        <v>128361.80555555556</v>
      </c>
      <c r="G12" s="46">
        <f t="shared" ref="G12:O12" si="0">F12</f>
        <v>128361.80555555556</v>
      </c>
      <c r="H12" s="46">
        <f t="shared" si="0"/>
        <v>128361.80555555556</v>
      </c>
      <c r="I12" s="46">
        <f t="shared" si="0"/>
        <v>128361.80555555556</v>
      </c>
      <c r="J12" s="46">
        <f t="shared" si="0"/>
        <v>128361.80555555556</v>
      </c>
      <c r="K12" s="46">
        <f t="shared" si="0"/>
        <v>128361.80555555556</v>
      </c>
      <c r="L12" s="46">
        <f t="shared" si="0"/>
        <v>128361.80555555556</v>
      </c>
      <c r="M12" s="46">
        <f t="shared" si="0"/>
        <v>128361.80555555556</v>
      </c>
      <c r="N12" s="46">
        <f t="shared" si="0"/>
        <v>128361.80555555556</v>
      </c>
      <c r="O12" s="46">
        <f t="shared" si="0"/>
        <v>128361.80555555556</v>
      </c>
      <c r="P12" s="47">
        <f t="shared" ref="P12:P17" si="1">SUM(D12:O12)</f>
        <v>1529563.1944444443</v>
      </c>
    </row>
    <row r="13" spans="1:16">
      <c r="A13" s="74" t="s">
        <v>96</v>
      </c>
      <c r="B13" s="75" t="s">
        <v>2</v>
      </c>
      <c r="C13" s="17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>
        <f t="shared" si="1"/>
        <v>0</v>
      </c>
    </row>
    <row r="14" spans="1:16">
      <c r="A14" s="45"/>
      <c r="B14" s="48" t="s">
        <v>3</v>
      </c>
      <c r="C14" s="18"/>
      <c r="D14" s="44">
        <f>SUM(D12:D13)</f>
        <v>117583.33333333334</v>
      </c>
      <c r="E14" s="44">
        <f t="shared" ref="E14:O14" si="2">SUM(E12:E13)</f>
        <v>128361.80555555556</v>
      </c>
      <c r="F14" s="44">
        <f t="shared" si="2"/>
        <v>128361.80555555556</v>
      </c>
      <c r="G14" s="44">
        <f t="shared" si="2"/>
        <v>128361.80555555556</v>
      </c>
      <c r="H14" s="44">
        <f t="shared" si="2"/>
        <v>128361.80555555556</v>
      </c>
      <c r="I14" s="44">
        <f t="shared" si="2"/>
        <v>128361.80555555556</v>
      </c>
      <c r="J14" s="44">
        <f t="shared" si="2"/>
        <v>128361.80555555556</v>
      </c>
      <c r="K14" s="44">
        <f t="shared" si="2"/>
        <v>128361.80555555556</v>
      </c>
      <c r="L14" s="44">
        <f t="shared" si="2"/>
        <v>128361.80555555556</v>
      </c>
      <c r="M14" s="44">
        <f t="shared" si="2"/>
        <v>128361.80555555556</v>
      </c>
      <c r="N14" s="44">
        <f t="shared" si="2"/>
        <v>128361.80555555556</v>
      </c>
      <c r="O14" s="44">
        <f t="shared" si="2"/>
        <v>128361.80555555556</v>
      </c>
      <c r="P14" s="49">
        <f t="shared" si="1"/>
        <v>1529563.1944444443</v>
      </c>
    </row>
    <row r="15" spans="1:16">
      <c r="A15" s="74" t="s">
        <v>97</v>
      </c>
      <c r="B15" s="76" t="s">
        <v>4</v>
      </c>
      <c r="C15" s="18"/>
      <c r="D15" s="20">
        <f>((Assumption!$D$27)*4800/12)+('Direct Expense'!D14*0.0935)</f>
        <v>16994.041666666668</v>
      </c>
      <c r="E15" s="20">
        <f>((Assumption!$D$27)*4800/12)+('Direct Expense'!E14*0.0935)</f>
        <v>18001.828819444447</v>
      </c>
      <c r="F15" s="20">
        <f>((Assumption!$D$27)*4800/12)+('Direct Expense'!F14*0.0935)</f>
        <v>18001.828819444447</v>
      </c>
      <c r="G15" s="20">
        <f>((Assumption!$D$27)*4800/12)+('Direct Expense'!G14*0.0935)</f>
        <v>18001.828819444447</v>
      </c>
      <c r="H15" s="20">
        <f>((Assumption!$D$27)*4800/12)+('Direct Expense'!H14*0.0935)</f>
        <v>18001.828819444447</v>
      </c>
      <c r="I15" s="20">
        <f>((Assumption!$D$27)*4800/12)+('Direct Expense'!I14*0.0935)</f>
        <v>18001.828819444447</v>
      </c>
      <c r="J15" s="20">
        <f>((Assumption!$D$27)*4800/12)+('Direct Expense'!J14*0.0935)</f>
        <v>18001.828819444447</v>
      </c>
      <c r="K15" s="20">
        <f>((Assumption!$D$27)*4800/12)+('Direct Expense'!K14*0.0935)</f>
        <v>18001.828819444447</v>
      </c>
      <c r="L15" s="20">
        <f>((Assumption!$D$27)*4800/12)+('Direct Expense'!L14*0.0935)</f>
        <v>18001.828819444447</v>
      </c>
      <c r="M15" s="20">
        <f>((Assumption!$D$27)*4800/12)+('Direct Expense'!M14*0.0935)</f>
        <v>18001.828819444447</v>
      </c>
      <c r="N15" s="20">
        <f>((Assumption!$D$27)*4800/12)+('Direct Expense'!N14*0.0935)</f>
        <v>18001.828819444447</v>
      </c>
      <c r="O15" s="20">
        <f>((Assumption!$D$27)*4800/12)+('Direct Expense'!O14*0.0935)</f>
        <v>18001.828819444447</v>
      </c>
      <c r="P15" s="47">
        <f t="shared" si="1"/>
        <v>215014.15868055564</v>
      </c>
    </row>
    <row r="16" spans="1:16">
      <c r="A16" s="74" t="s">
        <v>98</v>
      </c>
      <c r="B16" s="75" t="s">
        <v>5</v>
      </c>
      <c r="C16" s="18"/>
      <c r="D16" s="20">
        <f>IF(Assumption!$D$27=0,,IF(D14/Assumption!$D$27&lt;=71000/12,D14*0.09,(D14/Assumption!$D$27-71000/12)*0.02*Assumption!$D$27+71000/12*0.09*Assumption!$D$27))</f>
        <v>8564.1666666666661</v>
      </c>
      <c r="E16" s="20">
        <f>IF(Assumption!$D$27=0,,IF(E14/Assumption!$D$27&lt;=71000/12,E14*0.09,(E14/Assumption!$D$27-71000/12)*0.02*Assumption!$D$27+71000/12*0.09*Assumption!$D$27))</f>
        <v>8779.7361111111113</v>
      </c>
      <c r="F16" s="20">
        <f>IF(Assumption!$D$27=0,,IF(F14/Assumption!$D$27&lt;=71000/12,F14*0.09,(F14/Assumption!$D$27-71000/12)*0.02*Assumption!$D$27+71000/12*0.09*Assumption!$D$27))</f>
        <v>8779.7361111111113</v>
      </c>
      <c r="G16" s="20">
        <f>IF(Assumption!$D$27=0,,IF(G14/Assumption!$D$27&lt;=71000/12,G14*0.09,(G14/Assumption!$D$27-71000/12)*0.02*Assumption!$D$27+71000/12*0.09*Assumption!$D$27))</f>
        <v>8779.7361111111113</v>
      </c>
      <c r="H16" s="20">
        <f>IF(Assumption!$D$27=0,,IF(H14/Assumption!$D$27&lt;=71000/12,H14*0.09,(H14/Assumption!$D$27-71000/12)*0.02*Assumption!$D$27+71000/12*0.09*Assumption!$D$27))</f>
        <v>8779.7361111111113</v>
      </c>
      <c r="I16" s="20">
        <f>IF(Assumption!$D$27=0,,IF(I14/Assumption!$D$27&lt;=71000/12,I14*0.09,(I14/Assumption!$D$27-71000/12)*0.02*Assumption!$D$27+71000/12*0.09*Assumption!$D$27))</f>
        <v>8779.7361111111113</v>
      </c>
      <c r="J16" s="20">
        <f>IF(Assumption!$D$27=0,,IF(J14/Assumption!$D$27&lt;=71000/12,J14*0.09,(J14/Assumption!$D$27-71000/12)*0.02*Assumption!$D$27+71000/12*0.09*Assumption!$D$27))</f>
        <v>8779.7361111111113</v>
      </c>
      <c r="K16" s="20">
        <f>IF(Assumption!$D$27=0,,IF(K14/Assumption!$D$27&lt;=71000/12,K14*0.09,(K14/Assumption!$D$27-71000/12)*0.02*Assumption!$D$27+71000/12*0.09*Assumption!$D$27))</f>
        <v>8779.7361111111113</v>
      </c>
      <c r="L16" s="20">
        <f>IF(Assumption!$D$27=0,,IF(L14/Assumption!$D$27&lt;=71000/12,L14*0.09,(L14/Assumption!$D$27-71000/12)*0.02*Assumption!$D$27+71000/12*0.09*Assumption!$D$27))</f>
        <v>8779.7361111111113</v>
      </c>
      <c r="M16" s="20">
        <f>IF(Assumption!$D$27=0,,IF(M14/Assumption!$D$27&lt;=71000/12,M14*0.09,(M14/Assumption!$D$27-71000/12)*0.02*Assumption!$D$27+71000/12*0.09*Assumption!$D$27))</f>
        <v>8779.7361111111113</v>
      </c>
      <c r="N16" s="20">
        <f>IF(Assumption!$D$27=0,,IF(N14/Assumption!$D$27&lt;=71000/12,N14*0.09,(N14/Assumption!$D$27-71000/12)*0.02*Assumption!$D$27+71000/12*0.09*Assumption!$D$27))</f>
        <v>8779.7361111111113</v>
      </c>
      <c r="O16" s="20">
        <f>IF(Assumption!$D$27=0,,IF(O14/Assumption!$D$27&lt;=71000/12,O14*0.09,(O14/Assumption!$D$27-71000/12)*0.02*Assumption!$D$27+71000/12*0.09*Assumption!$D$27))</f>
        <v>8779.7361111111113</v>
      </c>
      <c r="P16" s="47">
        <f t="shared" si="1"/>
        <v>105141.26388888888</v>
      </c>
    </row>
    <row r="17" spans="1:16">
      <c r="A17" s="45"/>
      <c r="B17" s="50" t="s">
        <v>6</v>
      </c>
      <c r="C17" s="18"/>
      <c r="D17" s="44">
        <f>SUM(D15:D16)</f>
        <v>25558.208333333336</v>
      </c>
      <c r="E17" s="44">
        <f t="shared" ref="E17:O17" si="3">SUM(E15:E16)</f>
        <v>26781.564930555556</v>
      </c>
      <c r="F17" s="44">
        <f t="shared" si="3"/>
        <v>26781.564930555556</v>
      </c>
      <c r="G17" s="44">
        <f t="shared" si="3"/>
        <v>26781.564930555556</v>
      </c>
      <c r="H17" s="44">
        <f t="shared" si="3"/>
        <v>26781.564930555556</v>
      </c>
      <c r="I17" s="44">
        <f t="shared" si="3"/>
        <v>26781.564930555556</v>
      </c>
      <c r="J17" s="44">
        <f t="shared" si="3"/>
        <v>26781.564930555556</v>
      </c>
      <c r="K17" s="44">
        <f t="shared" si="3"/>
        <v>26781.564930555556</v>
      </c>
      <c r="L17" s="44">
        <f t="shared" si="3"/>
        <v>26781.564930555556</v>
      </c>
      <c r="M17" s="44">
        <f t="shared" si="3"/>
        <v>26781.564930555556</v>
      </c>
      <c r="N17" s="44">
        <f t="shared" si="3"/>
        <v>26781.564930555556</v>
      </c>
      <c r="O17" s="44">
        <f t="shared" si="3"/>
        <v>26781.564930555556</v>
      </c>
      <c r="P17" s="49">
        <f t="shared" si="1"/>
        <v>320155.4225694444</v>
      </c>
    </row>
    <row r="18" spans="1:16">
      <c r="A18" s="45" t="s">
        <v>99</v>
      </c>
      <c r="B18" s="18" t="s">
        <v>7</v>
      </c>
      <c r="C18" s="18"/>
      <c r="D18" s="46">
        <f>Assumption!F60</f>
        <v>2000</v>
      </c>
      <c r="E18" s="46">
        <f>D18</f>
        <v>2000</v>
      </c>
      <c r="F18" s="46">
        <f t="shared" ref="F18:F24" si="4">D18</f>
        <v>2000</v>
      </c>
      <c r="G18" s="46">
        <f t="shared" ref="G18:O18" si="5">F18</f>
        <v>2000</v>
      </c>
      <c r="H18" s="46">
        <f t="shared" si="5"/>
        <v>2000</v>
      </c>
      <c r="I18" s="46">
        <f t="shared" si="5"/>
        <v>2000</v>
      </c>
      <c r="J18" s="46">
        <f t="shared" si="5"/>
        <v>2000</v>
      </c>
      <c r="K18" s="46">
        <f t="shared" si="5"/>
        <v>2000</v>
      </c>
      <c r="L18" s="46">
        <f t="shared" si="5"/>
        <v>2000</v>
      </c>
      <c r="M18" s="46">
        <f t="shared" si="5"/>
        <v>2000</v>
      </c>
      <c r="N18" s="46">
        <f t="shared" si="5"/>
        <v>2000</v>
      </c>
      <c r="O18" s="46">
        <f t="shared" si="5"/>
        <v>2000</v>
      </c>
      <c r="P18" s="47">
        <f t="shared" ref="P18:P24" si="6">SUM(D18:O18)</f>
        <v>24000</v>
      </c>
    </row>
    <row r="19" spans="1:16">
      <c r="A19" s="45" t="s">
        <v>100</v>
      </c>
      <c r="B19" s="18" t="s">
        <v>8</v>
      </c>
      <c r="C19" s="18"/>
      <c r="D19" s="46">
        <f>Assumption!F62</f>
        <v>500</v>
      </c>
      <c r="E19" s="46">
        <f>D19</f>
        <v>500</v>
      </c>
      <c r="F19" s="46">
        <f t="shared" si="4"/>
        <v>500</v>
      </c>
      <c r="G19" s="46">
        <f t="shared" ref="G19:O19" si="7">F19</f>
        <v>500</v>
      </c>
      <c r="H19" s="46">
        <f t="shared" si="7"/>
        <v>500</v>
      </c>
      <c r="I19" s="46">
        <f t="shared" si="7"/>
        <v>500</v>
      </c>
      <c r="J19" s="46">
        <f t="shared" si="7"/>
        <v>500</v>
      </c>
      <c r="K19" s="46">
        <f t="shared" si="7"/>
        <v>500</v>
      </c>
      <c r="L19" s="46">
        <f t="shared" si="7"/>
        <v>500</v>
      </c>
      <c r="M19" s="46">
        <f t="shared" si="7"/>
        <v>500</v>
      </c>
      <c r="N19" s="46">
        <f t="shared" si="7"/>
        <v>500</v>
      </c>
      <c r="O19" s="46">
        <f t="shared" si="7"/>
        <v>500</v>
      </c>
      <c r="P19" s="47">
        <f t="shared" si="6"/>
        <v>6000</v>
      </c>
    </row>
    <row r="20" spans="1:16">
      <c r="A20" s="45" t="s">
        <v>99</v>
      </c>
      <c r="B20" s="18" t="s">
        <v>9</v>
      </c>
      <c r="C20" s="18"/>
      <c r="D20" s="46">
        <f>Assumption!F59</f>
        <v>800</v>
      </c>
      <c r="E20" s="46">
        <f>D20</f>
        <v>800</v>
      </c>
      <c r="F20" s="46">
        <f t="shared" si="4"/>
        <v>800</v>
      </c>
      <c r="G20" s="46">
        <f t="shared" ref="G20:O20" si="8">F20</f>
        <v>800</v>
      </c>
      <c r="H20" s="46">
        <f t="shared" si="8"/>
        <v>800</v>
      </c>
      <c r="I20" s="46">
        <f t="shared" si="8"/>
        <v>800</v>
      </c>
      <c r="J20" s="46">
        <f t="shared" si="8"/>
        <v>800</v>
      </c>
      <c r="K20" s="46">
        <f t="shared" si="8"/>
        <v>800</v>
      </c>
      <c r="L20" s="46">
        <f t="shared" si="8"/>
        <v>800</v>
      </c>
      <c r="M20" s="46">
        <f t="shared" si="8"/>
        <v>800</v>
      </c>
      <c r="N20" s="46">
        <f t="shared" si="8"/>
        <v>800</v>
      </c>
      <c r="O20" s="46">
        <f t="shared" si="8"/>
        <v>800</v>
      </c>
      <c r="P20" s="47">
        <f t="shared" si="6"/>
        <v>9600</v>
      </c>
    </row>
    <row r="21" spans="1:16">
      <c r="A21" s="45" t="s">
        <v>101</v>
      </c>
      <c r="B21" s="18" t="s">
        <v>10</v>
      </c>
      <c r="C21" s="18"/>
      <c r="D21" s="46">
        <f>Assumption!F61</f>
        <v>2500</v>
      </c>
      <c r="E21" s="46">
        <f>D21</f>
        <v>2500</v>
      </c>
      <c r="F21" s="46">
        <f t="shared" si="4"/>
        <v>2500</v>
      </c>
      <c r="G21" s="46">
        <f t="shared" ref="G21:O21" si="9">F21</f>
        <v>2500</v>
      </c>
      <c r="H21" s="46">
        <f t="shared" si="9"/>
        <v>2500</v>
      </c>
      <c r="I21" s="46">
        <f t="shared" si="9"/>
        <v>2500</v>
      </c>
      <c r="J21" s="46">
        <f t="shared" si="9"/>
        <v>2500</v>
      </c>
      <c r="K21" s="46">
        <f t="shared" si="9"/>
        <v>2500</v>
      </c>
      <c r="L21" s="46">
        <f t="shared" si="9"/>
        <v>2500</v>
      </c>
      <c r="M21" s="46">
        <f t="shared" si="9"/>
        <v>2500</v>
      </c>
      <c r="N21" s="46">
        <f t="shared" si="9"/>
        <v>2500</v>
      </c>
      <c r="O21" s="46">
        <f t="shared" si="9"/>
        <v>2500</v>
      </c>
      <c r="P21" s="47">
        <f t="shared" si="6"/>
        <v>30000</v>
      </c>
    </row>
    <row r="22" spans="1:16">
      <c r="A22" s="45" t="s">
        <v>102</v>
      </c>
      <c r="B22" s="18" t="s">
        <v>11</v>
      </c>
      <c r="C22" s="18"/>
      <c r="D22" s="46">
        <f>Assumption!F58</f>
        <v>60000</v>
      </c>
      <c r="E22" s="46">
        <f>D22</f>
        <v>60000</v>
      </c>
      <c r="F22" s="46">
        <f t="shared" si="4"/>
        <v>60000</v>
      </c>
      <c r="G22" s="46">
        <f t="shared" ref="G22:O22" si="10">F22</f>
        <v>60000</v>
      </c>
      <c r="H22" s="46">
        <f t="shared" si="10"/>
        <v>60000</v>
      </c>
      <c r="I22" s="46">
        <f t="shared" si="10"/>
        <v>60000</v>
      </c>
      <c r="J22" s="46">
        <f t="shared" si="10"/>
        <v>60000</v>
      </c>
      <c r="K22" s="46">
        <f t="shared" si="10"/>
        <v>60000</v>
      </c>
      <c r="L22" s="46">
        <f t="shared" si="10"/>
        <v>60000</v>
      </c>
      <c r="M22" s="46">
        <f t="shared" si="10"/>
        <v>60000</v>
      </c>
      <c r="N22" s="46">
        <f t="shared" si="10"/>
        <v>60000</v>
      </c>
      <c r="O22" s="46">
        <f t="shared" si="10"/>
        <v>60000</v>
      </c>
      <c r="P22" s="47">
        <f t="shared" si="6"/>
        <v>720000</v>
      </c>
    </row>
    <row r="23" spans="1:16">
      <c r="A23" s="51" t="s">
        <v>103</v>
      </c>
      <c r="B23" s="18" t="s">
        <v>12</v>
      </c>
      <c r="C23" s="18"/>
      <c r="D23" s="46">
        <f>Assumption!F63</f>
        <v>1500</v>
      </c>
      <c r="E23" s="46">
        <f t="shared" ref="E23:E52" si="11">D23</f>
        <v>1500</v>
      </c>
      <c r="F23" s="46">
        <f t="shared" si="4"/>
        <v>1500</v>
      </c>
      <c r="G23" s="46">
        <f t="shared" ref="G23:O23" si="12">F23</f>
        <v>1500</v>
      </c>
      <c r="H23" s="46">
        <f t="shared" si="12"/>
        <v>1500</v>
      </c>
      <c r="I23" s="46">
        <f t="shared" si="12"/>
        <v>1500</v>
      </c>
      <c r="J23" s="46">
        <f t="shared" si="12"/>
        <v>1500</v>
      </c>
      <c r="K23" s="46">
        <f t="shared" si="12"/>
        <v>1500</v>
      </c>
      <c r="L23" s="46">
        <f t="shared" si="12"/>
        <v>1500</v>
      </c>
      <c r="M23" s="46">
        <f t="shared" si="12"/>
        <v>1500</v>
      </c>
      <c r="N23" s="46">
        <f t="shared" si="12"/>
        <v>1500</v>
      </c>
      <c r="O23" s="46">
        <f t="shared" si="12"/>
        <v>1500</v>
      </c>
      <c r="P23" s="47">
        <f t="shared" si="6"/>
        <v>18000</v>
      </c>
    </row>
    <row r="24" spans="1:16">
      <c r="A24" s="45" t="s">
        <v>104</v>
      </c>
      <c r="B24" s="18" t="s">
        <v>13</v>
      </c>
      <c r="C24" s="18"/>
      <c r="D24" s="46">
        <f>Assumption!F64</f>
        <v>2000</v>
      </c>
      <c r="E24" s="46">
        <f t="shared" si="11"/>
        <v>2000</v>
      </c>
      <c r="F24" s="46">
        <f t="shared" si="4"/>
        <v>2000</v>
      </c>
      <c r="G24" s="46">
        <f t="shared" ref="G24:O24" si="13">F24</f>
        <v>2000</v>
      </c>
      <c r="H24" s="46">
        <f t="shared" si="13"/>
        <v>2000</v>
      </c>
      <c r="I24" s="46">
        <f t="shared" si="13"/>
        <v>2000</v>
      </c>
      <c r="J24" s="46">
        <f t="shared" si="13"/>
        <v>2000</v>
      </c>
      <c r="K24" s="46">
        <f t="shared" si="13"/>
        <v>2000</v>
      </c>
      <c r="L24" s="46">
        <f t="shared" si="13"/>
        <v>2000</v>
      </c>
      <c r="M24" s="46">
        <f t="shared" si="13"/>
        <v>2000</v>
      </c>
      <c r="N24" s="46">
        <f t="shared" si="13"/>
        <v>2000</v>
      </c>
      <c r="O24" s="46">
        <f t="shared" si="13"/>
        <v>2000</v>
      </c>
      <c r="P24" s="47">
        <f t="shared" si="6"/>
        <v>24000</v>
      </c>
    </row>
    <row r="25" spans="1:16">
      <c r="A25" s="45"/>
      <c r="B25" s="50" t="s">
        <v>14</v>
      </c>
      <c r="C25" s="18"/>
      <c r="D25" s="44">
        <f>SUM(D18:D24)</f>
        <v>69300</v>
      </c>
      <c r="E25" s="44">
        <f t="shared" ref="E25:O25" si="14">SUM(E18:E24)</f>
        <v>69300</v>
      </c>
      <c r="F25" s="44">
        <f t="shared" si="14"/>
        <v>69300</v>
      </c>
      <c r="G25" s="44">
        <f t="shared" si="14"/>
        <v>69300</v>
      </c>
      <c r="H25" s="44">
        <f t="shared" si="14"/>
        <v>69300</v>
      </c>
      <c r="I25" s="44">
        <f t="shared" si="14"/>
        <v>69300</v>
      </c>
      <c r="J25" s="44">
        <f t="shared" si="14"/>
        <v>69300</v>
      </c>
      <c r="K25" s="44">
        <f t="shared" si="14"/>
        <v>69300</v>
      </c>
      <c r="L25" s="44">
        <f t="shared" si="14"/>
        <v>69300</v>
      </c>
      <c r="M25" s="44">
        <f t="shared" si="14"/>
        <v>69300</v>
      </c>
      <c r="N25" s="44">
        <f t="shared" si="14"/>
        <v>69300</v>
      </c>
      <c r="O25" s="44">
        <f t="shared" si="14"/>
        <v>69300</v>
      </c>
      <c r="P25" s="49">
        <f t="shared" ref="P25:P35" si="15">SUM(D25:O25)</f>
        <v>831600</v>
      </c>
    </row>
    <row r="26" spans="1:16">
      <c r="A26" s="45" t="s">
        <v>102</v>
      </c>
      <c r="B26" s="18" t="s">
        <v>15</v>
      </c>
      <c r="C26" s="18"/>
      <c r="D26" s="46">
        <f>Assumption!F68</f>
        <v>0</v>
      </c>
      <c r="E26" s="46">
        <f t="shared" si="11"/>
        <v>0</v>
      </c>
      <c r="F26" s="46">
        <f t="shared" ref="F26:F31" si="16">D26</f>
        <v>0</v>
      </c>
      <c r="G26" s="46">
        <f t="shared" ref="G26:O26" si="17">F26</f>
        <v>0</v>
      </c>
      <c r="H26" s="46">
        <f t="shared" si="17"/>
        <v>0</v>
      </c>
      <c r="I26" s="46">
        <f t="shared" si="17"/>
        <v>0</v>
      </c>
      <c r="J26" s="46">
        <f t="shared" si="17"/>
        <v>0</v>
      </c>
      <c r="K26" s="46">
        <f t="shared" si="17"/>
        <v>0</v>
      </c>
      <c r="L26" s="46">
        <f t="shared" si="17"/>
        <v>0</v>
      </c>
      <c r="M26" s="46">
        <f t="shared" si="17"/>
        <v>0</v>
      </c>
      <c r="N26" s="46">
        <f t="shared" si="17"/>
        <v>0</v>
      </c>
      <c r="O26" s="46">
        <f t="shared" si="17"/>
        <v>0</v>
      </c>
      <c r="P26" s="47">
        <f t="shared" si="15"/>
        <v>0</v>
      </c>
    </row>
    <row r="27" spans="1:16">
      <c r="A27" s="45" t="s">
        <v>105</v>
      </c>
      <c r="B27" s="18" t="s">
        <v>16</v>
      </c>
      <c r="C27" s="18"/>
      <c r="D27" s="46">
        <f>Assumption!F69</f>
        <v>0</v>
      </c>
      <c r="E27" s="46">
        <f t="shared" si="11"/>
        <v>0</v>
      </c>
      <c r="F27" s="46">
        <f t="shared" si="16"/>
        <v>0</v>
      </c>
      <c r="G27" s="46">
        <f t="shared" ref="G27:O27" si="18">F27</f>
        <v>0</v>
      </c>
      <c r="H27" s="46">
        <f t="shared" si="18"/>
        <v>0</v>
      </c>
      <c r="I27" s="46">
        <f t="shared" si="18"/>
        <v>0</v>
      </c>
      <c r="J27" s="46">
        <f t="shared" si="18"/>
        <v>0</v>
      </c>
      <c r="K27" s="46">
        <f t="shared" si="18"/>
        <v>0</v>
      </c>
      <c r="L27" s="46">
        <f t="shared" si="18"/>
        <v>0</v>
      </c>
      <c r="M27" s="46">
        <f t="shared" si="18"/>
        <v>0</v>
      </c>
      <c r="N27" s="46">
        <f t="shared" si="18"/>
        <v>0</v>
      </c>
      <c r="O27" s="46">
        <f t="shared" si="18"/>
        <v>0</v>
      </c>
      <c r="P27" s="47">
        <f t="shared" si="15"/>
        <v>0</v>
      </c>
    </row>
    <row r="28" spans="1:16">
      <c r="A28" s="45" t="s">
        <v>105</v>
      </c>
      <c r="B28" s="18" t="s">
        <v>17</v>
      </c>
      <c r="C28" s="18"/>
      <c r="D28" s="46">
        <f>Assumption!F71</f>
        <v>0</v>
      </c>
      <c r="E28" s="46">
        <f t="shared" si="11"/>
        <v>0</v>
      </c>
      <c r="F28" s="46">
        <f t="shared" si="16"/>
        <v>0</v>
      </c>
      <c r="G28" s="46">
        <f t="shared" ref="G28:O28" si="19">F28</f>
        <v>0</v>
      </c>
      <c r="H28" s="46">
        <f t="shared" si="19"/>
        <v>0</v>
      </c>
      <c r="I28" s="46">
        <f t="shared" si="19"/>
        <v>0</v>
      </c>
      <c r="J28" s="46">
        <f t="shared" si="19"/>
        <v>0</v>
      </c>
      <c r="K28" s="46">
        <f t="shared" si="19"/>
        <v>0</v>
      </c>
      <c r="L28" s="46">
        <f t="shared" si="19"/>
        <v>0</v>
      </c>
      <c r="M28" s="46">
        <f t="shared" si="19"/>
        <v>0</v>
      </c>
      <c r="N28" s="46">
        <f t="shared" si="19"/>
        <v>0</v>
      </c>
      <c r="O28" s="46">
        <f t="shared" si="19"/>
        <v>0</v>
      </c>
      <c r="P28" s="47">
        <f t="shared" si="15"/>
        <v>0</v>
      </c>
    </row>
    <row r="29" spans="1:16">
      <c r="A29" s="45" t="s">
        <v>105</v>
      </c>
      <c r="B29" s="18" t="s">
        <v>18</v>
      </c>
      <c r="C29" s="18"/>
      <c r="D29" s="46">
        <f>Assumption!F70</f>
        <v>0</v>
      </c>
      <c r="E29" s="46">
        <f t="shared" si="11"/>
        <v>0</v>
      </c>
      <c r="F29" s="46">
        <f t="shared" si="16"/>
        <v>0</v>
      </c>
      <c r="G29" s="46">
        <f t="shared" ref="G29:O29" si="20">F29</f>
        <v>0</v>
      </c>
      <c r="H29" s="46">
        <f t="shared" si="20"/>
        <v>0</v>
      </c>
      <c r="I29" s="46">
        <f t="shared" si="20"/>
        <v>0</v>
      </c>
      <c r="J29" s="46">
        <f t="shared" si="20"/>
        <v>0</v>
      </c>
      <c r="K29" s="46">
        <f t="shared" si="20"/>
        <v>0</v>
      </c>
      <c r="L29" s="46">
        <f t="shared" si="20"/>
        <v>0</v>
      </c>
      <c r="M29" s="46">
        <f t="shared" si="20"/>
        <v>0</v>
      </c>
      <c r="N29" s="46">
        <f t="shared" si="20"/>
        <v>0</v>
      </c>
      <c r="O29" s="46">
        <f t="shared" si="20"/>
        <v>0</v>
      </c>
      <c r="P29" s="47">
        <f t="shared" si="15"/>
        <v>0</v>
      </c>
    </row>
    <row r="30" spans="1:16">
      <c r="A30" s="45" t="s">
        <v>102</v>
      </c>
      <c r="B30" s="18" t="s">
        <v>19</v>
      </c>
      <c r="C30" s="18"/>
      <c r="D30" s="46">
        <f>Assumption!F72</f>
        <v>0</v>
      </c>
      <c r="E30" s="46">
        <f t="shared" si="11"/>
        <v>0</v>
      </c>
      <c r="F30" s="46">
        <f t="shared" si="16"/>
        <v>0</v>
      </c>
      <c r="G30" s="46">
        <f t="shared" ref="G30:O30" si="21">F30</f>
        <v>0</v>
      </c>
      <c r="H30" s="46">
        <f t="shared" si="21"/>
        <v>0</v>
      </c>
      <c r="I30" s="46">
        <f t="shared" si="21"/>
        <v>0</v>
      </c>
      <c r="J30" s="46">
        <f t="shared" si="21"/>
        <v>0</v>
      </c>
      <c r="K30" s="46">
        <f t="shared" si="21"/>
        <v>0</v>
      </c>
      <c r="L30" s="46">
        <f t="shared" si="21"/>
        <v>0</v>
      </c>
      <c r="M30" s="46">
        <f t="shared" si="21"/>
        <v>0</v>
      </c>
      <c r="N30" s="46">
        <f t="shared" si="21"/>
        <v>0</v>
      </c>
      <c r="O30" s="46">
        <f t="shared" si="21"/>
        <v>0</v>
      </c>
      <c r="P30" s="47">
        <f t="shared" si="15"/>
        <v>0</v>
      </c>
    </row>
    <row r="31" spans="1:16">
      <c r="A31" s="45" t="s">
        <v>105</v>
      </c>
      <c r="B31" s="18" t="s">
        <v>20</v>
      </c>
      <c r="C31" s="18"/>
      <c r="D31" s="46">
        <v>0</v>
      </c>
      <c r="E31" s="46">
        <f t="shared" si="11"/>
        <v>0</v>
      </c>
      <c r="F31" s="46">
        <f t="shared" si="16"/>
        <v>0</v>
      </c>
      <c r="G31" s="46">
        <f t="shared" ref="G31:O31" si="22">F31</f>
        <v>0</v>
      </c>
      <c r="H31" s="46">
        <f t="shared" si="22"/>
        <v>0</v>
      </c>
      <c r="I31" s="46">
        <f t="shared" si="22"/>
        <v>0</v>
      </c>
      <c r="J31" s="46">
        <f t="shared" si="22"/>
        <v>0</v>
      </c>
      <c r="K31" s="46">
        <f t="shared" si="22"/>
        <v>0</v>
      </c>
      <c r="L31" s="46">
        <f t="shared" si="22"/>
        <v>0</v>
      </c>
      <c r="M31" s="46">
        <f t="shared" si="22"/>
        <v>0</v>
      </c>
      <c r="N31" s="46">
        <f t="shared" si="22"/>
        <v>0</v>
      </c>
      <c r="O31" s="46">
        <f t="shared" si="22"/>
        <v>0</v>
      </c>
      <c r="P31" s="47">
        <f t="shared" si="15"/>
        <v>0</v>
      </c>
    </row>
    <row r="32" spans="1:16">
      <c r="A32" s="45"/>
      <c r="B32" s="50" t="s">
        <v>21</v>
      </c>
      <c r="C32" s="18"/>
      <c r="D32" s="44">
        <f>SUM(D26:D31)</f>
        <v>0</v>
      </c>
      <c r="E32" s="44">
        <f t="shared" ref="E32:O32" si="23">SUM(E26:E31)</f>
        <v>0</v>
      </c>
      <c r="F32" s="44">
        <f t="shared" si="23"/>
        <v>0</v>
      </c>
      <c r="G32" s="44">
        <f t="shared" si="23"/>
        <v>0</v>
      </c>
      <c r="H32" s="44">
        <f t="shared" si="23"/>
        <v>0</v>
      </c>
      <c r="I32" s="44">
        <f t="shared" si="23"/>
        <v>0</v>
      </c>
      <c r="J32" s="44">
        <f t="shared" si="23"/>
        <v>0</v>
      </c>
      <c r="K32" s="44">
        <f t="shared" si="23"/>
        <v>0</v>
      </c>
      <c r="L32" s="44">
        <f t="shared" si="23"/>
        <v>0</v>
      </c>
      <c r="M32" s="44">
        <f t="shared" si="23"/>
        <v>0</v>
      </c>
      <c r="N32" s="44">
        <f t="shared" si="23"/>
        <v>0</v>
      </c>
      <c r="O32" s="44">
        <f t="shared" si="23"/>
        <v>0</v>
      </c>
      <c r="P32" s="49">
        <f t="shared" si="15"/>
        <v>0</v>
      </c>
    </row>
    <row r="33" spans="1:16">
      <c r="A33" s="74" t="s">
        <v>106</v>
      </c>
      <c r="B33" s="75" t="s">
        <v>22</v>
      </c>
      <c r="C33" s="18"/>
      <c r="D33" s="46">
        <f>Assumption!F76+Assumption!F79</f>
        <v>12000</v>
      </c>
      <c r="E33" s="46">
        <f t="shared" si="11"/>
        <v>12000</v>
      </c>
      <c r="F33" s="46">
        <f>D33</f>
        <v>12000</v>
      </c>
      <c r="G33" s="46">
        <f t="shared" ref="G33:O33" si="24">F33</f>
        <v>12000</v>
      </c>
      <c r="H33" s="46">
        <f t="shared" si="24"/>
        <v>12000</v>
      </c>
      <c r="I33" s="46">
        <f t="shared" si="24"/>
        <v>12000</v>
      </c>
      <c r="J33" s="46">
        <f t="shared" si="24"/>
        <v>12000</v>
      </c>
      <c r="K33" s="46">
        <f t="shared" si="24"/>
        <v>12000</v>
      </c>
      <c r="L33" s="46">
        <f t="shared" si="24"/>
        <v>12000</v>
      </c>
      <c r="M33" s="46">
        <f t="shared" si="24"/>
        <v>12000</v>
      </c>
      <c r="N33" s="46">
        <f t="shared" si="24"/>
        <v>12000</v>
      </c>
      <c r="O33" s="46">
        <f t="shared" si="24"/>
        <v>12000</v>
      </c>
      <c r="P33" s="47">
        <f t="shared" si="15"/>
        <v>144000</v>
      </c>
    </row>
    <row r="34" spans="1:16">
      <c r="A34" s="45" t="s">
        <v>107</v>
      </c>
      <c r="B34" s="18" t="s">
        <v>23</v>
      </c>
      <c r="C34" s="18"/>
      <c r="D34" s="46">
        <f>Assumption!F77</f>
        <v>750</v>
      </c>
      <c r="E34" s="46">
        <f t="shared" si="11"/>
        <v>750</v>
      </c>
      <c r="F34" s="46">
        <f>D34</f>
        <v>750</v>
      </c>
      <c r="G34" s="46">
        <f t="shared" ref="G34:O34" si="25">F34</f>
        <v>750</v>
      </c>
      <c r="H34" s="46">
        <f t="shared" si="25"/>
        <v>750</v>
      </c>
      <c r="I34" s="46">
        <f t="shared" si="25"/>
        <v>750</v>
      </c>
      <c r="J34" s="46">
        <f t="shared" si="25"/>
        <v>750</v>
      </c>
      <c r="K34" s="46">
        <f t="shared" si="25"/>
        <v>750</v>
      </c>
      <c r="L34" s="46">
        <f t="shared" si="25"/>
        <v>750</v>
      </c>
      <c r="M34" s="46">
        <f t="shared" si="25"/>
        <v>750</v>
      </c>
      <c r="N34" s="46">
        <f t="shared" si="25"/>
        <v>750</v>
      </c>
      <c r="O34" s="46">
        <f t="shared" si="25"/>
        <v>750</v>
      </c>
      <c r="P34" s="47">
        <f t="shared" si="15"/>
        <v>9000</v>
      </c>
    </row>
    <row r="35" spans="1:16">
      <c r="A35" s="45" t="s">
        <v>106</v>
      </c>
      <c r="B35" s="18" t="s">
        <v>24</v>
      </c>
      <c r="C35" s="18"/>
      <c r="D35" s="46">
        <f>Assumption!F78</f>
        <v>8000</v>
      </c>
      <c r="E35" s="46">
        <f t="shared" si="11"/>
        <v>8000</v>
      </c>
      <c r="F35" s="46">
        <f>D35</f>
        <v>8000</v>
      </c>
      <c r="G35" s="46">
        <f t="shared" ref="G35:O35" si="26">F35</f>
        <v>8000</v>
      </c>
      <c r="H35" s="46">
        <f t="shared" si="26"/>
        <v>8000</v>
      </c>
      <c r="I35" s="46">
        <f t="shared" si="26"/>
        <v>8000</v>
      </c>
      <c r="J35" s="46">
        <f t="shared" si="26"/>
        <v>8000</v>
      </c>
      <c r="K35" s="46">
        <f t="shared" si="26"/>
        <v>8000</v>
      </c>
      <c r="L35" s="46">
        <f t="shared" si="26"/>
        <v>8000</v>
      </c>
      <c r="M35" s="46">
        <f t="shared" si="26"/>
        <v>8000</v>
      </c>
      <c r="N35" s="46">
        <f t="shared" si="26"/>
        <v>8000</v>
      </c>
      <c r="O35" s="46">
        <f t="shared" si="26"/>
        <v>8000</v>
      </c>
      <c r="P35" s="47">
        <f t="shared" si="15"/>
        <v>96000</v>
      </c>
    </row>
    <row r="36" spans="1:16">
      <c r="A36" s="45"/>
      <c r="B36" s="50" t="s">
        <v>25</v>
      </c>
      <c r="C36" s="18"/>
      <c r="D36" s="44">
        <f>SUM(D33:D35)</f>
        <v>20750</v>
      </c>
      <c r="E36" s="44">
        <f t="shared" ref="E36:O36" si="27">SUM(E33:E35)</f>
        <v>20750</v>
      </c>
      <c r="F36" s="44">
        <f t="shared" si="27"/>
        <v>20750</v>
      </c>
      <c r="G36" s="44">
        <f t="shared" si="27"/>
        <v>20750</v>
      </c>
      <c r="H36" s="44">
        <f t="shared" si="27"/>
        <v>20750</v>
      </c>
      <c r="I36" s="44">
        <f t="shared" si="27"/>
        <v>20750</v>
      </c>
      <c r="J36" s="44">
        <f t="shared" si="27"/>
        <v>20750</v>
      </c>
      <c r="K36" s="44">
        <f t="shared" si="27"/>
        <v>20750</v>
      </c>
      <c r="L36" s="44">
        <f t="shared" si="27"/>
        <v>20750</v>
      </c>
      <c r="M36" s="44">
        <f t="shared" si="27"/>
        <v>20750</v>
      </c>
      <c r="N36" s="44">
        <f t="shared" si="27"/>
        <v>20750</v>
      </c>
      <c r="O36" s="44">
        <f t="shared" si="27"/>
        <v>20750</v>
      </c>
      <c r="P36" s="49">
        <f t="shared" ref="P36:P43" si="28">SUM(D36:O36)</f>
        <v>249000</v>
      </c>
    </row>
    <row r="37" spans="1:16">
      <c r="A37" s="45" t="s">
        <v>108</v>
      </c>
      <c r="B37" s="18" t="s">
        <v>26</v>
      </c>
      <c r="C37" s="18"/>
      <c r="D37" s="46">
        <f>Assumption!F83</f>
        <v>0</v>
      </c>
      <c r="E37" s="46">
        <f t="shared" si="11"/>
        <v>0</v>
      </c>
      <c r="F37" s="46">
        <f t="shared" ref="F37:F43" si="29">D37</f>
        <v>0</v>
      </c>
      <c r="G37" s="46">
        <f t="shared" ref="G37:O37" si="30">F37</f>
        <v>0</v>
      </c>
      <c r="H37" s="46">
        <f t="shared" si="30"/>
        <v>0</v>
      </c>
      <c r="I37" s="46">
        <f t="shared" si="30"/>
        <v>0</v>
      </c>
      <c r="J37" s="46">
        <f t="shared" si="30"/>
        <v>0</v>
      </c>
      <c r="K37" s="46">
        <f t="shared" si="30"/>
        <v>0</v>
      </c>
      <c r="L37" s="46">
        <f t="shared" si="30"/>
        <v>0</v>
      </c>
      <c r="M37" s="46">
        <f t="shared" si="30"/>
        <v>0</v>
      </c>
      <c r="N37" s="46">
        <f t="shared" si="30"/>
        <v>0</v>
      </c>
      <c r="O37" s="46">
        <f t="shared" si="30"/>
        <v>0</v>
      </c>
      <c r="P37" s="47">
        <f t="shared" si="28"/>
        <v>0</v>
      </c>
    </row>
    <row r="38" spans="1:16">
      <c r="A38" s="45" t="s">
        <v>109</v>
      </c>
      <c r="B38" s="18" t="s">
        <v>27</v>
      </c>
      <c r="C38" s="18"/>
      <c r="D38" s="46">
        <f>Assumption!F85</f>
        <v>0</v>
      </c>
      <c r="E38" s="46">
        <f t="shared" si="11"/>
        <v>0</v>
      </c>
      <c r="F38" s="46">
        <f t="shared" si="29"/>
        <v>0</v>
      </c>
      <c r="G38" s="46">
        <f t="shared" ref="G38:O38" si="31">F38</f>
        <v>0</v>
      </c>
      <c r="H38" s="46">
        <f t="shared" si="31"/>
        <v>0</v>
      </c>
      <c r="I38" s="46">
        <f t="shared" si="31"/>
        <v>0</v>
      </c>
      <c r="J38" s="46">
        <f t="shared" si="31"/>
        <v>0</v>
      </c>
      <c r="K38" s="46">
        <f t="shared" si="31"/>
        <v>0</v>
      </c>
      <c r="L38" s="46">
        <f t="shared" si="31"/>
        <v>0</v>
      </c>
      <c r="M38" s="46">
        <f t="shared" si="31"/>
        <v>0</v>
      </c>
      <c r="N38" s="46">
        <f t="shared" si="31"/>
        <v>0</v>
      </c>
      <c r="O38" s="46">
        <f t="shared" si="31"/>
        <v>0</v>
      </c>
      <c r="P38" s="47">
        <f t="shared" si="28"/>
        <v>0</v>
      </c>
    </row>
    <row r="39" spans="1:16">
      <c r="A39" s="45" t="s">
        <v>110</v>
      </c>
      <c r="B39" s="18" t="s">
        <v>28</v>
      </c>
      <c r="C39" s="18"/>
      <c r="D39" s="46">
        <f>Assumption!F88</f>
        <v>2000</v>
      </c>
      <c r="E39" s="46">
        <f t="shared" si="11"/>
        <v>2000</v>
      </c>
      <c r="F39" s="46">
        <f t="shared" si="29"/>
        <v>2000</v>
      </c>
      <c r="G39" s="46">
        <f t="shared" ref="G39:O39" si="32">F39</f>
        <v>2000</v>
      </c>
      <c r="H39" s="46">
        <f t="shared" si="32"/>
        <v>2000</v>
      </c>
      <c r="I39" s="46">
        <f t="shared" si="32"/>
        <v>2000</v>
      </c>
      <c r="J39" s="46">
        <f t="shared" si="32"/>
        <v>2000</v>
      </c>
      <c r="K39" s="46">
        <f t="shared" si="32"/>
        <v>2000</v>
      </c>
      <c r="L39" s="46">
        <f t="shared" si="32"/>
        <v>2000</v>
      </c>
      <c r="M39" s="46">
        <f t="shared" si="32"/>
        <v>2000</v>
      </c>
      <c r="N39" s="46">
        <f t="shared" si="32"/>
        <v>2000</v>
      </c>
      <c r="O39" s="46">
        <f t="shared" si="32"/>
        <v>2000</v>
      </c>
      <c r="P39" s="47">
        <f t="shared" si="28"/>
        <v>24000</v>
      </c>
    </row>
    <row r="40" spans="1:16">
      <c r="A40" s="45" t="s">
        <v>111</v>
      </c>
      <c r="B40" s="18" t="s">
        <v>29</v>
      </c>
      <c r="C40" s="18"/>
      <c r="D40" s="46">
        <f>Assumption!F89</f>
        <v>75</v>
      </c>
      <c r="E40" s="46">
        <f t="shared" si="11"/>
        <v>75</v>
      </c>
      <c r="F40" s="46">
        <f t="shared" si="29"/>
        <v>75</v>
      </c>
      <c r="G40" s="46">
        <f t="shared" ref="G40:O40" si="33">F40</f>
        <v>75</v>
      </c>
      <c r="H40" s="46">
        <f t="shared" si="33"/>
        <v>75</v>
      </c>
      <c r="I40" s="46">
        <f t="shared" si="33"/>
        <v>75</v>
      </c>
      <c r="J40" s="46">
        <f t="shared" si="33"/>
        <v>75</v>
      </c>
      <c r="K40" s="46">
        <f t="shared" si="33"/>
        <v>75</v>
      </c>
      <c r="L40" s="46">
        <f t="shared" si="33"/>
        <v>75</v>
      </c>
      <c r="M40" s="46">
        <f t="shared" si="33"/>
        <v>75</v>
      </c>
      <c r="N40" s="46">
        <f t="shared" si="33"/>
        <v>75</v>
      </c>
      <c r="O40" s="46">
        <f t="shared" si="33"/>
        <v>75</v>
      </c>
      <c r="P40" s="47">
        <f t="shared" si="28"/>
        <v>900</v>
      </c>
    </row>
    <row r="41" spans="1:16">
      <c r="A41" s="45" t="s">
        <v>109</v>
      </c>
      <c r="B41" s="18" t="s">
        <v>30</v>
      </c>
      <c r="C41" s="18"/>
      <c r="D41" s="46">
        <f>Assumption!F87</f>
        <v>0</v>
      </c>
      <c r="E41" s="46">
        <f t="shared" si="11"/>
        <v>0</v>
      </c>
      <c r="F41" s="46">
        <f t="shared" si="29"/>
        <v>0</v>
      </c>
      <c r="G41" s="46">
        <f t="shared" ref="G41:O41" si="34">F41</f>
        <v>0</v>
      </c>
      <c r="H41" s="46">
        <f t="shared" si="34"/>
        <v>0</v>
      </c>
      <c r="I41" s="46">
        <f t="shared" si="34"/>
        <v>0</v>
      </c>
      <c r="J41" s="46">
        <f t="shared" si="34"/>
        <v>0</v>
      </c>
      <c r="K41" s="46">
        <f t="shared" si="34"/>
        <v>0</v>
      </c>
      <c r="L41" s="46">
        <f t="shared" si="34"/>
        <v>0</v>
      </c>
      <c r="M41" s="46">
        <f t="shared" si="34"/>
        <v>0</v>
      </c>
      <c r="N41" s="46">
        <f t="shared" si="34"/>
        <v>0</v>
      </c>
      <c r="O41" s="46">
        <f t="shared" si="34"/>
        <v>0</v>
      </c>
      <c r="P41" s="47">
        <f t="shared" si="28"/>
        <v>0</v>
      </c>
    </row>
    <row r="42" spans="1:16">
      <c r="A42" s="45" t="s">
        <v>109</v>
      </c>
      <c r="B42" s="18" t="s">
        <v>31</v>
      </c>
      <c r="C42" s="18"/>
      <c r="D42" s="46">
        <f>Assumption!F91</f>
        <v>300</v>
      </c>
      <c r="E42" s="46">
        <f t="shared" si="11"/>
        <v>300</v>
      </c>
      <c r="F42" s="46">
        <f t="shared" si="29"/>
        <v>300</v>
      </c>
      <c r="G42" s="46">
        <f t="shared" ref="G42:O42" si="35">F42</f>
        <v>300</v>
      </c>
      <c r="H42" s="46">
        <f t="shared" si="35"/>
        <v>300</v>
      </c>
      <c r="I42" s="46">
        <f t="shared" si="35"/>
        <v>300</v>
      </c>
      <c r="J42" s="46">
        <f t="shared" si="35"/>
        <v>300</v>
      </c>
      <c r="K42" s="46">
        <f t="shared" si="35"/>
        <v>300</v>
      </c>
      <c r="L42" s="46">
        <f t="shared" si="35"/>
        <v>300</v>
      </c>
      <c r="M42" s="46">
        <f t="shared" si="35"/>
        <v>300</v>
      </c>
      <c r="N42" s="46">
        <f t="shared" si="35"/>
        <v>300</v>
      </c>
      <c r="O42" s="46">
        <f t="shared" si="35"/>
        <v>300</v>
      </c>
      <c r="P42" s="47">
        <f t="shared" si="28"/>
        <v>3600</v>
      </c>
    </row>
    <row r="43" spans="1:16">
      <c r="A43" s="45" t="s">
        <v>110</v>
      </c>
      <c r="B43" s="18" t="s">
        <v>32</v>
      </c>
      <c r="C43" s="18"/>
      <c r="D43" s="46">
        <f>Assumption!F90</f>
        <v>350</v>
      </c>
      <c r="E43" s="46">
        <f t="shared" si="11"/>
        <v>350</v>
      </c>
      <c r="F43" s="46">
        <f t="shared" si="29"/>
        <v>350</v>
      </c>
      <c r="G43" s="46">
        <f t="shared" ref="G43:O43" si="36">F43</f>
        <v>350</v>
      </c>
      <c r="H43" s="46">
        <f t="shared" si="36"/>
        <v>350</v>
      </c>
      <c r="I43" s="46">
        <f t="shared" si="36"/>
        <v>350</v>
      </c>
      <c r="J43" s="46">
        <f t="shared" si="36"/>
        <v>350</v>
      </c>
      <c r="K43" s="46">
        <f t="shared" si="36"/>
        <v>350</v>
      </c>
      <c r="L43" s="46">
        <f t="shared" si="36"/>
        <v>350</v>
      </c>
      <c r="M43" s="46">
        <f t="shared" si="36"/>
        <v>350</v>
      </c>
      <c r="N43" s="46">
        <f t="shared" si="36"/>
        <v>350</v>
      </c>
      <c r="O43" s="46">
        <f t="shared" si="36"/>
        <v>350</v>
      </c>
      <c r="P43" s="47">
        <f t="shared" si="28"/>
        <v>4200</v>
      </c>
    </row>
    <row r="44" spans="1:16">
      <c r="A44" s="45"/>
      <c r="B44" s="50" t="s">
        <v>33</v>
      </c>
      <c r="C44" s="18"/>
      <c r="D44" s="44">
        <f>SUM(D37:D43)</f>
        <v>2725</v>
      </c>
      <c r="E44" s="44">
        <f t="shared" ref="E44:O44" si="37">SUM(E37:E43)</f>
        <v>2725</v>
      </c>
      <c r="F44" s="44">
        <f t="shared" si="37"/>
        <v>2725</v>
      </c>
      <c r="G44" s="44">
        <f t="shared" si="37"/>
        <v>2725</v>
      </c>
      <c r="H44" s="44">
        <f t="shared" si="37"/>
        <v>2725</v>
      </c>
      <c r="I44" s="44">
        <f t="shared" si="37"/>
        <v>2725</v>
      </c>
      <c r="J44" s="44">
        <f t="shared" si="37"/>
        <v>2725</v>
      </c>
      <c r="K44" s="44">
        <f t="shared" si="37"/>
        <v>2725</v>
      </c>
      <c r="L44" s="44">
        <f t="shared" si="37"/>
        <v>2725</v>
      </c>
      <c r="M44" s="44">
        <f t="shared" si="37"/>
        <v>2725</v>
      </c>
      <c r="N44" s="44">
        <f t="shared" si="37"/>
        <v>2725</v>
      </c>
      <c r="O44" s="44">
        <f t="shared" si="37"/>
        <v>2725</v>
      </c>
      <c r="P44" s="49">
        <f t="shared" ref="P44:P59" si="38">SUM(D44:O44)</f>
        <v>32700</v>
      </c>
    </row>
    <row r="45" spans="1:16">
      <c r="A45" s="45" t="s">
        <v>112</v>
      </c>
      <c r="B45" s="18" t="s">
        <v>34</v>
      </c>
      <c r="C45" s="18"/>
      <c r="D45" s="46">
        <f>Assumption!F95</f>
        <v>10000</v>
      </c>
      <c r="E45" s="46">
        <f t="shared" si="11"/>
        <v>10000</v>
      </c>
      <c r="F45" s="46">
        <f>D45</f>
        <v>10000</v>
      </c>
      <c r="G45" s="46">
        <f t="shared" ref="G45:O45" si="39">F45</f>
        <v>10000</v>
      </c>
      <c r="H45" s="46">
        <f t="shared" si="39"/>
        <v>10000</v>
      </c>
      <c r="I45" s="46">
        <f t="shared" si="39"/>
        <v>10000</v>
      </c>
      <c r="J45" s="46">
        <f t="shared" si="39"/>
        <v>10000</v>
      </c>
      <c r="K45" s="46">
        <f t="shared" si="39"/>
        <v>10000</v>
      </c>
      <c r="L45" s="46">
        <f t="shared" si="39"/>
        <v>10000</v>
      </c>
      <c r="M45" s="46">
        <f t="shared" si="39"/>
        <v>10000</v>
      </c>
      <c r="N45" s="46">
        <f t="shared" si="39"/>
        <v>10000</v>
      </c>
      <c r="O45" s="46">
        <f t="shared" si="39"/>
        <v>10000</v>
      </c>
      <c r="P45" s="47">
        <f t="shared" si="38"/>
        <v>120000</v>
      </c>
    </row>
    <row r="46" spans="1:16">
      <c r="A46" s="45" t="s">
        <v>113</v>
      </c>
      <c r="B46" s="18" t="s">
        <v>35</v>
      </c>
      <c r="C46" s="18"/>
      <c r="D46" s="46">
        <f>Assumption!F96</f>
        <v>10000</v>
      </c>
      <c r="E46" s="46">
        <f t="shared" si="11"/>
        <v>10000</v>
      </c>
      <c r="F46" s="46">
        <f>D46</f>
        <v>10000</v>
      </c>
      <c r="G46" s="46">
        <f t="shared" ref="G46:O46" si="40">F46</f>
        <v>10000</v>
      </c>
      <c r="H46" s="46">
        <f t="shared" si="40"/>
        <v>10000</v>
      </c>
      <c r="I46" s="46">
        <f t="shared" si="40"/>
        <v>10000</v>
      </c>
      <c r="J46" s="46">
        <f t="shared" si="40"/>
        <v>10000</v>
      </c>
      <c r="K46" s="46">
        <f t="shared" si="40"/>
        <v>10000</v>
      </c>
      <c r="L46" s="46">
        <f t="shared" si="40"/>
        <v>10000</v>
      </c>
      <c r="M46" s="46">
        <f t="shared" si="40"/>
        <v>10000</v>
      </c>
      <c r="N46" s="46">
        <f t="shared" si="40"/>
        <v>10000</v>
      </c>
      <c r="O46" s="46">
        <f t="shared" si="40"/>
        <v>10000</v>
      </c>
      <c r="P46" s="47">
        <f t="shared" si="38"/>
        <v>120000</v>
      </c>
    </row>
    <row r="47" spans="1:16">
      <c r="A47" s="45" t="s">
        <v>113</v>
      </c>
      <c r="B47" s="18" t="s">
        <v>36</v>
      </c>
      <c r="C47" s="18"/>
      <c r="D47" s="46"/>
      <c r="E47" s="46">
        <f t="shared" si="11"/>
        <v>0</v>
      </c>
      <c r="F47" s="46">
        <f>D47</f>
        <v>0</v>
      </c>
      <c r="G47" s="46">
        <f t="shared" ref="G47:O47" si="41">F47</f>
        <v>0</v>
      </c>
      <c r="H47" s="46">
        <f t="shared" si="41"/>
        <v>0</v>
      </c>
      <c r="I47" s="46">
        <f t="shared" si="41"/>
        <v>0</v>
      </c>
      <c r="J47" s="46">
        <f t="shared" si="41"/>
        <v>0</v>
      </c>
      <c r="K47" s="46">
        <f t="shared" si="41"/>
        <v>0</v>
      </c>
      <c r="L47" s="46">
        <f t="shared" si="41"/>
        <v>0</v>
      </c>
      <c r="M47" s="46">
        <f t="shared" si="41"/>
        <v>0</v>
      </c>
      <c r="N47" s="46">
        <f t="shared" si="41"/>
        <v>0</v>
      </c>
      <c r="O47" s="46">
        <f t="shared" si="41"/>
        <v>0</v>
      </c>
      <c r="P47" s="47">
        <f t="shared" si="38"/>
        <v>0</v>
      </c>
    </row>
    <row r="48" spans="1:16">
      <c r="A48" s="45" t="s">
        <v>112</v>
      </c>
      <c r="B48" s="18" t="s">
        <v>37</v>
      </c>
      <c r="C48" s="18"/>
      <c r="D48" s="46">
        <f>Assumption!F97</f>
        <v>5000</v>
      </c>
      <c r="E48" s="46">
        <f t="shared" si="11"/>
        <v>5000</v>
      </c>
      <c r="F48" s="46">
        <f>D48</f>
        <v>5000</v>
      </c>
      <c r="G48" s="46">
        <f t="shared" ref="G48:O48" si="42">F48</f>
        <v>5000</v>
      </c>
      <c r="H48" s="46">
        <f t="shared" si="42"/>
        <v>5000</v>
      </c>
      <c r="I48" s="46">
        <f t="shared" si="42"/>
        <v>5000</v>
      </c>
      <c r="J48" s="46">
        <f t="shared" si="42"/>
        <v>5000</v>
      </c>
      <c r="K48" s="46">
        <f t="shared" si="42"/>
        <v>5000</v>
      </c>
      <c r="L48" s="46">
        <f t="shared" si="42"/>
        <v>5000</v>
      </c>
      <c r="M48" s="46">
        <f t="shared" si="42"/>
        <v>5000</v>
      </c>
      <c r="N48" s="46">
        <f t="shared" si="42"/>
        <v>5000</v>
      </c>
      <c r="O48" s="46">
        <f t="shared" si="42"/>
        <v>5000</v>
      </c>
      <c r="P48" s="47">
        <f t="shared" si="38"/>
        <v>60000</v>
      </c>
    </row>
    <row r="49" spans="1:16">
      <c r="A49" s="45"/>
      <c r="B49" s="50" t="s">
        <v>38</v>
      </c>
      <c r="C49" s="18"/>
      <c r="D49" s="44">
        <f>SUM(D45:D48)</f>
        <v>25000</v>
      </c>
      <c r="E49" s="44">
        <f t="shared" ref="E49:O49" si="43">SUM(E45:E48)</f>
        <v>25000</v>
      </c>
      <c r="F49" s="44">
        <f t="shared" si="43"/>
        <v>25000</v>
      </c>
      <c r="G49" s="44">
        <f t="shared" si="43"/>
        <v>25000</v>
      </c>
      <c r="H49" s="44">
        <f t="shared" si="43"/>
        <v>25000</v>
      </c>
      <c r="I49" s="44">
        <f t="shared" si="43"/>
        <v>25000</v>
      </c>
      <c r="J49" s="44">
        <f t="shared" si="43"/>
        <v>25000</v>
      </c>
      <c r="K49" s="44">
        <f t="shared" si="43"/>
        <v>25000</v>
      </c>
      <c r="L49" s="44">
        <f t="shared" si="43"/>
        <v>25000</v>
      </c>
      <c r="M49" s="44">
        <f t="shared" si="43"/>
        <v>25000</v>
      </c>
      <c r="N49" s="44">
        <f t="shared" si="43"/>
        <v>25000</v>
      </c>
      <c r="O49" s="44">
        <f t="shared" si="43"/>
        <v>25000</v>
      </c>
      <c r="P49" s="49">
        <f t="shared" si="38"/>
        <v>300000</v>
      </c>
    </row>
    <row r="50" spans="1:16">
      <c r="A50" s="45" t="s">
        <v>114</v>
      </c>
      <c r="B50" s="50" t="s">
        <v>39</v>
      </c>
      <c r="C50" s="18"/>
      <c r="D50" s="46"/>
      <c r="E50" s="46">
        <f t="shared" si="11"/>
        <v>0</v>
      </c>
      <c r="F50" s="46">
        <f>D50</f>
        <v>0</v>
      </c>
      <c r="G50" s="46">
        <f t="shared" ref="G50:O50" si="44">F50</f>
        <v>0</v>
      </c>
      <c r="H50" s="46">
        <f t="shared" si="44"/>
        <v>0</v>
      </c>
      <c r="I50" s="46">
        <f t="shared" si="44"/>
        <v>0</v>
      </c>
      <c r="J50" s="46">
        <f t="shared" si="44"/>
        <v>0</v>
      </c>
      <c r="K50" s="46">
        <f t="shared" si="44"/>
        <v>0</v>
      </c>
      <c r="L50" s="46">
        <f t="shared" si="44"/>
        <v>0</v>
      </c>
      <c r="M50" s="46">
        <f t="shared" si="44"/>
        <v>0</v>
      </c>
      <c r="N50" s="46">
        <f t="shared" si="44"/>
        <v>0</v>
      </c>
      <c r="O50" s="46">
        <f t="shared" si="44"/>
        <v>0</v>
      </c>
      <c r="P50" s="47">
        <f t="shared" si="38"/>
        <v>0</v>
      </c>
    </row>
    <row r="51" spans="1:16">
      <c r="A51" s="45" t="s">
        <v>115</v>
      </c>
      <c r="B51" s="18" t="s">
        <v>40</v>
      </c>
      <c r="C51" s="18"/>
      <c r="D51" s="46">
        <f>Assumption!F105</f>
        <v>0</v>
      </c>
      <c r="E51" s="46">
        <f t="shared" si="11"/>
        <v>0</v>
      </c>
      <c r="F51" s="46">
        <f>D51</f>
        <v>0</v>
      </c>
      <c r="G51" s="46">
        <f t="shared" ref="G51:O51" si="45">F51</f>
        <v>0</v>
      </c>
      <c r="H51" s="46">
        <f t="shared" si="45"/>
        <v>0</v>
      </c>
      <c r="I51" s="46">
        <f t="shared" si="45"/>
        <v>0</v>
      </c>
      <c r="J51" s="46">
        <f t="shared" si="45"/>
        <v>0</v>
      </c>
      <c r="K51" s="46">
        <f t="shared" si="45"/>
        <v>0</v>
      </c>
      <c r="L51" s="46">
        <f t="shared" si="45"/>
        <v>0</v>
      </c>
      <c r="M51" s="46">
        <f t="shared" si="45"/>
        <v>0</v>
      </c>
      <c r="N51" s="46">
        <f t="shared" si="45"/>
        <v>0</v>
      </c>
      <c r="O51" s="46">
        <f t="shared" si="45"/>
        <v>0</v>
      </c>
      <c r="P51" s="47">
        <f t="shared" si="38"/>
        <v>0</v>
      </c>
    </row>
    <row r="52" spans="1:16">
      <c r="A52" s="45" t="s">
        <v>116</v>
      </c>
      <c r="B52" s="18" t="s">
        <v>41</v>
      </c>
      <c r="C52" s="18"/>
      <c r="D52" s="46">
        <f>Assumption!F106</f>
        <v>700</v>
      </c>
      <c r="E52" s="46">
        <f t="shared" si="11"/>
        <v>700</v>
      </c>
      <c r="F52" s="46">
        <f>D52</f>
        <v>700</v>
      </c>
      <c r="G52" s="46">
        <f t="shared" ref="G52:O52" si="46">F52</f>
        <v>700</v>
      </c>
      <c r="H52" s="46">
        <f t="shared" si="46"/>
        <v>700</v>
      </c>
      <c r="I52" s="46">
        <f t="shared" si="46"/>
        <v>700</v>
      </c>
      <c r="J52" s="46">
        <f t="shared" si="46"/>
        <v>700</v>
      </c>
      <c r="K52" s="46">
        <f t="shared" si="46"/>
        <v>700</v>
      </c>
      <c r="L52" s="46">
        <f t="shared" si="46"/>
        <v>700</v>
      </c>
      <c r="M52" s="46">
        <f t="shared" si="46"/>
        <v>700</v>
      </c>
      <c r="N52" s="46">
        <f t="shared" si="46"/>
        <v>700</v>
      </c>
      <c r="O52" s="46">
        <f t="shared" si="46"/>
        <v>700</v>
      </c>
      <c r="P52" s="47">
        <f t="shared" si="38"/>
        <v>8400</v>
      </c>
    </row>
    <row r="53" spans="1:16">
      <c r="A53" s="45"/>
      <c r="B53" s="50" t="s">
        <v>42</v>
      </c>
      <c r="C53" s="18"/>
      <c r="D53" s="44">
        <f>SUM(D51:D52)</f>
        <v>700</v>
      </c>
      <c r="E53" s="44">
        <f t="shared" ref="E53:O53" si="47">SUM(E51:E52)</f>
        <v>700</v>
      </c>
      <c r="F53" s="44">
        <f t="shared" si="47"/>
        <v>700</v>
      </c>
      <c r="G53" s="44">
        <f t="shared" si="47"/>
        <v>700</v>
      </c>
      <c r="H53" s="44">
        <f t="shared" si="47"/>
        <v>700</v>
      </c>
      <c r="I53" s="44">
        <f t="shared" si="47"/>
        <v>700</v>
      </c>
      <c r="J53" s="44">
        <f t="shared" si="47"/>
        <v>700</v>
      </c>
      <c r="K53" s="44">
        <f t="shared" si="47"/>
        <v>700</v>
      </c>
      <c r="L53" s="44">
        <f t="shared" si="47"/>
        <v>700</v>
      </c>
      <c r="M53" s="44">
        <f t="shared" si="47"/>
        <v>700</v>
      </c>
      <c r="N53" s="44">
        <f t="shared" si="47"/>
        <v>700</v>
      </c>
      <c r="O53" s="44">
        <f t="shared" si="47"/>
        <v>700</v>
      </c>
      <c r="P53" s="49">
        <f t="shared" si="38"/>
        <v>8400</v>
      </c>
    </row>
    <row r="54" spans="1:16">
      <c r="A54" s="45" t="s">
        <v>117</v>
      </c>
      <c r="B54" s="18" t="s">
        <v>145</v>
      </c>
      <c r="C54" s="17"/>
      <c r="D54" s="46">
        <v>3500</v>
      </c>
      <c r="E54" s="46">
        <v>7000</v>
      </c>
      <c r="F54" s="46">
        <v>3500</v>
      </c>
      <c r="G54" s="46">
        <v>3500</v>
      </c>
      <c r="H54" s="46">
        <v>7000</v>
      </c>
      <c r="I54" s="46">
        <v>3500</v>
      </c>
      <c r="J54" s="46">
        <v>3500</v>
      </c>
      <c r="K54" s="46">
        <v>7000</v>
      </c>
      <c r="L54" s="46">
        <v>3500</v>
      </c>
      <c r="M54" s="46">
        <v>3500</v>
      </c>
      <c r="N54" s="46">
        <v>3500</v>
      </c>
      <c r="O54" s="46">
        <v>3500</v>
      </c>
      <c r="P54" s="47">
        <f t="shared" si="38"/>
        <v>52500</v>
      </c>
    </row>
    <row r="55" spans="1:16">
      <c r="A55" s="45" t="s">
        <v>118</v>
      </c>
      <c r="B55" s="18" t="s">
        <v>43</v>
      </c>
      <c r="C55" s="17"/>
      <c r="D55" s="46">
        <v>0</v>
      </c>
      <c r="E55" s="46">
        <f>D55</f>
        <v>0</v>
      </c>
      <c r="F55" s="46">
        <f>D55</f>
        <v>0</v>
      </c>
      <c r="G55" s="46">
        <f t="shared" ref="G55:O55" si="48">F55</f>
        <v>0</v>
      </c>
      <c r="H55" s="46">
        <f t="shared" si="48"/>
        <v>0</v>
      </c>
      <c r="I55" s="46">
        <f t="shared" si="48"/>
        <v>0</v>
      </c>
      <c r="J55" s="46">
        <f t="shared" si="48"/>
        <v>0</v>
      </c>
      <c r="K55" s="46">
        <f t="shared" si="48"/>
        <v>0</v>
      </c>
      <c r="L55" s="46">
        <f t="shared" si="48"/>
        <v>0</v>
      </c>
      <c r="M55" s="46">
        <f t="shared" si="48"/>
        <v>0</v>
      </c>
      <c r="N55" s="46">
        <f t="shared" si="48"/>
        <v>0</v>
      </c>
      <c r="O55" s="46">
        <f t="shared" si="48"/>
        <v>0</v>
      </c>
      <c r="P55" s="47">
        <f t="shared" si="38"/>
        <v>0</v>
      </c>
    </row>
    <row r="56" spans="1:16">
      <c r="A56" s="74" t="s">
        <v>119</v>
      </c>
      <c r="B56" s="75" t="s">
        <v>49</v>
      </c>
      <c r="C56" s="17"/>
      <c r="D56" s="46">
        <f>Assumption!F122</f>
        <v>12586.840824037812</v>
      </c>
      <c r="E56" s="46">
        <f>D56</f>
        <v>12586.840824037812</v>
      </c>
      <c r="F56" s="46">
        <f>D56</f>
        <v>12586.840824037812</v>
      </c>
      <c r="G56" s="46">
        <f t="shared" ref="G56:O56" si="49">F56</f>
        <v>12586.840824037812</v>
      </c>
      <c r="H56" s="46">
        <f t="shared" si="49"/>
        <v>12586.840824037812</v>
      </c>
      <c r="I56" s="46">
        <f t="shared" si="49"/>
        <v>12586.840824037812</v>
      </c>
      <c r="J56" s="46">
        <f t="shared" si="49"/>
        <v>12586.840824037812</v>
      </c>
      <c r="K56" s="46">
        <f t="shared" si="49"/>
        <v>12586.840824037812</v>
      </c>
      <c r="L56" s="46">
        <f t="shared" si="49"/>
        <v>12586.840824037812</v>
      </c>
      <c r="M56" s="46">
        <f t="shared" si="49"/>
        <v>12586.840824037812</v>
      </c>
      <c r="N56" s="46">
        <f t="shared" si="49"/>
        <v>12586.840824037812</v>
      </c>
      <c r="O56" s="46">
        <f t="shared" si="49"/>
        <v>12586.840824037812</v>
      </c>
      <c r="P56" s="47">
        <f t="shared" si="38"/>
        <v>151042.08988845377</v>
      </c>
    </row>
    <row r="57" spans="1:16">
      <c r="A57" s="74" t="s">
        <v>120</v>
      </c>
      <c r="B57" s="75" t="s">
        <v>50</v>
      </c>
      <c r="C57" s="17"/>
      <c r="D57" s="46">
        <f>Assumption!F121</f>
        <v>12000</v>
      </c>
      <c r="E57" s="46">
        <f>D57</f>
        <v>12000</v>
      </c>
      <c r="F57" s="46">
        <f>D57</f>
        <v>12000</v>
      </c>
      <c r="G57" s="46">
        <f t="shared" ref="G57:O57" si="50">F57</f>
        <v>12000</v>
      </c>
      <c r="H57" s="46">
        <f t="shared" si="50"/>
        <v>12000</v>
      </c>
      <c r="I57" s="46">
        <f t="shared" si="50"/>
        <v>12000</v>
      </c>
      <c r="J57" s="46">
        <f t="shared" si="50"/>
        <v>12000</v>
      </c>
      <c r="K57" s="46">
        <f t="shared" si="50"/>
        <v>12000</v>
      </c>
      <c r="L57" s="46">
        <f t="shared" si="50"/>
        <v>12000</v>
      </c>
      <c r="M57" s="46">
        <f t="shared" si="50"/>
        <v>12000</v>
      </c>
      <c r="N57" s="46">
        <f t="shared" si="50"/>
        <v>12000</v>
      </c>
      <c r="O57" s="46">
        <f t="shared" si="50"/>
        <v>12000</v>
      </c>
      <c r="P57" s="47">
        <f t="shared" si="38"/>
        <v>144000</v>
      </c>
    </row>
    <row r="58" spans="1:16">
      <c r="A58" s="74" t="s">
        <v>105</v>
      </c>
      <c r="B58" s="75" t="s">
        <v>94</v>
      </c>
      <c r="C58" s="17"/>
      <c r="D58" s="46">
        <f>Assumption!F35</f>
        <v>44000</v>
      </c>
      <c r="E58" s="46">
        <f>D58</f>
        <v>44000</v>
      </c>
      <c r="F58" s="46">
        <f>D58</f>
        <v>44000</v>
      </c>
      <c r="G58" s="46">
        <f t="shared" ref="G58:O59" si="51">F58</f>
        <v>44000</v>
      </c>
      <c r="H58" s="46">
        <f t="shared" si="51"/>
        <v>44000</v>
      </c>
      <c r="I58" s="46">
        <f t="shared" si="51"/>
        <v>44000</v>
      </c>
      <c r="J58" s="46">
        <f t="shared" si="51"/>
        <v>44000</v>
      </c>
      <c r="K58" s="46">
        <f t="shared" si="51"/>
        <v>44000</v>
      </c>
      <c r="L58" s="46">
        <f t="shared" si="51"/>
        <v>44000</v>
      </c>
      <c r="M58" s="46">
        <f t="shared" si="51"/>
        <v>44000</v>
      </c>
      <c r="N58" s="46">
        <f t="shared" si="51"/>
        <v>44000</v>
      </c>
      <c r="O58" s="46">
        <f t="shared" si="51"/>
        <v>44000</v>
      </c>
      <c r="P58" s="47">
        <f>SUM(D58:O58)</f>
        <v>528000</v>
      </c>
    </row>
    <row r="59" spans="1:16">
      <c r="A59" s="45" t="s">
        <v>105</v>
      </c>
      <c r="B59" s="18" t="s">
        <v>44</v>
      </c>
      <c r="C59" s="17"/>
      <c r="D59" s="46">
        <f>Assumption!F125</f>
        <v>0</v>
      </c>
      <c r="E59" s="46">
        <f>D59</f>
        <v>0</v>
      </c>
      <c r="F59" s="46">
        <f>D59</f>
        <v>0</v>
      </c>
      <c r="G59" s="46">
        <f t="shared" si="51"/>
        <v>0</v>
      </c>
      <c r="H59" s="46">
        <f t="shared" si="51"/>
        <v>0</v>
      </c>
      <c r="I59" s="46">
        <f t="shared" si="51"/>
        <v>0</v>
      </c>
      <c r="J59" s="46">
        <f t="shared" si="51"/>
        <v>0</v>
      </c>
      <c r="K59" s="46">
        <f t="shared" si="51"/>
        <v>0</v>
      </c>
      <c r="L59" s="46">
        <f t="shared" si="51"/>
        <v>0</v>
      </c>
      <c r="M59" s="46">
        <f t="shared" si="51"/>
        <v>0</v>
      </c>
      <c r="N59" s="46">
        <f t="shared" si="51"/>
        <v>0</v>
      </c>
      <c r="O59" s="46">
        <f t="shared" si="51"/>
        <v>0</v>
      </c>
      <c r="P59" s="47">
        <f t="shared" si="38"/>
        <v>0</v>
      </c>
    </row>
    <row r="60" spans="1:16">
      <c r="A60" s="45"/>
      <c r="B60" s="50" t="s">
        <v>45</v>
      </c>
      <c r="C60" s="17"/>
      <c r="D60" s="44">
        <f>D14+D17+D25+D32+D36+D44+D49+D50+D53+SUM(D54:D59)</f>
        <v>333703.38249070453</v>
      </c>
      <c r="E60" s="44">
        <f t="shared" ref="E60:O60" si="52">E14+E17+E25+E32+E36+E44+E49+E50+E53+SUM(E54:E59)</f>
        <v>349205.21131014894</v>
      </c>
      <c r="F60" s="44">
        <f t="shared" si="52"/>
        <v>345705.21131014894</v>
      </c>
      <c r="G60" s="44">
        <f t="shared" si="52"/>
        <v>345705.21131014894</v>
      </c>
      <c r="H60" s="44">
        <f t="shared" si="52"/>
        <v>349205.21131014894</v>
      </c>
      <c r="I60" s="44">
        <f t="shared" si="52"/>
        <v>345705.21131014894</v>
      </c>
      <c r="J60" s="44">
        <f t="shared" si="52"/>
        <v>345705.21131014894</v>
      </c>
      <c r="K60" s="44">
        <f t="shared" si="52"/>
        <v>349205.21131014894</v>
      </c>
      <c r="L60" s="44">
        <f t="shared" si="52"/>
        <v>345705.21131014894</v>
      </c>
      <c r="M60" s="44">
        <f t="shared" si="52"/>
        <v>345705.21131014894</v>
      </c>
      <c r="N60" s="44">
        <f t="shared" si="52"/>
        <v>345705.21131014894</v>
      </c>
      <c r="O60" s="44">
        <f t="shared" si="52"/>
        <v>345705.21131014894</v>
      </c>
      <c r="P60" s="49">
        <f>SUM(D60:O60)</f>
        <v>4146960.7069023438</v>
      </c>
    </row>
    <row r="61" spans="1:16">
      <c r="A61" s="45" t="s">
        <v>121</v>
      </c>
      <c r="B61" s="18" t="s">
        <v>46</v>
      </c>
      <c r="C61" s="17"/>
      <c r="D61" s="46"/>
      <c r="E61" s="46"/>
      <c r="F61" s="46"/>
      <c r="G61" s="46"/>
      <c r="H61" s="46"/>
      <c r="I61" s="46">
        <f>Assumption!F117</f>
        <v>0</v>
      </c>
      <c r="J61" s="46">
        <f t="shared" ref="J61:O61" si="53">I61</f>
        <v>0</v>
      </c>
      <c r="K61" s="46">
        <f t="shared" si="53"/>
        <v>0</v>
      </c>
      <c r="L61" s="46">
        <f t="shared" si="53"/>
        <v>0</v>
      </c>
      <c r="M61" s="46">
        <f t="shared" si="53"/>
        <v>0</v>
      </c>
      <c r="N61" s="46">
        <f t="shared" si="53"/>
        <v>0</v>
      </c>
      <c r="O61" s="46">
        <f t="shared" si="53"/>
        <v>0</v>
      </c>
      <c r="P61" s="47">
        <f>SUM(D61:O61)</f>
        <v>0</v>
      </c>
    </row>
    <row r="62" spans="1:16">
      <c r="A62" s="45" t="s">
        <v>122</v>
      </c>
      <c r="B62" s="18" t="s">
        <v>47</v>
      </c>
      <c r="C62" s="17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7">
        <f>SUM(D62:O62)</f>
        <v>0</v>
      </c>
    </row>
    <row r="63" spans="1:16">
      <c r="A63" s="52"/>
      <c r="B63" s="50" t="s">
        <v>137</v>
      </c>
      <c r="C63" s="17"/>
      <c r="D63" s="44">
        <f>SUM(D61:D62)</f>
        <v>0</v>
      </c>
      <c r="E63" s="44">
        <f t="shared" ref="E63:O63" si="54">SUM(E61:E62)</f>
        <v>0</v>
      </c>
      <c r="F63" s="44">
        <f t="shared" si="54"/>
        <v>0</v>
      </c>
      <c r="G63" s="44">
        <f t="shared" si="54"/>
        <v>0</v>
      </c>
      <c r="H63" s="44">
        <f t="shared" si="54"/>
        <v>0</v>
      </c>
      <c r="I63" s="44">
        <f t="shared" si="54"/>
        <v>0</v>
      </c>
      <c r="J63" s="44">
        <f t="shared" si="54"/>
        <v>0</v>
      </c>
      <c r="K63" s="44">
        <f t="shared" si="54"/>
        <v>0</v>
      </c>
      <c r="L63" s="44">
        <f t="shared" si="54"/>
        <v>0</v>
      </c>
      <c r="M63" s="44">
        <f t="shared" si="54"/>
        <v>0</v>
      </c>
      <c r="N63" s="44">
        <f t="shared" si="54"/>
        <v>0</v>
      </c>
      <c r="O63" s="44">
        <f t="shared" si="54"/>
        <v>0</v>
      </c>
      <c r="P63" s="49">
        <f>SUM(D63:O63)</f>
        <v>0</v>
      </c>
    </row>
    <row r="64" spans="1:16">
      <c r="A64" s="68" t="s">
        <v>123</v>
      </c>
      <c r="B64" s="69" t="s">
        <v>95</v>
      </c>
      <c r="C64" s="58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7">
        <f>SUM(D64:O64)</f>
        <v>0</v>
      </c>
    </row>
    <row r="65" spans="1:16">
      <c r="A65" s="53"/>
      <c r="B65" s="54" t="s">
        <v>48</v>
      </c>
      <c r="C65" s="55"/>
      <c r="D65" s="56">
        <f>D63+D60+D64</f>
        <v>333703.38249070453</v>
      </c>
      <c r="E65" s="56">
        <f t="shared" ref="E65:P65" si="55">E63+E60+E64</f>
        <v>349205.21131014894</v>
      </c>
      <c r="F65" s="56">
        <f t="shared" si="55"/>
        <v>345705.21131014894</v>
      </c>
      <c r="G65" s="56">
        <f t="shared" si="55"/>
        <v>345705.21131014894</v>
      </c>
      <c r="H65" s="56">
        <f t="shared" si="55"/>
        <v>349205.21131014894</v>
      </c>
      <c r="I65" s="56">
        <f t="shared" si="55"/>
        <v>345705.21131014894</v>
      </c>
      <c r="J65" s="56">
        <f t="shared" si="55"/>
        <v>345705.21131014894</v>
      </c>
      <c r="K65" s="56">
        <f t="shared" si="55"/>
        <v>349205.21131014894</v>
      </c>
      <c r="L65" s="56">
        <f t="shared" si="55"/>
        <v>345705.21131014894</v>
      </c>
      <c r="M65" s="56">
        <f t="shared" si="55"/>
        <v>345705.21131014894</v>
      </c>
      <c r="N65" s="56">
        <f t="shared" si="55"/>
        <v>345705.21131014894</v>
      </c>
      <c r="O65" s="56">
        <f t="shared" si="55"/>
        <v>345705.21131014894</v>
      </c>
      <c r="P65" s="57">
        <f t="shared" si="55"/>
        <v>4146960.7069023438</v>
      </c>
    </row>
    <row r="67" spans="1:16">
      <c r="A67" s="13" t="str">
        <f ca="1">CELL("FILENAME")</f>
        <v>O:\Enron Net Works\Accounting\2001 Plan\Deal Bench\[Deal Bench 2001 Plan.xls]Cash and Non-Cash</v>
      </c>
    </row>
    <row r="68" spans="1:16">
      <c r="D68" s="29"/>
    </row>
    <row r="72" spans="1:16">
      <c r="D72" s="82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2" t="s">
        <v>124</v>
      </c>
    </row>
    <row r="73" spans="1:16">
      <c r="D73" s="83">
        <v>36892</v>
      </c>
      <c r="E73" s="66">
        <v>36923</v>
      </c>
      <c r="F73" s="66">
        <v>36951</v>
      </c>
      <c r="G73" s="66">
        <v>36982</v>
      </c>
      <c r="H73" s="66">
        <v>37012</v>
      </c>
      <c r="I73" s="66">
        <v>37043</v>
      </c>
      <c r="J73" s="66">
        <v>37073</v>
      </c>
      <c r="K73" s="66">
        <v>37104</v>
      </c>
      <c r="L73" s="66">
        <v>37135</v>
      </c>
      <c r="M73" s="66">
        <v>37165</v>
      </c>
      <c r="N73" s="66">
        <v>37196</v>
      </c>
      <c r="O73" s="66">
        <v>37226</v>
      </c>
      <c r="P73" s="67" t="s">
        <v>125</v>
      </c>
    </row>
    <row r="74" spans="1:16">
      <c r="A74" s="80" t="s">
        <v>142</v>
      </c>
    </row>
    <row r="75" spans="1:16">
      <c r="A75" s="1" t="s">
        <v>143</v>
      </c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>
        <f>SUM(D75:O75)</f>
        <v>0</v>
      </c>
    </row>
    <row r="76" spans="1:16">
      <c r="A76" s="1" t="s">
        <v>144</v>
      </c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>
        <f>SUM(D76:O76)</f>
        <v>0</v>
      </c>
    </row>
    <row r="77" spans="1:16">
      <c r="A77" s="1" t="s">
        <v>146</v>
      </c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>
        <f>SUM(D77:O77)</f>
        <v>0</v>
      </c>
    </row>
    <row r="78" spans="1:16">
      <c r="A78" s="1" t="s">
        <v>147</v>
      </c>
      <c r="D78" s="84">
        <f>SUM(D75:D77)</f>
        <v>0</v>
      </c>
      <c r="E78" s="84">
        <f t="shared" ref="E78:O78" si="56">SUM(E75:E77)</f>
        <v>0</v>
      </c>
      <c r="F78" s="84">
        <f t="shared" si="56"/>
        <v>0</v>
      </c>
      <c r="G78" s="84">
        <f t="shared" si="56"/>
        <v>0</v>
      </c>
      <c r="H78" s="84">
        <f t="shared" si="56"/>
        <v>0</v>
      </c>
      <c r="I78" s="84">
        <f t="shared" si="56"/>
        <v>0</v>
      </c>
      <c r="J78" s="84">
        <f t="shared" si="56"/>
        <v>0</v>
      </c>
      <c r="K78" s="84">
        <f t="shared" si="56"/>
        <v>0</v>
      </c>
      <c r="L78" s="84">
        <f t="shared" si="56"/>
        <v>0</v>
      </c>
      <c r="M78" s="84">
        <f t="shared" si="56"/>
        <v>0</v>
      </c>
      <c r="N78" s="84">
        <f t="shared" si="56"/>
        <v>0</v>
      </c>
      <c r="O78" s="84">
        <f t="shared" si="56"/>
        <v>0</v>
      </c>
      <c r="P78" s="84">
        <f>SUM(D78:O78)</f>
        <v>0</v>
      </c>
    </row>
  </sheetData>
  <printOptions horizontalCentered="1"/>
  <pageMargins left="0.1" right="0.1" top="0.45" bottom="0.5" header="0" footer="0"/>
  <pageSetup scale="58" orientation="landscape" verticalDpi="300" r:id="rId1"/>
  <headerFooter alignWithMargins="0">
    <oddFooter>&amp;L&amp;"Arial Narrow,Regular"&amp;8&amp;D
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zoomScale="90" workbookViewId="0"/>
  </sheetViews>
  <sheetFormatPr defaultColWidth="9.33203125" defaultRowHeight="13.8"/>
  <cols>
    <col min="1" max="1" width="14.44140625" style="1" customWidth="1"/>
    <col min="2" max="2" width="42" style="1" customWidth="1"/>
    <col min="3" max="3" width="1.44140625" style="1" customWidth="1"/>
    <col min="4" max="15" width="11.77734375" style="1" customWidth="1"/>
    <col min="16" max="16" width="14.44140625" style="1" customWidth="1"/>
    <col min="17" max="16384" width="9.33203125" style="1"/>
  </cols>
  <sheetData>
    <row r="1" spans="1:16" s="21" customFormat="1" ht="9.75" customHeight="1">
      <c r="A1" s="36"/>
      <c r="B1" s="37"/>
      <c r="C1" s="37"/>
    </row>
    <row r="2" spans="1:16" s="41" customFormat="1" ht="27" customHeight="1">
      <c r="A2" s="38" t="s">
        <v>138</v>
      </c>
      <c r="B2" s="38"/>
      <c r="C2" s="38"/>
      <c r="D2" s="39"/>
      <c r="E2" s="39"/>
      <c r="F2" s="39"/>
      <c r="G2" s="40"/>
    </row>
    <row r="3" spans="1:16" s="41" customFormat="1" ht="27" customHeight="1">
      <c r="A3" s="38" t="s">
        <v>135</v>
      </c>
      <c r="B3" s="38"/>
      <c r="C3" s="38"/>
      <c r="D3" s="39"/>
      <c r="E3" s="39"/>
      <c r="F3" s="39"/>
      <c r="G3" s="40"/>
      <c r="P3" s="42" t="s">
        <v>187</v>
      </c>
    </row>
    <row r="4" spans="1:16" s="14" customFormat="1" ht="13.5" customHeight="1">
      <c r="C4" s="15"/>
      <c r="F4" s="16"/>
      <c r="G4" s="16"/>
      <c r="H4" s="19"/>
    </row>
    <row r="5" spans="1:16" s="14" customFormat="1" ht="14.25" customHeight="1" thickBot="1">
      <c r="B5" s="77" t="s">
        <v>126</v>
      </c>
      <c r="C5" s="78"/>
      <c r="D5" s="79" t="s">
        <v>348</v>
      </c>
    </row>
    <row r="6" spans="1:16" s="14" customFormat="1" ht="14.25" customHeight="1" thickBot="1">
      <c r="B6" s="77" t="s">
        <v>128</v>
      </c>
      <c r="C6" s="78"/>
      <c r="D6" s="79" t="s">
        <v>349</v>
      </c>
      <c r="G6" s="16"/>
      <c r="M6" s="43" t="s">
        <v>133</v>
      </c>
      <c r="N6" s="81">
        <v>36797</v>
      </c>
    </row>
    <row r="7" spans="1:16" s="14" customFormat="1" ht="14.4" thickBot="1">
      <c r="B7" s="15" t="s">
        <v>141</v>
      </c>
      <c r="D7" s="72" t="s">
        <v>350</v>
      </c>
      <c r="G7" s="16"/>
      <c r="M7" s="73"/>
    </row>
    <row r="8" spans="1:16" s="14" customFormat="1" ht="14.4" thickBot="1">
      <c r="B8" s="15" t="s">
        <v>140</v>
      </c>
      <c r="D8" s="72" t="s">
        <v>349</v>
      </c>
      <c r="G8" s="16"/>
      <c r="M8" s="73" t="s">
        <v>139</v>
      </c>
    </row>
    <row r="9" spans="1:16" s="14" customFormat="1">
      <c r="C9" s="15"/>
      <c r="G9" s="16"/>
      <c r="M9" s="73" t="s">
        <v>230</v>
      </c>
    </row>
    <row r="10" spans="1:16" s="14" customFormat="1">
      <c r="C10" s="15"/>
      <c r="G10" s="16"/>
      <c r="M10" s="73"/>
    </row>
    <row r="11" spans="1:16" s="14" customFormat="1">
      <c r="A11" s="105" t="s">
        <v>188</v>
      </c>
      <c r="B11" s="60"/>
      <c r="C11" s="60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2"/>
    </row>
    <row r="12" spans="1:16" s="14" customFormat="1">
      <c r="A12" s="106" t="s">
        <v>189</v>
      </c>
      <c r="B12" s="64" t="s">
        <v>190</v>
      </c>
      <c r="C12" s="65"/>
      <c r="D12" s="66">
        <v>36892</v>
      </c>
      <c r="E12" s="66">
        <v>36923</v>
      </c>
      <c r="F12" s="66">
        <v>36951</v>
      </c>
      <c r="G12" s="66">
        <v>36982</v>
      </c>
      <c r="H12" s="66">
        <v>37012</v>
      </c>
      <c r="I12" s="66">
        <v>37043</v>
      </c>
      <c r="J12" s="66">
        <v>37073</v>
      </c>
      <c r="K12" s="66">
        <v>37104</v>
      </c>
      <c r="L12" s="66">
        <v>37135</v>
      </c>
      <c r="M12" s="66">
        <v>37165</v>
      </c>
      <c r="N12" s="66">
        <v>37196</v>
      </c>
      <c r="O12" s="66">
        <v>37226</v>
      </c>
      <c r="P12" s="67" t="s">
        <v>191</v>
      </c>
    </row>
    <row r="13" spans="1:16" s="5" customFormat="1">
      <c r="A13" s="107" t="s">
        <v>192</v>
      </c>
      <c r="B13" s="18"/>
      <c r="C13" s="18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/>
    </row>
    <row r="14" spans="1:16" s="5" customFormat="1">
      <c r="A14" s="108" t="s">
        <v>193</v>
      </c>
      <c r="B14" s="18" t="s">
        <v>194</v>
      </c>
      <c r="C14" s="18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10">
        <f>SUM(D14:O14)</f>
        <v>0</v>
      </c>
    </row>
    <row r="15" spans="1:16" s="5" customFormat="1">
      <c r="A15" s="108" t="s">
        <v>195</v>
      </c>
      <c r="B15" s="18" t="s">
        <v>196</v>
      </c>
      <c r="C15" s="18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10">
        <f>SUM(D15:O15)</f>
        <v>0</v>
      </c>
    </row>
    <row r="16" spans="1:16" s="5" customFormat="1">
      <c r="A16" s="108" t="s">
        <v>197</v>
      </c>
      <c r="B16" s="18" t="s">
        <v>198</v>
      </c>
      <c r="C16" s="18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10">
        <f>SUM(D16:O16)</f>
        <v>0</v>
      </c>
    </row>
    <row r="17" spans="1:16" s="5" customFormat="1">
      <c r="A17" s="108" t="s">
        <v>199</v>
      </c>
      <c r="B17" s="18" t="s">
        <v>200</v>
      </c>
      <c r="C17" s="18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10">
        <f>SUM(D17:O17)</f>
        <v>0</v>
      </c>
    </row>
    <row r="18" spans="1:16" s="5" customFormat="1">
      <c r="A18" s="108" t="s">
        <v>201</v>
      </c>
      <c r="B18" s="18" t="s">
        <v>202</v>
      </c>
      <c r="C18" s="18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10">
        <f>SUM(D18:O18)</f>
        <v>0</v>
      </c>
    </row>
    <row r="19" spans="1:16" s="115" customFormat="1">
      <c r="A19" s="111"/>
      <c r="B19" s="112" t="s">
        <v>203</v>
      </c>
      <c r="C19" s="112"/>
      <c r="D19" s="113">
        <f t="shared" ref="D19:P19" si="0">SUM(D14:D18)</f>
        <v>0</v>
      </c>
      <c r="E19" s="113">
        <f t="shared" si="0"/>
        <v>0</v>
      </c>
      <c r="F19" s="113">
        <f t="shared" si="0"/>
        <v>0</v>
      </c>
      <c r="G19" s="113">
        <f t="shared" si="0"/>
        <v>0</v>
      </c>
      <c r="H19" s="113">
        <f t="shared" si="0"/>
        <v>0</v>
      </c>
      <c r="I19" s="113">
        <f t="shared" si="0"/>
        <v>0</v>
      </c>
      <c r="J19" s="113">
        <f t="shared" si="0"/>
        <v>0</v>
      </c>
      <c r="K19" s="113">
        <f t="shared" si="0"/>
        <v>0</v>
      </c>
      <c r="L19" s="113">
        <f t="shared" si="0"/>
        <v>0</v>
      </c>
      <c r="M19" s="113">
        <f t="shared" si="0"/>
        <v>0</v>
      </c>
      <c r="N19" s="113">
        <f t="shared" si="0"/>
        <v>0</v>
      </c>
      <c r="O19" s="113">
        <f t="shared" si="0"/>
        <v>0</v>
      </c>
      <c r="P19" s="114">
        <f t="shared" si="0"/>
        <v>0</v>
      </c>
    </row>
    <row r="20" spans="1:16" s="5" customFormat="1">
      <c r="A20" s="107" t="s">
        <v>204</v>
      </c>
      <c r="B20" s="18"/>
      <c r="C20" s="18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110"/>
    </row>
    <row r="21" spans="1:16" s="5" customFormat="1">
      <c r="A21" s="108" t="s">
        <v>205</v>
      </c>
      <c r="B21" s="18" t="s">
        <v>206</v>
      </c>
      <c r="C21" s="18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10">
        <f t="shared" ref="P21:P31" si="1">SUM(D21:O21)</f>
        <v>0</v>
      </c>
    </row>
    <row r="22" spans="1:16" s="5" customFormat="1">
      <c r="A22" s="108" t="s">
        <v>207</v>
      </c>
      <c r="B22" s="18" t="s">
        <v>208</v>
      </c>
      <c r="C22" s="18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10">
        <f t="shared" si="1"/>
        <v>0</v>
      </c>
    </row>
    <row r="23" spans="1:16" s="5" customFormat="1">
      <c r="A23" s="108" t="s">
        <v>209</v>
      </c>
      <c r="B23" s="18" t="s">
        <v>210</v>
      </c>
      <c r="C23" s="18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10">
        <f t="shared" si="1"/>
        <v>0</v>
      </c>
    </row>
    <row r="24" spans="1:16" s="5" customFormat="1">
      <c r="A24" s="108" t="s">
        <v>211</v>
      </c>
      <c r="B24" s="18" t="s">
        <v>212</v>
      </c>
      <c r="C24" s="18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10">
        <f>SUM(D24:O24)</f>
        <v>0</v>
      </c>
    </row>
    <row r="25" spans="1:16" s="5" customFormat="1">
      <c r="A25" s="108" t="s">
        <v>213</v>
      </c>
      <c r="B25" s="18" t="s">
        <v>214</v>
      </c>
      <c r="C25" s="18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10">
        <f t="shared" si="1"/>
        <v>0</v>
      </c>
    </row>
    <row r="26" spans="1:16" s="5" customFormat="1">
      <c r="A26" s="108" t="s">
        <v>215</v>
      </c>
      <c r="B26" s="18" t="s">
        <v>216</v>
      </c>
      <c r="C26" s="18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10">
        <f t="shared" si="1"/>
        <v>0</v>
      </c>
    </row>
    <row r="27" spans="1:16" s="5" customFormat="1">
      <c r="A27" s="108" t="s">
        <v>217</v>
      </c>
      <c r="B27" s="18" t="s">
        <v>218</v>
      </c>
      <c r="C27" s="18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10">
        <f t="shared" si="1"/>
        <v>0</v>
      </c>
    </row>
    <row r="28" spans="1:16" s="5" customFormat="1">
      <c r="A28" s="108" t="s">
        <v>219</v>
      </c>
      <c r="B28" s="18" t="s">
        <v>220</v>
      </c>
      <c r="C28" s="18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10">
        <f t="shared" si="1"/>
        <v>0</v>
      </c>
    </row>
    <row r="29" spans="1:16" s="5" customFormat="1">
      <c r="A29" s="108" t="s">
        <v>221</v>
      </c>
      <c r="B29" s="18" t="s">
        <v>222</v>
      </c>
      <c r="C29" s="18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10">
        <f t="shared" si="1"/>
        <v>0</v>
      </c>
    </row>
    <row r="30" spans="1:16" s="5" customFormat="1">
      <c r="A30" s="108" t="s">
        <v>223</v>
      </c>
      <c r="B30" s="18" t="s">
        <v>224</v>
      </c>
      <c r="C30" s="18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10">
        <f>SUM(D30:O30)</f>
        <v>0</v>
      </c>
    </row>
    <row r="31" spans="1:16" s="5" customFormat="1">
      <c r="A31" s="108" t="s">
        <v>211</v>
      </c>
      <c r="B31" s="18" t="s">
        <v>225</v>
      </c>
      <c r="C31" s="18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10">
        <f t="shared" si="1"/>
        <v>0</v>
      </c>
    </row>
    <row r="32" spans="1:16" s="115" customFormat="1">
      <c r="A32" s="111"/>
      <c r="B32" s="112" t="s">
        <v>226</v>
      </c>
      <c r="C32" s="112"/>
      <c r="D32" s="113">
        <f t="shared" ref="D32:P32" si="2">SUM(D21:D31)</f>
        <v>0</v>
      </c>
      <c r="E32" s="113">
        <f t="shared" si="2"/>
        <v>0</v>
      </c>
      <c r="F32" s="113">
        <f t="shared" si="2"/>
        <v>0</v>
      </c>
      <c r="G32" s="113">
        <f t="shared" si="2"/>
        <v>0</v>
      </c>
      <c r="H32" s="113">
        <f t="shared" si="2"/>
        <v>0</v>
      </c>
      <c r="I32" s="113">
        <f t="shared" si="2"/>
        <v>0</v>
      </c>
      <c r="J32" s="113">
        <f t="shared" si="2"/>
        <v>0</v>
      </c>
      <c r="K32" s="113">
        <f t="shared" si="2"/>
        <v>0</v>
      </c>
      <c r="L32" s="113">
        <f t="shared" si="2"/>
        <v>0</v>
      </c>
      <c r="M32" s="113">
        <f t="shared" si="2"/>
        <v>0</v>
      </c>
      <c r="N32" s="113">
        <f t="shared" si="2"/>
        <v>0</v>
      </c>
      <c r="O32" s="113">
        <f t="shared" si="2"/>
        <v>0</v>
      </c>
      <c r="P32" s="114">
        <f t="shared" si="2"/>
        <v>0</v>
      </c>
    </row>
    <row r="33" spans="1:16" s="115" customFormat="1">
      <c r="A33" s="111"/>
      <c r="B33" s="112"/>
      <c r="C33" s="112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7"/>
    </row>
    <row r="34" spans="1:16" s="115" customFormat="1">
      <c r="A34" s="108" t="s">
        <v>227</v>
      </c>
      <c r="B34" s="112"/>
      <c r="C34" s="112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118"/>
    </row>
    <row r="35" spans="1:16">
      <c r="A35" s="119"/>
      <c r="B35" s="120" t="s">
        <v>228</v>
      </c>
      <c r="C35" s="121"/>
      <c r="D35" s="122">
        <f t="shared" ref="D35:P35" si="3">+D19+D32</f>
        <v>0</v>
      </c>
      <c r="E35" s="122">
        <f t="shared" si="3"/>
        <v>0</v>
      </c>
      <c r="F35" s="122">
        <f t="shared" si="3"/>
        <v>0</v>
      </c>
      <c r="G35" s="122">
        <f t="shared" si="3"/>
        <v>0</v>
      </c>
      <c r="H35" s="122">
        <f t="shared" si="3"/>
        <v>0</v>
      </c>
      <c r="I35" s="122">
        <f t="shared" si="3"/>
        <v>0</v>
      </c>
      <c r="J35" s="122">
        <f t="shared" si="3"/>
        <v>0</v>
      </c>
      <c r="K35" s="122">
        <f t="shared" si="3"/>
        <v>0</v>
      </c>
      <c r="L35" s="122">
        <f t="shared" si="3"/>
        <v>0</v>
      </c>
      <c r="M35" s="122">
        <f t="shared" si="3"/>
        <v>0</v>
      </c>
      <c r="N35" s="122">
        <f t="shared" si="3"/>
        <v>0</v>
      </c>
      <c r="O35" s="122">
        <f t="shared" si="3"/>
        <v>0</v>
      </c>
      <c r="P35" s="123">
        <f t="shared" si="3"/>
        <v>0</v>
      </c>
    </row>
    <row r="37" spans="1:16">
      <c r="A37" s="13" t="str">
        <f ca="1">CELL("FILENAME")</f>
        <v>O:\Enron Net Works\Accounting\2001 Plan\Deal Bench\[Deal Bench 2001 Plan.xls]Cash and Non-Cash</v>
      </c>
    </row>
  </sheetData>
  <printOptions horizontalCentered="1"/>
  <pageMargins left="0.1" right="0.1" top="0.45" bottom="0.5" header="0" footer="0"/>
  <pageSetup scale="70" orientation="landscape" verticalDpi="300" r:id="rId1"/>
  <headerFooter alignWithMargins="0">
    <oddFooter>&amp;L&amp;"Arial Narrow,Regular"&amp;8&amp;D
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5"/>
  <sheetViews>
    <sheetView topLeftCell="A2" workbookViewId="0">
      <selection activeCell="I46" sqref="I46"/>
    </sheetView>
  </sheetViews>
  <sheetFormatPr defaultColWidth="10.6640625" defaultRowHeight="13.2"/>
  <cols>
    <col min="1" max="2" width="10.6640625" style="126" customWidth="1"/>
    <col min="3" max="3" width="11.44140625" style="126" customWidth="1"/>
    <col min="4" max="7" width="10.6640625" style="126" customWidth="1"/>
    <col min="8" max="8" width="13" style="126" bestFit="1" customWidth="1"/>
    <col min="9" max="16384" width="10.6640625" style="126"/>
  </cols>
  <sheetData>
    <row r="1" spans="1:11" ht="17.399999999999999">
      <c r="B1" s="125"/>
      <c r="C1" s="125"/>
      <c r="D1" s="125"/>
      <c r="E1" s="154" t="s">
        <v>314</v>
      </c>
      <c r="G1" s="125"/>
      <c r="H1" s="125"/>
      <c r="I1" s="125"/>
      <c r="J1" s="125"/>
      <c r="K1" s="124"/>
    </row>
    <row r="2" spans="1:11" ht="17.399999999999999">
      <c r="B2" s="125"/>
      <c r="C2" s="125"/>
      <c r="D2" s="125"/>
      <c r="E2" s="154" t="s">
        <v>315</v>
      </c>
      <c r="G2" s="125"/>
      <c r="H2" s="125"/>
      <c r="I2" s="125"/>
      <c r="J2" s="125"/>
      <c r="K2" s="124"/>
    </row>
    <row r="3" spans="1:11" ht="15.6">
      <c r="B3" s="125"/>
      <c r="C3" s="125"/>
      <c r="D3" s="125"/>
      <c r="E3" s="125" t="s">
        <v>231</v>
      </c>
      <c r="G3" s="125"/>
      <c r="H3" s="125"/>
      <c r="I3" s="125"/>
      <c r="J3" s="125"/>
      <c r="K3" s="124"/>
    </row>
    <row r="4" spans="1:11" ht="15.6">
      <c r="B4" s="125"/>
      <c r="C4" s="125"/>
      <c r="D4" s="125"/>
      <c r="E4" s="125"/>
      <c r="G4" s="125"/>
      <c r="H4" s="125"/>
      <c r="I4" s="125"/>
      <c r="J4" s="125"/>
      <c r="K4" s="124"/>
    </row>
    <row r="5" spans="1:11" ht="14.4" thickBot="1">
      <c r="A5" s="155" t="s">
        <v>126</v>
      </c>
      <c r="B5" s="156"/>
      <c r="C5"/>
      <c r="D5" s="79" t="s">
        <v>348</v>
      </c>
      <c r="E5" s="124"/>
      <c r="G5" s="124"/>
      <c r="H5" s="124"/>
      <c r="I5" s="124"/>
      <c r="J5" s="124"/>
      <c r="K5" s="124"/>
    </row>
    <row r="6" spans="1:11" ht="14.4" thickBot="1">
      <c r="A6" s="155" t="s">
        <v>128</v>
      </c>
      <c r="B6" s="156"/>
      <c r="C6"/>
      <c r="D6" s="79" t="s">
        <v>349</v>
      </c>
      <c r="E6" s="124"/>
      <c r="G6" s="129"/>
      <c r="H6" s="129"/>
      <c r="I6" s="129"/>
      <c r="J6" s="129"/>
      <c r="K6" s="124"/>
    </row>
    <row r="7" spans="1:11" ht="14.4" thickBot="1">
      <c r="A7" s="43" t="s">
        <v>141</v>
      </c>
      <c r="B7" s="73"/>
      <c r="C7"/>
      <c r="D7" s="72" t="s">
        <v>350</v>
      </c>
      <c r="E7" s="124"/>
      <c r="F7" s="127"/>
      <c r="G7" s="129"/>
      <c r="H7" s="129"/>
      <c r="I7" s="129"/>
      <c r="J7" s="129"/>
      <c r="K7" s="124"/>
    </row>
    <row r="8" spans="1:11" ht="14.4" thickBot="1">
      <c r="A8" s="43" t="s">
        <v>140</v>
      </c>
      <c r="B8" s="73"/>
      <c r="C8"/>
      <c r="D8" s="72" t="s">
        <v>349</v>
      </c>
      <c r="E8" s="124"/>
      <c r="F8" s="128" t="s">
        <v>232</v>
      </c>
      <c r="G8" s="128"/>
      <c r="H8" s="128" t="s">
        <v>233</v>
      </c>
      <c r="I8" s="124"/>
      <c r="J8" s="124"/>
      <c r="K8" s="136"/>
    </row>
    <row r="9" spans="1:11">
      <c r="A9" s="127"/>
      <c r="B9" s="127"/>
      <c r="C9" s="127"/>
      <c r="D9" s="127"/>
      <c r="E9" s="124"/>
      <c r="F9" s="130" t="s">
        <v>234</v>
      </c>
      <c r="G9" s="131"/>
      <c r="H9" s="132" t="s">
        <v>235</v>
      </c>
      <c r="I9" s="124"/>
      <c r="J9" s="124"/>
      <c r="K9" s="124"/>
    </row>
    <row r="10" spans="1:11">
      <c r="A10" s="127" t="s">
        <v>236</v>
      </c>
      <c r="B10" s="124"/>
      <c r="C10" s="124"/>
      <c r="D10" s="124"/>
      <c r="E10" s="124"/>
      <c r="F10" s="124"/>
      <c r="G10" s="124"/>
      <c r="H10" s="124"/>
      <c r="I10" s="124"/>
      <c r="J10" s="124"/>
      <c r="K10" s="124"/>
    </row>
    <row r="11" spans="1:11">
      <c r="A11" s="124"/>
      <c r="B11" s="133" t="s">
        <v>237</v>
      </c>
      <c r="C11" s="134" t="s">
        <v>238</v>
      </c>
      <c r="D11" s="134"/>
      <c r="E11" s="134"/>
      <c r="F11" s="124"/>
      <c r="G11" s="124"/>
      <c r="H11" s="124"/>
      <c r="I11" s="124"/>
      <c r="J11" s="124"/>
      <c r="K11" s="124"/>
    </row>
    <row r="12" spans="1:11">
      <c r="A12" s="124"/>
      <c r="B12" s="124" t="s">
        <v>239</v>
      </c>
      <c r="C12" s="142">
        <f>Headcount!O13</f>
        <v>1</v>
      </c>
      <c r="D12" s="135"/>
      <c r="E12" s="136"/>
      <c r="F12" s="124">
        <f>15000*C12</f>
        <v>15000</v>
      </c>
      <c r="G12" s="124"/>
      <c r="H12" s="152">
        <f>F12*12</f>
        <v>180000</v>
      </c>
      <c r="I12" s="124"/>
      <c r="J12" s="124"/>
      <c r="K12" s="124"/>
    </row>
    <row r="13" spans="1:11">
      <c r="A13" s="124"/>
      <c r="B13" s="124" t="s">
        <v>240</v>
      </c>
      <c r="C13" s="142">
        <f>Headcount!O14</f>
        <v>4</v>
      </c>
      <c r="D13" s="135"/>
      <c r="E13" s="124"/>
      <c r="F13" s="124">
        <f>120000/12*C13</f>
        <v>40000</v>
      </c>
      <c r="G13" s="124"/>
      <c r="H13" s="152">
        <f>F13*12</f>
        <v>480000</v>
      </c>
      <c r="I13" s="124"/>
      <c r="J13" s="124"/>
      <c r="K13" s="124"/>
    </row>
    <row r="14" spans="1:11">
      <c r="A14" s="124"/>
      <c r="B14" s="141" t="s">
        <v>241</v>
      </c>
      <c r="C14" s="138">
        <f>Headcount!O15</f>
        <v>6</v>
      </c>
      <c r="D14" s="138"/>
      <c r="E14" s="141"/>
      <c r="F14" s="141">
        <f>88500/12*C14</f>
        <v>44250</v>
      </c>
      <c r="G14" s="141"/>
      <c r="H14" s="181">
        <f>F14*12</f>
        <v>531000</v>
      </c>
      <c r="I14" s="124"/>
      <c r="J14" s="124"/>
      <c r="K14" s="124"/>
    </row>
    <row r="15" spans="1:11">
      <c r="A15" s="124"/>
      <c r="B15" s="124" t="s">
        <v>351</v>
      </c>
      <c r="C15" s="138">
        <f>Headcount!O16</f>
        <v>1</v>
      </c>
      <c r="D15" s="138"/>
      <c r="E15" s="124"/>
      <c r="F15" s="141">
        <f>60000/12*C14:C15</f>
        <v>5000</v>
      </c>
      <c r="G15" s="124"/>
      <c r="H15" s="181">
        <f>F15*12</f>
        <v>60000</v>
      </c>
      <c r="I15" s="124"/>
      <c r="J15" s="124"/>
      <c r="K15" s="124"/>
    </row>
    <row r="16" spans="1:11">
      <c r="A16" s="124"/>
      <c r="B16" s="124" t="s">
        <v>352</v>
      </c>
      <c r="C16" s="137">
        <f>Headcount!O17</f>
        <v>1</v>
      </c>
      <c r="D16" s="138"/>
      <c r="E16" s="124"/>
      <c r="F16" s="140">
        <f>50000/12*C16</f>
        <v>4166.666666666667</v>
      </c>
      <c r="G16" s="124"/>
      <c r="H16" s="181">
        <f>F16*12</f>
        <v>50000</v>
      </c>
      <c r="I16" s="124"/>
      <c r="J16" s="124"/>
      <c r="K16" s="124"/>
    </row>
    <row r="17" spans="1:11">
      <c r="A17" s="124" t="s">
        <v>242</v>
      </c>
      <c r="B17" s="124"/>
      <c r="C17" s="142">
        <f>SUM(C12:C16)</f>
        <v>13</v>
      </c>
      <c r="D17" s="135"/>
      <c r="E17" s="124"/>
      <c r="F17" s="124">
        <f>SUM(F12:F16)</f>
        <v>108416.66666666667</v>
      </c>
      <c r="G17" s="124"/>
      <c r="H17" s="141">
        <f>SUM(H12:H16)</f>
        <v>1301000</v>
      </c>
      <c r="I17" s="124"/>
      <c r="J17" s="124"/>
      <c r="K17" s="124"/>
    </row>
    <row r="18" spans="1:11">
      <c r="A18" s="124"/>
      <c r="B18" s="124"/>
      <c r="C18" s="142"/>
      <c r="D18" s="142"/>
      <c r="E18" s="124"/>
      <c r="F18" s="124"/>
      <c r="G18" s="124"/>
      <c r="H18" s="141"/>
      <c r="I18" s="124"/>
      <c r="J18" s="124"/>
      <c r="K18" s="124"/>
    </row>
    <row r="19" spans="1:11">
      <c r="A19" s="124"/>
      <c r="B19" s="124" t="s">
        <v>243</v>
      </c>
      <c r="C19" s="142">
        <f>Headcount!O20</f>
        <v>3</v>
      </c>
      <c r="D19" s="142"/>
      <c r="E19" s="124"/>
      <c r="F19" s="124">
        <v>0</v>
      </c>
      <c r="G19" s="124"/>
      <c r="H19" s="152">
        <f>12*F19*C19</f>
        <v>0</v>
      </c>
      <c r="I19" s="124"/>
      <c r="J19" s="124"/>
      <c r="K19" s="124"/>
    </row>
    <row r="20" spans="1:11">
      <c r="A20" s="124"/>
      <c r="B20" s="124" t="s">
        <v>244</v>
      </c>
      <c r="C20" s="142">
        <f>Headcount!O21</f>
        <v>2</v>
      </c>
      <c r="D20" s="142"/>
      <c r="E20" s="124"/>
      <c r="F20" s="124"/>
      <c r="G20" s="124"/>
      <c r="H20" s="152">
        <f>F20*12</f>
        <v>0</v>
      </c>
      <c r="I20" s="124"/>
      <c r="J20" s="124"/>
      <c r="K20" s="124"/>
    </row>
    <row r="21" spans="1:11">
      <c r="A21" s="124"/>
      <c r="B21" s="124" t="s">
        <v>245</v>
      </c>
      <c r="C21" s="142">
        <f>Headcount!O18+Headcount!O23+Headcount!O24</f>
        <v>1</v>
      </c>
      <c r="D21" s="142"/>
      <c r="E21" s="124"/>
      <c r="F21" s="124">
        <f>75000/12*C21</f>
        <v>6250</v>
      </c>
      <c r="G21" s="124"/>
      <c r="H21" s="152">
        <f>12*F21</f>
        <v>75000</v>
      </c>
      <c r="I21" s="124"/>
      <c r="J21" s="124"/>
      <c r="K21" s="124"/>
    </row>
    <row r="22" spans="1:11">
      <c r="A22" s="124"/>
      <c r="B22" s="124" t="s">
        <v>246</v>
      </c>
      <c r="C22" s="142">
        <v>0</v>
      </c>
      <c r="D22" s="142"/>
      <c r="E22" s="124"/>
      <c r="F22" s="124">
        <v>0</v>
      </c>
      <c r="G22" s="124"/>
      <c r="H22" s="152">
        <f>12*F22</f>
        <v>0</v>
      </c>
      <c r="I22" s="124"/>
      <c r="J22" s="124"/>
      <c r="K22" s="124"/>
    </row>
    <row r="23" spans="1:11">
      <c r="A23" s="124"/>
      <c r="B23" s="124" t="s">
        <v>247</v>
      </c>
      <c r="C23" s="137">
        <f>Headcount!O26</f>
        <v>1</v>
      </c>
      <c r="D23" s="138"/>
      <c r="E23" s="124"/>
      <c r="F23" s="140">
        <f>35000/12*C23</f>
        <v>2916.6666666666665</v>
      </c>
      <c r="G23" s="124"/>
      <c r="H23" s="152">
        <f>12*F23</f>
        <v>35000</v>
      </c>
      <c r="I23" s="124"/>
      <c r="J23" s="124"/>
      <c r="K23" s="124"/>
    </row>
    <row r="24" spans="1:11">
      <c r="A24" s="124" t="s">
        <v>248</v>
      </c>
      <c r="B24" s="124"/>
      <c r="C24" s="142">
        <f>SUM(C19:C23)</f>
        <v>7</v>
      </c>
      <c r="D24" s="142"/>
      <c r="E24" s="124"/>
      <c r="F24" s="141">
        <f>SUM(F19:F23)</f>
        <v>9166.6666666666661</v>
      </c>
      <c r="G24" s="141"/>
      <c r="H24" s="141">
        <f>SUM(H19:H23)</f>
        <v>110000</v>
      </c>
      <c r="I24" s="124"/>
      <c r="J24" s="124"/>
      <c r="K24" s="124"/>
    </row>
    <row r="25" spans="1:11">
      <c r="A25" s="127" t="s">
        <v>321</v>
      </c>
      <c r="B25" s="127"/>
      <c r="C25" s="143"/>
      <c r="D25" s="143"/>
      <c r="E25" s="127"/>
      <c r="F25" s="144"/>
      <c r="G25" s="144"/>
      <c r="H25" s="144">
        <f>H24+H17</f>
        <v>1411000</v>
      </c>
      <c r="I25" s="124"/>
      <c r="J25" s="124"/>
      <c r="K25" s="124"/>
    </row>
    <row r="26" spans="1:11">
      <c r="A26" s="124"/>
      <c r="B26" s="124"/>
      <c r="C26" s="142"/>
      <c r="D26" s="142"/>
      <c r="E26" s="124"/>
      <c r="F26" s="124"/>
      <c r="G26" s="124"/>
      <c r="H26" s="124"/>
      <c r="I26" s="124"/>
      <c r="J26" s="124"/>
      <c r="K26" s="124"/>
    </row>
    <row r="27" spans="1:11">
      <c r="A27" s="124" t="s">
        <v>249</v>
      </c>
      <c r="B27" s="124"/>
      <c r="C27" s="135">
        <f>C24+C17</f>
        <v>20</v>
      </c>
      <c r="D27" s="135">
        <f>C27-C19-C20</f>
        <v>15</v>
      </c>
      <c r="E27" s="124"/>
      <c r="F27" s="141">
        <f>F24+F17</f>
        <v>117583.33333333334</v>
      </c>
      <c r="H27" s="141"/>
      <c r="I27" s="124"/>
      <c r="J27" s="124"/>
      <c r="K27" s="124"/>
    </row>
    <row r="28" spans="1:11">
      <c r="A28" s="145"/>
      <c r="B28" s="124"/>
      <c r="C28" s="124" t="s">
        <v>317</v>
      </c>
      <c r="D28" s="124"/>
      <c r="E28" s="129"/>
      <c r="F28" s="141">
        <f>F27*0.04/12*11</f>
        <v>4311.3888888888896</v>
      </c>
      <c r="G28" s="146"/>
      <c r="H28" s="141"/>
      <c r="I28" s="124"/>
      <c r="J28" s="124"/>
      <c r="K28" s="124"/>
    </row>
    <row r="29" spans="1:11">
      <c r="A29" s="145"/>
      <c r="B29" s="124"/>
      <c r="C29" s="124" t="s">
        <v>318</v>
      </c>
      <c r="D29" s="124"/>
      <c r="E29" s="129"/>
      <c r="F29" s="141">
        <f>F27*0.025/12*11</f>
        <v>2694.6180555555561</v>
      </c>
      <c r="G29" s="146"/>
      <c r="H29" s="141"/>
      <c r="I29" s="124"/>
      <c r="J29" s="124"/>
      <c r="K29" s="124"/>
    </row>
    <row r="30" spans="1:11">
      <c r="A30" s="124"/>
      <c r="B30" s="124"/>
      <c r="C30" s="124" t="s">
        <v>319</v>
      </c>
      <c r="D30" s="147"/>
      <c r="E30" s="124"/>
      <c r="F30" s="141">
        <f>F27*0.035/12*11</f>
        <v>3772.4652777777783</v>
      </c>
      <c r="G30" s="141">
        <f>SUM(F28:F30)</f>
        <v>10778.472222222223</v>
      </c>
      <c r="H30" s="144">
        <f>G30*11</f>
        <v>118563.19444444445</v>
      </c>
      <c r="I30" s="124"/>
      <c r="J30" s="124"/>
      <c r="K30" s="124"/>
    </row>
    <row r="31" spans="1:11">
      <c r="A31" s="124"/>
      <c r="B31" s="124"/>
      <c r="C31" s="147"/>
      <c r="D31" s="147"/>
      <c r="E31" s="124"/>
      <c r="F31" s="141"/>
      <c r="G31" s="141"/>
      <c r="H31" s="141"/>
      <c r="I31" s="124"/>
      <c r="J31" s="124"/>
      <c r="K31" s="124"/>
    </row>
    <row r="32" spans="1:11">
      <c r="A32" s="124"/>
      <c r="B32" s="127" t="s">
        <v>320</v>
      </c>
      <c r="C32" s="147"/>
      <c r="D32" s="147"/>
      <c r="E32" s="124"/>
      <c r="F32" s="141"/>
      <c r="G32" s="141"/>
      <c r="H32" s="158">
        <f>H25+H30</f>
        <v>1529563.1944444445</v>
      </c>
      <c r="I32" s="141"/>
      <c r="J32" s="124"/>
      <c r="K32" s="124"/>
    </row>
    <row r="33" spans="1:11">
      <c r="A33" s="124"/>
      <c r="B33" s="124"/>
      <c r="C33" s="147"/>
      <c r="D33" s="147"/>
      <c r="E33" s="124"/>
      <c r="F33" s="141"/>
      <c r="G33" s="141"/>
      <c r="H33" s="141"/>
      <c r="I33" s="124"/>
      <c r="J33" s="124"/>
      <c r="K33" s="124"/>
    </row>
    <row r="34" spans="1:11">
      <c r="A34" s="127" t="s">
        <v>250</v>
      </c>
      <c r="B34" s="124"/>
      <c r="C34" s="147"/>
      <c r="D34" s="147"/>
      <c r="E34" s="124"/>
      <c r="F34" s="141"/>
      <c r="G34" s="141"/>
      <c r="H34" s="141"/>
      <c r="I34" s="124"/>
      <c r="J34" s="124"/>
      <c r="K34" s="124"/>
    </row>
    <row r="35" spans="1:11">
      <c r="A35" s="124"/>
      <c r="B35" s="124" t="s">
        <v>251</v>
      </c>
      <c r="C35" s="147"/>
      <c r="D35" s="147"/>
      <c r="E35" s="124"/>
      <c r="F35" s="141">
        <f>Headcount!C20*10400+Headcount!C21*6400</f>
        <v>44000</v>
      </c>
      <c r="G35" s="141"/>
      <c r="H35" s="141">
        <f>F35*12</f>
        <v>528000</v>
      </c>
      <c r="I35" s="124"/>
      <c r="J35" s="124"/>
      <c r="K35" s="124"/>
    </row>
    <row r="36" spans="1:11">
      <c r="A36" s="124"/>
      <c r="B36" s="124" t="s">
        <v>252</v>
      </c>
      <c r="C36" s="147"/>
      <c r="D36" s="147"/>
      <c r="E36" s="124"/>
      <c r="F36" s="141">
        <v>0</v>
      </c>
      <c r="G36" s="141"/>
      <c r="H36" s="141">
        <f t="shared" ref="H36:H41" si="0">F36*12</f>
        <v>0</v>
      </c>
      <c r="I36" s="124"/>
      <c r="J36" s="124"/>
      <c r="K36" s="124"/>
    </row>
    <row r="37" spans="1:11">
      <c r="A37" s="124"/>
      <c r="B37" s="124" t="s">
        <v>253</v>
      </c>
      <c r="C37" s="147"/>
      <c r="D37" s="147"/>
      <c r="E37" s="124"/>
      <c r="F37" s="141">
        <v>0</v>
      </c>
      <c r="G37" s="141"/>
      <c r="H37" s="141">
        <f t="shared" si="0"/>
        <v>0</v>
      </c>
      <c r="I37" s="124"/>
      <c r="J37" s="124"/>
      <c r="K37" s="124"/>
    </row>
    <row r="38" spans="1:11">
      <c r="A38" s="124"/>
      <c r="B38" s="124" t="s">
        <v>254</v>
      </c>
      <c r="C38" s="147"/>
      <c r="D38" s="147"/>
      <c r="E38" s="124"/>
      <c r="F38" s="141">
        <v>0</v>
      </c>
      <c r="G38" s="141"/>
      <c r="H38" s="141">
        <f t="shared" si="0"/>
        <v>0</v>
      </c>
      <c r="I38" s="124"/>
      <c r="J38" s="124"/>
      <c r="K38" s="124"/>
    </row>
    <row r="39" spans="1:11">
      <c r="A39" s="124"/>
      <c r="B39" s="124" t="s">
        <v>255</v>
      </c>
      <c r="C39" s="147"/>
      <c r="D39" s="147"/>
      <c r="E39" s="124"/>
      <c r="F39" s="141">
        <v>0</v>
      </c>
      <c r="G39" s="141"/>
      <c r="H39" s="141">
        <f t="shared" si="0"/>
        <v>0</v>
      </c>
      <c r="I39" s="124"/>
      <c r="J39" s="124"/>
      <c r="K39" s="124"/>
    </row>
    <row r="40" spans="1:11">
      <c r="A40" s="124"/>
      <c r="B40" s="124" t="s">
        <v>256</v>
      </c>
      <c r="C40" s="147"/>
      <c r="D40" s="147"/>
      <c r="E40" s="124"/>
      <c r="F40" s="141">
        <v>0</v>
      </c>
      <c r="G40" s="141"/>
      <c r="H40" s="141">
        <f t="shared" si="0"/>
        <v>0</v>
      </c>
      <c r="I40" s="124"/>
      <c r="J40" s="124"/>
      <c r="K40" s="124"/>
    </row>
    <row r="41" spans="1:11">
      <c r="A41" s="124"/>
      <c r="B41" s="124" t="s">
        <v>257</v>
      </c>
      <c r="C41" s="147"/>
      <c r="D41" s="147"/>
      <c r="E41" s="124"/>
      <c r="F41" s="141">
        <v>0</v>
      </c>
      <c r="G41" s="141"/>
      <c r="H41" s="141">
        <f t="shared" si="0"/>
        <v>0</v>
      </c>
      <c r="I41" s="124"/>
      <c r="J41" s="124"/>
      <c r="K41" s="124"/>
    </row>
    <row r="42" spans="1:11">
      <c r="A42" s="124" t="s">
        <v>258</v>
      </c>
      <c r="B42" s="124"/>
      <c r="C42" s="147"/>
      <c r="D42" s="147"/>
      <c r="E42" s="124"/>
      <c r="F42" s="141"/>
      <c r="G42" s="141"/>
      <c r="H42" s="141">
        <f>SUM(H35:H41)</f>
        <v>528000</v>
      </c>
      <c r="I42" s="124"/>
      <c r="J42" s="124"/>
      <c r="K42" s="124"/>
    </row>
    <row r="43" spans="1:11" ht="13.8" thickBot="1">
      <c r="A43" s="127" t="s">
        <v>322</v>
      </c>
      <c r="B43" s="127"/>
      <c r="C43" s="148"/>
      <c r="D43" s="148"/>
      <c r="E43" s="127"/>
      <c r="F43" s="144"/>
      <c r="G43" s="144"/>
      <c r="H43" s="159">
        <f>H32+H42</f>
        <v>2057563.1944444445</v>
      </c>
      <c r="I43" s="127"/>
      <c r="J43" s="127"/>
      <c r="K43" s="127"/>
    </row>
    <row r="44" spans="1:11" ht="13.8" thickTop="1">
      <c r="A44" s="124"/>
      <c r="B44" s="124"/>
      <c r="C44" s="147"/>
      <c r="D44" s="147"/>
      <c r="E44" s="124"/>
      <c r="F44" s="141"/>
      <c r="G44" s="141"/>
      <c r="H44" s="141"/>
      <c r="I44" s="124"/>
      <c r="J44" s="124"/>
      <c r="K44" s="124"/>
    </row>
    <row r="45" spans="1:11">
      <c r="A45" s="127" t="s">
        <v>259</v>
      </c>
      <c r="B45" s="124"/>
      <c r="C45" s="124"/>
      <c r="D45" s="124"/>
      <c r="E45" s="124"/>
      <c r="F45" s="124"/>
      <c r="G45" s="124"/>
      <c r="H45" s="124"/>
      <c r="I45" s="124"/>
      <c r="J45" s="124"/>
      <c r="K45" s="124"/>
    </row>
    <row r="46" spans="1:11">
      <c r="A46" s="124"/>
      <c r="B46" s="124" t="s">
        <v>260</v>
      </c>
      <c r="C46" s="124"/>
      <c r="D46" s="124"/>
      <c r="E46" s="124"/>
      <c r="F46" s="124"/>
      <c r="G46" s="124"/>
      <c r="H46" s="140">
        <f>'Direct Expense'!P15</f>
        <v>215014.15868055564</v>
      </c>
      <c r="I46" s="124"/>
      <c r="J46" s="124"/>
      <c r="K46" s="124"/>
    </row>
    <row r="47" spans="1:11">
      <c r="A47" s="124" t="s">
        <v>261</v>
      </c>
      <c r="B47" s="124"/>
      <c r="C47" s="124"/>
      <c r="D47" s="124"/>
      <c r="E47" s="124"/>
      <c r="F47" s="124"/>
      <c r="G47" s="124"/>
      <c r="H47" s="141">
        <f>SUM(H46:H46)</f>
        <v>215014.15868055564</v>
      </c>
      <c r="I47" s="124"/>
      <c r="J47" s="124"/>
      <c r="K47" s="124"/>
    </row>
    <row r="48" spans="1:11">
      <c r="A48" s="124"/>
      <c r="B48" s="124"/>
      <c r="C48" s="124"/>
      <c r="D48" s="124"/>
      <c r="E48" s="124"/>
      <c r="F48" s="124"/>
      <c r="G48" s="124"/>
      <c r="H48" s="124"/>
      <c r="I48" s="124"/>
      <c r="J48" s="124"/>
      <c r="K48" s="124"/>
    </row>
    <row r="49" spans="1:11">
      <c r="A49" s="127" t="s">
        <v>262</v>
      </c>
      <c r="B49" s="124"/>
      <c r="C49" s="124"/>
      <c r="D49" s="124"/>
      <c r="E49" s="124"/>
      <c r="F49" s="124"/>
      <c r="G49" s="124"/>
      <c r="H49" s="124"/>
      <c r="I49" s="124"/>
      <c r="J49" s="124"/>
      <c r="K49" s="124"/>
    </row>
    <row r="50" spans="1:11">
      <c r="A50" s="127"/>
      <c r="B50" s="149" t="s">
        <v>263</v>
      </c>
      <c r="C50" s="124"/>
      <c r="D50" s="124"/>
      <c r="E50" s="124"/>
      <c r="F50" s="124"/>
      <c r="G50" s="124"/>
      <c r="H50" s="140">
        <f>'Direct Expense'!P16</f>
        <v>105141.26388888888</v>
      </c>
      <c r="I50" s="124"/>
      <c r="J50" s="124"/>
      <c r="K50" s="124"/>
    </row>
    <row r="51" spans="1:11">
      <c r="A51" s="124" t="s">
        <v>264</v>
      </c>
      <c r="B51" s="124"/>
      <c r="C51" s="124"/>
      <c r="D51" s="124"/>
      <c r="E51" s="124"/>
      <c r="F51" s="141"/>
      <c r="G51" s="124"/>
      <c r="H51" s="141">
        <f>SUM(H50:H50)</f>
        <v>105141.26388888888</v>
      </c>
      <c r="I51" s="124"/>
      <c r="J51" s="124"/>
      <c r="K51" s="124"/>
    </row>
    <row r="52" spans="1:11">
      <c r="A52" s="124"/>
      <c r="B52" s="124"/>
      <c r="C52" s="145"/>
      <c r="D52" s="145"/>
      <c r="E52" s="124"/>
      <c r="F52" s="124"/>
      <c r="G52" s="124"/>
      <c r="H52" s="124"/>
      <c r="I52" s="124"/>
      <c r="J52" s="124"/>
      <c r="K52" s="124"/>
    </row>
    <row r="53" spans="1:11">
      <c r="A53" s="127" t="s">
        <v>265</v>
      </c>
      <c r="B53" s="124"/>
      <c r="C53" s="124"/>
      <c r="D53" s="124"/>
      <c r="E53" s="124"/>
      <c r="F53" s="124"/>
      <c r="G53" s="124"/>
      <c r="H53" s="124"/>
      <c r="I53" s="124"/>
      <c r="J53" s="124"/>
      <c r="K53" s="124"/>
    </row>
    <row r="54" spans="1:11">
      <c r="A54" s="127"/>
      <c r="B54" s="124" t="s">
        <v>266</v>
      </c>
      <c r="C54" s="124"/>
      <c r="D54" s="124"/>
      <c r="E54" s="124"/>
      <c r="F54" s="124"/>
      <c r="G54" s="124"/>
      <c r="H54" s="124"/>
      <c r="I54" s="124"/>
      <c r="J54" s="124"/>
      <c r="K54" s="124"/>
    </row>
    <row r="55" spans="1:11">
      <c r="A55" s="124"/>
      <c r="B55" s="124" t="s">
        <v>354</v>
      </c>
      <c r="C55" s="124"/>
      <c r="D55" s="124"/>
      <c r="E55" s="124"/>
      <c r="F55" s="139">
        <v>60000</v>
      </c>
      <c r="G55" s="124"/>
      <c r="H55" s="124">
        <f>F55*12</f>
        <v>720000</v>
      </c>
      <c r="I55" s="124"/>
      <c r="J55" s="124"/>
      <c r="K55" s="124"/>
    </row>
    <row r="56" spans="1:11">
      <c r="A56" s="124"/>
      <c r="B56" s="124" t="s">
        <v>355</v>
      </c>
      <c r="C56" s="124"/>
      <c r="D56" s="124"/>
      <c r="E56" s="124"/>
      <c r="F56" s="139">
        <v>0</v>
      </c>
      <c r="G56" s="141"/>
      <c r="H56" s="141">
        <f>F56*12</f>
        <v>0</v>
      </c>
      <c r="I56" s="141"/>
      <c r="J56" s="141"/>
      <c r="K56" s="124"/>
    </row>
    <row r="57" spans="1:11">
      <c r="A57" s="124"/>
      <c r="B57" s="124" t="s">
        <v>267</v>
      </c>
      <c r="C57" s="124"/>
      <c r="D57" s="124"/>
      <c r="E57" s="124"/>
      <c r="F57" s="151">
        <v>0</v>
      </c>
      <c r="G57" s="124"/>
      <c r="H57" s="140">
        <f>F57*12</f>
        <v>0</v>
      </c>
      <c r="I57" s="124"/>
      <c r="J57" s="124"/>
      <c r="K57" s="124"/>
    </row>
    <row r="58" spans="1:11">
      <c r="A58" s="124"/>
      <c r="B58" s="124" t="s">
        <v>268</v>
      </c>
      <c r="C58" s="124"/>
      <c r="D58" s="124"/>
      <c r="E58" s="124"/>
      <c r="F58" s="139">
        <f>SUM(F55:F57)</f>
        <v>60000</v>
      </c>
      <c r="G58" s="139"/>
      <c r="H58" s="139">
        <f>SUM(H55:H57)</f>
        <v>720000</v>
      </c>
      <c r="I58" s="139"/>
      <c r="J58" s="139"/>
      <c r="K58" s="124"/>
    </row>
    <row r="59" spans="1:11">
      <c r="A59" s="124"/>
      <c r="B59" s="124" t="s">
        <v>269</v>
      </c>
      <c r="C59" s="124"/>
      <c r="D59" s="124"/>
      <c r="E59" s="124"/>
      <c r="F59" s="139">
        <f>C27*40</f>
        <v>800</v>
      </c>
      <c r="G59" s="124"/>
      <c r="H59" s="124">
        <f t="shared" ref="H59:H64" si="1">F59*12</f>
        <v>9600</v>
      </c>
      <c r="I59" s="124"/>
      <c r="J59" s="124"/>
      <c r="K59" s="124"/>
    </row>
    <row r="60" spans="1:11">
      <c r="A60" s="124"/>
      <c r="B60" s="124" t="s">
        <v>270</v>
      </c>
      <c r="C60" s="124"/>
      <c r="D60" s="124"/>
      <c r="E60" s="124"/>
      <c r="F60" s="139">
        <v>2000</v>
      </c>
      <c r="G60" s="124"/>
      <c r="H60" s="124">
        <f t="shared" si="1"/>
        <v>24000</v>
      </c>
      <c r="I60" s="124"/>
      <c r="J60" s="124"/>
      <c r="K60" s="124"/>
    </row>
    <row r="61" spans="1:11">
      <c r="A61" s="124"/>
      <c r="B61" s="124" t="s">
        <v>271</v>
      </c>
      <c r="C61" s="124"/>
      <c r="D61" s="124"/>
      <c r="E61" s="124"/>
      <c r="F61" s="139">
        <f>C27*125</f>
        <v>2500</v>
      </c>
      <c r="G61" s="124"/>
      <c r="H61" s="124">
        <f t="shared" si="1"/>
        <v>30000</v>
      </c>
      <c r="I61" s="124"/>
      <c r="J61" s="124"/>
      <c r="K61" s="124"/>
    </row>
    <row r="62" spans="1:11">
      <c r="A62" s="124"/>
      <c r="B62" s="124" t="s">
        <v>272</v>
      </c>
      <c r="C62" s="124"/>
      <c r="D62" s="124"/>
      <c r="E62" s="124"/>
      <c r="F62" s="150">
        <v>500</v>
      </c>
      <c r="G62" s="141"/>
      <c r="H62" s="124">
        <f t="shared" si="1"/>
        <v>6000</v>
      </c>
      <c r="I62" s="141"/>
      <c r="J62" s="141"/>
      <c r="K62" s="124"/>
    </row>
    <row r="63" spans="1:11">
      <c r="A63" s="124"/>
      <c r="B63" s="124" t="s">
        <v>273</v>
      </c>
      <c r="C63" s="124"/>
      <c r="D63" s="124"/>
      <c r="E63" s="124"/>
      <c r="F63" s="150">
        <v>1500</v>
      </c>
      <c r="G63" s="141"/>
      <c r="H63" s="124">
        <f t="shared" si="1"/>
        <v>18000</v>
      </c>
      <c r="I63" s="141"/>
      <c r="J63" s="141"/>
      <c r="K63" s="124"/>
    </row>
    <row r="64" spans="1:11">
      <c r="A64" s="124"/>
      <c r="B64" s="124" t="s">
        <v>44</v>
      </c>
      <c r="C64" s="124"/>
      <c r="D64" s="124"/>
      <c r="E64" s="124"/>
      <c r="F64" s="151">
        <f>100*C27</f>
        <v>2000</v>
      </c>
      <c r="G64" s="124"/>
      <c r="H64" s="140">
        <f t="shared" si="1"/>
        <v>24000</v>
      </c>
      <c r="I64" s="124"/>
      <c r="J64" s="124"/>
      <c r="K64" s="124"/>
    </row>
    <row r="65" spans="1:11">
      <c r="A65" s="124" t="s">
        <v>274</v>
      </c>
      <c r="B65" s="124"/>
      <c r="C65" s="124"/>
      <c r="D65" s="124"/>
      <c r="E65" s="124"/>
      <c r="F65" s="139">
        <f>SUM(F58:F64)</f>
        <v>69300</v>
      </c>
      <c r="G65" s="124"/>
      <c r="H65" s="124">
        <f>SUM(H58:H64)</f>
        <v>831600</v>
      </c>
      <c r="I65" s="124"/>
      <c r="J65" s="124"/>
      <c r="K65" s="124"/>
    </row>
    <row r="66" spans="1:11">
      <c r="A66" s="127"/>
      <c r="B66" s="124"/>
      <c r="C66" s="124"/>
      <c r="D66" s="124"/>
      <c r="E66" s="124"/>
      <c r="F66" s="139"/>
      <c r="G66" s="124"/>
      <c r="H66" s="124"/>
      <c r="I66" s="124"/>
      <c r="J66" s="124"/>
      <c r="K66" s="124"/>
    </row>
    <row r="67" spans="1:11">
      <c r="A67" s="127" t="s">
        <v>275</v>
      </c>
      <c r="B67" s="124"/>
      <c r="C67" s="124"/>
      <c r="D67" s="124"/>
      <c r="E67" s="124"/>
      <c r="F67" s="124"/>
      <c r="G67" s="124"/>
      <c r="H67" s="124"/>
      <c r="I67" s="124"/>
      <c r="J67" s="124"/>
      <c r="K67" s="124"/>
    </row>
    <row r="68" spans="1:11">
      <c r="A68" s="124"/>
      <c r="B68" s="124" t="s">
        <v>276</v>
      </c>
      <c r="C68" s="124"/>
      <c r="D68" s="124"/>
      <c r="E68" s="124"/>
      <c r="F68" s="124">
        <v>0</v>
      </c>
      <c r="G68" s="124"/>
      <c r="H68" s="124">
        <f>F68*12</f>
        <v>0</v>
      </c>
      <c r="I68" s="124"/>
      <c r="J68" s="124"/>
      <c r="K68" s="124"/>
    </row>
    <row r="69" spans="1:11">
      <c r="A69" s="124"/>
      <c r="B69" s="124" t="s">
        <v>277</v>
      </c>
      <c r="C69" s="124"/>
      <c r="D69" s="124"/>
      <c r="E69" s="124"/>
      <c r="F69" s="124">
        <v>0</v>
      </c>
      <c r="G69" s="124"/>
      <c r="H69" s="124">
        <v>0</v>
      </c>
      <c r="I69" s="124"/>
      <c r="J69" s="124"/>
      <c r="K69" s="124"/>
    </row>
    <row r="70" spans="1:11">
      <c r="A70" s="124"/>
      <c r="B70" s="124" t="s">
        <v>278</v>
      </c>
      <c r="C70" s="124"/>
      <c r="D70" s="124"/>
      <c r="E70" s="124"/>
      <c r="F70" s="124">
        <v>0</v>
      </c>
      <c r="G70" s="124"/>
      <c r="H70" s="124">
        <v>0</v>
      </c>
      <c r="I70" s="124"/>
      <c r="J70" s="124"/>
      <c r="K70" s="124"/>
    </row>
    <row r="71" spans="1:11">
      <c r="A71" s="124"/>
      <c r="B71" s="124" t="s">
        <v>279</v>
      </c>
      <c r="C71" s="124"/>
      <c r="D71" s="124"/>
      <c r="E71" s="124"/>
      <c r="F71" s="124">
        <v>0</v>
      </c>
      <c r="G71" s="124"/>
      <c r="H71" s="124">
        <v>0</v>
      </c>
      <c r="I71" s="124"/>
      <c r="J71" s="124"/>
      <c r="K71" s="124"/>
    </row>
    <row r="72" spans="1:11">
      <c r="A72" s="124"/>
      <c r="B72" s="124" t="s">
        <v>280</v>
      </c>
      <c r="C72" s="124"/>
      <c r="D72" s="124"/>
      <c r="E72" s="124"/>
      <c r="F72" s="140">
        <v>0</v>
      </c>
      <c r="G72" s="124"/>
      <c r="H72" s="140">
        <v>0</v>
      </c>
      <c r="I72" s="124"/>
      <c r="J72" s="124"/>
      <c r="K72" s="124"/>
    </row>
    <row r="73" spans="1:11">
      <c r="A73" s="124" t="s">
        <v>281</v>
      </c>
      <c r="B73" s="124"/>
      <c r="C73" s="124"/>
      <c r="D73" s="124"/>
      <c r="E73" s="124"/>
      <c r="F73" s="124">
        <f>SUM(F68:F72)</f>
        <v>0</v>
      </c>
      <c r="G73" s="124"/>
      <c r="H73" s="124">
        <f>SUM(H68:H72)</f>
        <v>0</v>
      </c>
      <c r="I73" s="124"/>
      <c r="J73" s="124"/>
      <c r="K73" s="124"/>
    </row>
    <row r="74" spans="1:11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</row>
    <row r="75" spans="1:11">
      <c r="A75" s="127" t="s">
        <v>282</v>
      </c>
      <c r="B75" s="124"/>
      <c r="C75" s="124"/>
      <c r="D75" s="124"/>
      <c r="E75" s="124"/>
      <c r="F75" s="124"/>
      <c r="G75" s="124"/>
      <c r="H75" s="124"/>
      <c r="I75" s="124"/>
      <c r="J75" s="124"/>
      <c r="K75" s="124"/>
    </row>
    <row r="76" spans="1:11">
      <c r="A76" s="124"/>
      <c r="B76" s="124" t="s">
        <v>283</v>
      </c>
      <c r="C76" s="124"/>
      <c r="D76" s="124"/>
      <c r="E76" s="124"/>
      <c r="F76" s="124">
        <v>7000</v>
      </c>
      <c r="G76" s="124"/>
      <c r="H76" s="124">
        <f>F76*12</f>
        <v>84000</v>
      </c>
      <c r="I76" s="160"/>
      <c r="J76" s="124"/>
      <c r="K76" s="124"/>
    </row>
    <row r="77" spans="1:11">
      <c r="A77" s="124"/>
      <c r="B77" s="124" t="s">
        <v>284</v>
      </c>
      <c r="C77" s="124"/>
      <c r="D77" s="124"/>
      <c r="E77" s="124"/>
      <c r="F77" s="150">
        <v>750</v>
      </c>
      <c r="G77" s="139"/>
      <c r="H77" s="150">
        <f>F77*12</f>
        <v>9000</v>
      </c>
      <c r="I77" s="124"/>
      <c r="J77" s="124"/>
      <c r="K77" s="124"/>
    </row>
    <row r="78" spans="1:11">
      <c r="A78" s="124"/>
      <c r="B78" s="124" t="s">
        <v>285</v>
      </c>
      <c r="C78" s="124"/>
      <c r="D78" s="124"/>
      <c r="E78" s="124"/>
      <c r="F78" s="141">
        <v>8000</v>
      </c>
      <c r="G78" s="124"/>
      <c r="H78" s="150">
        <f>F78*12</f>
        <v>96000</v>
      </c>
      <c r="I78" s="124"/>
      <c r="J78" s="124"/>
      <c r="K78" s="124"/>
    </row>
    <row r="79" spans="1:11">
      <c r="A79" s="124"/>
      <c r="B79" s="124" t="s">
        <v>613</v>
      </c>
      <c r="C79" s="124"/>
      <c r="D79" s="124"/>
      <c r="E79" s="124"/>
      <c r="F79" s="141">
        <v>5000</v>
      </c>
      <c r="G79" s="124"/>
      <c r="H79" s="150">
        <f>F79*12</f>
        <v>60000</v>
      </c>
      <c r="I79" s="124"/>
      <c r="J79" s="124"/>
      <c r="K79" s="124"/>
    </row>
    <row r="80" spans="1:11">
      <c r="A80" s="124" t="s">
        <v>286</v>
      </c>
      <c r="B80" s="124"/>
      <c r="C80" s="124"/>
      <c r="D80" s="124"/>
      <c r="E80" s="124"/>
      <c r="F80" s="124">
        <f>SUM(F76:F79)</f>
        <v>20750</v>
      </c>
      <c r="G80" s="124"/>
      <c r="H80" s="124">
        <f>SUM(H76:H79)</f>
        <v>249000</v>
      </c>
      <c r="I80" s="124"/>
      <c r="J80" s="124"/>
      <c r="K80" s="124"/>
    </row>
    <row r="81" spans="1:11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</row>
    <row r="82" spans="1:11">
      <c r="A82" s="127" t="s">
        <v>287</v>
      </c>
      <c r="B82" s="124"/>
      <c r="C82" s="124"/>
      <c r="D82" s="124"/>
      <c r="E82" s="124"/>
      <c r="F82" s="124"/>
      <c r="G82" s="124"/>
      <c r="H82" s="124"/>
      <c r="I82" s="124"/>
      <c r="J82" s="124"/>
      <c r="K82" s="124"/>
    </row>
    <row r="83" spans="1:11">
      <c r="A83" s="124"/>
      <c r="B83" s="124" t="s">
        <v>288</v>
      </c>
      <c r="C83" s="124"/>
      <c r="D83" s="124"/>
      <c r="E83" s="124"/>
      <c r="F83" s="139">
        <v>0</v>
      </c>
      <c r="G83" s="139"/>
      <c r="H83" s="150">
        <f>F83*12</f>
        <v>0</v>
      </c>
      <c r="I83" s="124"/>
      <c r="J83" s="124"/>
      <c r="K83" s="124"/>
    </row>
    <row r="84" spans="1:11">
      <c r="A84" s="124"/>
      <c r="B84" s="124" t="s">
        <v>289</v>
      </c>
      <c r="C84" s="124"/>
      <c r="D84" s="124"/>
      <c r="E84" s="124"/>
      <c r="F84" s="139"/>
      <c r="G84" s="139"/>
      <c r="H84" s="150">
        <f t="shared" ref="H84:H91" si="2">F84*12</f>
        <v>0</v>
      </c>
      <c r="I84" s="124"/>
      <c r="J84" s="124"/>
      <c r="K84" s="124"/>
    </row>
    <row r="85" spans="1:11">
      <c r="A85" s="124"/>
      <c r="B85" s="124" t="s">
        <v>290</v>
      </c>
      <c r="C85" s="124"/>
      <c r="D85" s="124"/>
      <c r="E85" s="124"/>
      <c r="F85" s="139">
        <v>0</v>
      </c>
      <c r="G85" s="139"/>
      <c r="H85" s="150">
        <f t="shared" si="2"/>
        <v>0</v>
      </c>
      <c r="I85" s="124"/>
      <c r="J85" s="124"/>
      <c r="K85" s="124"/>
    </row>
    <row r="86" spans="1:11">
      <c r="A86" s="124"/>
      <c r="B86" s="124" t="s">
        <v>291</v>
      </c>
      <c r="C86" s="124"/>
      <c r="D86" s="124"/>
      <c r="E86" s="124"/>
      <c r="F86" s="139"/>
      <c r="G86" s="139"/>
      <c r="H86" s="150">
        <f t="shared" si="2"/>
        <v>0</v>
      </c>
      <c r="I86" s="124"/>
      <c r="J86" s="124"/>
      <c r="K86" s="124"/>
    </row>
    <row r="87" spans="1:11">
      <c r="A87" s="124"/>
      <c r="B87" s="124" t="s">
        <v>292</v>
      </c>
      <c r="C87" s="124"/>
      <c r="D87" s="124"/>
      <c r="E87" s="124"/>
      <c r="F87" s="150">
        <v>0</v>
      </c>
      <c r="G87" s="139"/>
      <c r="H87" s="150">
        <f t="shared" si="2"/>
        <v>0</v>
      </c>
      <c r="I87" s="124"/>
      <c r="J87" s="124"/>
      <c r="K87" s="124"/>
    </row>
    <row r="88" spans="1:11">
      <c r="A88" s="124"/>
      <c r="B88" s="124" t="s">
        <v>293</v>
      </c>
      <c r="C88" s="124"/>
      <c r="D88" s="124"/>
      <c r="E88" s="124"/>
      <c r="F88" s="150">
        <f>100*C27</f>
        <v>2000</v>
      </c>
      <c r="G88" s="139"/>
      <c r="H88" s="150">
        <f t="shared" si="2"/>
        <v>24000</v>
      </c>
      <c r="I88" s="124"/>
      <c r="J88" s="124"/>
      <c r="K88" s="124"/>
    </row>
    <row r="89" spans="1:11">
      <c r="A89" s="124"/>
      <c r="B89" s="124" t="s">
        <v>323</v>
      </c>
      <c r="C89" s="124"/>
      <c r="D89" s="124"/>
      <c r="E89" s="124"/>
      <c r="F89" s="150">
        <v>75</v>
      </c>
      <c r="G89" s="139"/>
      <c r="H89" s="150">
        <f t="shared" si="2"/>
        <v>900</v>
      </c>
      <c r="I89" s="124"/>
      <c r="J89" s="124"/>
      <c r="K89" s="124"/>
    </row>
    <row r="90" spans="1:11" ht="13.8">
      <c r="A90" s="124"/>
      <c r="B90" s="18" t="s">
        <v>32</v>
      </c>
      <c r="C90" s="124"/>
      <c r="D90" s="124"/>
      <c r="E90" s="124"/>
      <c r="F90" s="150">
        <v>350</v>
      </c>
      <c r="G90" s="139"/>
      <c r="H90" s="150">
        <f t="shared" si="2"/>
        <v>4200</v>
      </c>
      <c r="I90" s="124"/>
      <c r="J90" s="124"/>
      <c r="K90" s="124"/>
    </row>
    <row r="91" spans="1:11">
      <c r="A91" s="124"/>
      <c r="B91" s="124" t="s">
        <v>294</v>
      </c>
      <c r="C91" s="124"/>
      <c r="D91" s="124"/>
      <c r="E91" s="124"/>
      <c r="F91" s="150">
        <v>300</v>
      </c>
      <c r="G91" s="139"/>
      <c r="H91" s="151">
        <f t="shared" si="2"/>
        <v>3600</v>
      </c>
      <c r="I91" s="124"/>
      <c r="J91" s="124"/>
      <c r="K91" s="124"/>
    </row>
    <row r="92" spans="1:11">
      <c r="A92" s="124" t="s">
        <v>295</v>
      </c>
      <c r="B92" s="124"/>
      <c r="C92" s="124"/>
      <c r="D92" s="124"/>
      <c r="E92" s="124"/>
      <c r="F92" s="139"/>
      <c r="G92" s="139"/>
      <c r="H92" s="139">
        <f>SUM(H83:H91)</f>
        <v>32700</v>
      </c>
      <c r="I92" s="124"/>
      <c r="J92" s="124"/>
      <c r="K92" s="124"/>
    </row>
    <row r="93" spans="1:11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</row>
    <row r="94" spans="1:11">
      <c r="A94" s="127" t="s">
        <v>296</v>
      </c>
      <c r="B94" s="124"/>
      <c r="C94" s="124"/>
      <c r="D94" s="124"/>
      <c r="E94" s="124"/>
      <c r="F94" s="124"/>
      <c r="G94" s="124"/>
      <c r="H94" s="124"/>
      <c r="I94" s="124"/>
      <c r="J94" s="124"/>
      <c r="K94" s="124"/>
    </row>
    <row r="95" spans="1:11">
      <c r="A95" s="124"/>
      <c r="B95" s="124" t="s">
        <v>297</v>
      </c>
      <c r="C95" s="124"/>
      <c r="D95" s="124"/>
      <c r="E95" s="124"/>
      <c r="F95" s="150">
        <v>10000</v>
      </c>
      <c r="G95" s="139"/>
      <c r="H95" s="150">
        <f>F95*12</f>
        <v>120000</v>
      </c>
      <c r="I95" s="124"/>
      <c r="J95" s="124"/>
      <c r="K95" s="124"/>
    </row>
    <row r="96" spans="1:11">
      <c r="A96" s="124"/>
      <c r="B96" s="124" t="s">
        <v>298</v>
      </c>
      <c r="C96" s="124"/>
      <c r="D96" s="124"/>
      <c r="E96" s="124"/>
      <c r="F96" s="150">
        <v>10000</v>
      </c>
      <c r="G96" s="139"/>
      <c r="H96" s="150">
        <f>F96*12</f>
        <v>120000</v>
      </c>
      <c r="I96" s="124"/>
      <c r="J96" s="124"/>
      <c r="K96" s="124"/>
    </row>
    <row r="97" spans="1:11">
      <c r="A97" s="124"/>
      <c r="B97" s="124" t="s">
        <v>299</v>
      </c>
      <c r="C97" s="124"/>
      <c r="D97" s="124"/>
      <c r="E97" s="124"/>
      <c r="F97" s="150">
        <v>5000</v>
      </c>
      <c r="G97" s="139"/>
      <c r="H97" s="150">
        <f>F97*12</f>
        <v>60000</v>
      </c>
      <c r="I97" s="124"/>
      <c r="J97" s="124"/>
      <c r="K97" s="124"/>
    </row>
    <row r="98" spans="1:11">
      <c r="A98" s="124" t="s">
        <v>300</v>
      </c>
      <c r="B98" s="124"/>
      <c r="C98" s="124"/>
      <c r="D98" s="124"/>
      <c r="E98" s="124"/>
      <c r="F98" s="139"/>
      <c r="G98" s="139"/>
      <c r="H98" s="139">
        <f>SUM(H95:H97)</f>
        <v>300000</v>
      </c>
      <c r="I98" s="124"/>
      <c r="J98" s="124"/>
      <c r="K98" s="124"/>
    </row>
    <row r="99" spans="1:11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</row>
    <row r="100" spans="1:11">
      <c r="A100" s="127" t="s">
        <v>301</v>
      </c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</row>
    <row r="101" spans="1:11">
      <c r="A101" s="124"/>
      <c r="B101" s="124" t="s">
        <v>302</v>
      </c>
      <c r="C101" s="124"/>
      <c r="D101" s="124"/>
      <c r="E101" s="124"/>
      <c r="F101" s="139">
        <v>0</v>
      </c>
      <c r="G101" s="139"/>
      <c r="H101" s="151">
        <f>F101*12</f>
        <v>0</v>
      </c>
      <c r="I101" s="124"/>
      <c r="J101" s="124"/>
      <c r="K101" s="124"/>
    </row>
    <row r="102" spans="1:11">
      <c r="A102" s="124" t="s">
        <v>303</v>
      </c>
      <c r="B102" s="124"/>
      <c r="C102" s="124"/>
      <c r="D102" s="124"/>
      <c r="E102" s="124"/>
      <c r="F102" s="124"/>
      <c r="G102" s="124"/>
      <c r="H102" s="124">
        <f>SUM(H101)</f>
        <v>0</v>
      </c>
      <c r="I102" s="124"/>
      <c r="J102" s="124"/>
      <c r="K102" s="124"/>
    </row>
    <row r="103" spans="1:11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</row>
    <row r="104" spans="1:11">
      <c r="A104" s="127" t="s">
        <v>304</v>
      </c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</row>
    <row r="105" spans="1:11">
      <c r="A105" s="127"/>
      <c r="B105" s="124" t="s">
        <v>305</v>
      </c>
      <c r="C105" s="124"/>
      <c r="D105" s="124"/>
      <c r="E105" s="124"/>
      <c r="F105" s="139">
        <v>0</v>
      </c>
      <c r="G105" s="139"/>
      <c r="H105" s="151">
        <f>F105*12</f>
        <v>0</v>
      </c>
      <c r="I105" s="124"/>
      <c r="J105" s="124"/>
      <c r="K105" s="124"/>
    </row>
    <row r="106" spans="1:11">
      <c r="A106" s="127"/>
      <c r="B106" s="124" t="s">
        <v>306</v>
      </c>
      <c r="C106" s="124"/>
      <c r="D106" s="124"/>
      <c r="E106" s="124"/>
      <c r="F106" s="139">
        <v>700</v>
      </c>
      <c r="G106" s="139"/>
      <c r="H106" s="151">
        <f>F106*12</f>
        <v>8400</v>
      </c>
      <c r="I106" s="124"/>
      <c r="J106" s="124"/>
      <c r="K106" s="124"/>
    </row>
    <row r="107" spans="1:11">
      <c r="A107" s="127"/>
      <c r="B107" s="124"/>
      <c r="C107" s="124"/>
      <c r="D107" s="124"/>
      <c r="E107" s="124"/>
      <c r="F107" s="139"/>
      <c r="G107" s="139"/>
      <c r="H107" s="139">
        <f>SUM(H105:H106)</f>
        <v>8400</v>
      </c>
      <c r="I107" s="124"/>
      <c r="J107" s="124"/>
      <c r="K107" s="124"/>
    </row>
    <row r="108" spans="1:11">
      <c r="A108" s="127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</row>
    <row r="109" spans="1:11">
      <c r="A109" s="127" t="s">
        <v>307</v>
      </c>
      <c r="B109" s="124"/>
      <c r="C109" s="124"/>
      <c r="D109" s="124"/>
      <c r="E109" s="124"/>
      <c r="F109" s="124"/>
      <c r="G109" s="124"/>
      <c r="H109" s="145"/>
      <c r="I109" s="124"/>
      <c r="J109" s="124"/>
      <c r="K109" s="124"/>
    </row>
    <row r="110" spans="1:11">
      <c r="A110" s="127"/>
      <c r="B110" s="124" t="s">
        <v>353</v>
      </c>
      <c r="C110" s="124"/>
      <c r="D110" s="124"/>
      <c r="E110" s="124"/>
      <c r="F110" s="124">
        <v>3500</v>
      </c>
      <c r="G110" s="124"/>
      <c r="H110" s="152">
        <f>F110*15</f>
        <v>52500</v>
      </c>
      <c r="I110" s="124"/>
      <c r="J110" s="124"/>
      <c r="K110" s="124"/>
    </row>
    <row r="111" spans="1:11">
      <c r="A111" s="127"/>
      <c r="B111" s="124" t="s">
        <v>316</v>
      </c>
      <c r="C111" s="124"/>
      <c r="D111" s="124"/>
      <c r="E111" s="124"/>
      <c r="F111" s="140"/>
      <c r="G111" s="124"/>
      <c r="H111" s="157"/>
      <c r="I111" s="136"/>
      <c r="J111" s="124"/>
      <c r="K111" s="124"/>
    </row>
    <row r="112" spans="1:11">
      <c r="A112" s="127"/>
      <c r="B112" s="124"/>
      <c r="C112" s="124"/>
      <c r="D112" s="124"/>
      <c r="E112" s="124"/>
      <c r="F112" s="124">
        <f>SUM(F110:F111)</f>
        <v>3500</v>
      </c>
      <c r="G112" s="124"/>
      <c r="H112" s="152">
        <f>SUM(H110:H111)</f>
        <v>52500</v>
      </c>
      <c r="I112" s="124"/>
      <c r="J112" s="124"/>
      <c r="K112" s="124"/>
    </row>
    <row r="113" spans="1:11">
      <c r="A113" s="127"/>
      <c r="B113" s="124"/>
      <c r="C113" s="124"/>
      <c r="D113" s="124"/>
      <c r="E113" s="124"/>
      <c r="F113" s="124"/>
      <c r="G113" s="124"/>
      <c r="H113" s="145"/>
      <c r="I113" s="124"/>
      <c r="J113" s="124"/>
      <c r="K113" s="124"/>
    </row>
    <row r="114" spans="1:11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</row>
    <row r="115" spans="1:11">
      <c r="A115" s="127" t="s">
        <v>43</v>
      </c>
      <c r="B115" s="124"/>
      <c r="C115" s="124"/>
      <c r="D115" s="124"/>
      <c r="E115" s="124"/>
      <c r="F115" s="124">
        <v>0</v>
      </c>
      <c r="G115" s="124"/>
      <c r="H115" s="145">
        <f>F115*6</f>
        <v>0</v>
      </c>
      <c r="I115" s="124"/>
      <c r="J115" s="124"/>
      <c r="K115" s="124"/>
    </row>
    <row r="116" spans="1:11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</row>
    <row r="117" spans="1:11">
      <c r="A117" s="127" t="s">
        <v>308</v>
      </c>
      <c r="B117" s="124"/>
      <c r="C117" s="124"/>
      <c r="D117" s="124"/>
      <c r="E117" s="124"/>
      <c r="F117" s="124">
        <f>Capital!E32</f>
        <v>0</v>
      </c>
      <c r="G117" s="124"/>
      <c r="H117" s="152">
        <f>F117*7</f>
        <v>0</v>
      </c>
      <c r="I117" s="124"/>
      <c r="J117" s="124"/>
      <c r="K117" s="124"/>
    </row>
    <row r="118" spans="1:11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</row>
    <row r="119" spans="1:11">
      <c r="A119" s="127" t="s">
        <v>309</v>
      </c>
      <c r="B119" s="124"/>
      <c r="C119" s="124"/>
      <c r="D119" s="124"/>
      <c r="E119" s="124"/>
      <c r="F119" s="124"/>
      <c r="G119" s="139"/>
      <c r="H119" s="124"/>
      <c r="I119" s="124"/>
      <c r="J119" s="124"/>
      <c r="K119" s="124"/>
    </row>
    <row r="120" spans="1:11">
      <c r="A120" s="127"/>
      <c r="B120" s="124"/>
      <c r="C120" s="124"/>
      <c r="D120" s="124"/>
      <c r="E120" s="124"/>
      <c r="F120" s="124"/>
      <c r="G120" s="139"/>
      <c r="H120" s="124"/>
      <c r="I120" s="124"/>
      <c r="J120" s="124"/>
      <c r="K120" s="124"/>
    </row>
    <row r="121" spans="1:11">
      <c r="A121" s="124" t="s">
        <v>310</v>
      </c>
      <c r="B121" s="124"/>
      <c r="C121" s="124"/>
      <c r="D121" s="124"/>
      <c r="E121" s="124"/>
      <c r="F121" s="141">
        <f>H121/12</f>
        <v>12000</v>
      </c>
      <c r="G121" s="124"/>
      <c r="H121" s="124">
        <f>600*12*C27</f>
        <v>144000</v>
      </c>
      <c r="I121" s="124"/>
      <c r="J121" s="124"/>
      <c r="K121" s="124"/>
    </row>
    <row r="122" spans="1:11">
      <c r="A122" s="124" t="s">
        <v>311</v>
      </c>
      <c r="B122" s="124"/>
      <c r="C122" s="124"/>
      <c r="D122" s="124"/>
      <c r="E122" s="124"/>
      <c r="F122" s="140">
        <f>H122/12</f>
        <v>12586.840824037812</v>
      </c>
      <c r="G122" s="124"/>
      <c r="H122" s="140">
        <f>[2]Sheet1!$J$262*1000</f>
        <v>151042.08988845375</v>
      </c>
      <c r="I122" s="124"/>
      <c r="J122" s="124"/>
      <c r="K122" s="124"/>
    </row>
    <row r="123" spans="1:11">
      <c r="A123" s="124"/>
      <c r="B123" s="124"/>
      <c r="C123" s="124"/>
      <c r="D123" s="124"/>
      <c r="E123" s="124"/>
      <c r="F123" s="124">
        <f>SUM(F121:F122)</f>
        <v>24586.840824037812</v>
      </c>
      <c r="G123" s="124"/>
      <c r="H123" s="124">
        <f>SUM(H121:H122)</f>
        <v>295042.08988845372</v>
      </c>
      <c r="I123" s="124"/>
      <c r="J123" s="124"/>
      <c r="K123" s="124"/>
    </row>
    <row r="124" spans="1:11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</row>
    <row r="125" spans="1:11">
      <c r="A125" s="127" t="s">
        <v>312</v>
      </c>
      <c r="B125" s="124"/>
      <c r="C125" s="124"/>
      <c r="D125" s="124"/>
      <c r="E125" s="124"/>
      <c r="F125" s="124">
        <v>0</v>
      </c>
      <c r="G125" s="124"/>
      <c r="H125" s="124">
        <f>F125*12</f>
        <v>0</v>
      </c>
      <c r="I125" s="124"/>
      <c r="J125" s="124"/>
      <c r="K125" s="124"/>
    </row>
    <row r="126" spans="1:11">
      <c r="A126" s="124"/>
      <c r="B126" s="124"/>
      <c r="C126" s="124"/>
      <c r="D126" s="124"/>
      <c r="E126" s="124"/>
      <c r="F126" s="124"/>
      <c r="G126" s="124"/>
      <c r="H126" s="153"/>
      <c r="I126" s="124"/>
      <c r="J126" s="124"/>
      <c r="K126" s="124"/>
    </row>
    <row r="127" spans="1:11" ht="13.8" thickBot="1">
      <c r="A127" s="127" t="s">
        <v>313</v>
      </c>
      <c r="B127" s="124"/>
      <c r="C127" s="124"/>
      <c r="D127" s="124"/>
      <c r="E127" s="124"/>
      <c r="F127" s="144"/>
      <c r="G127" s="124"/>
      <c r="H127" s="159">
        <f>H119+H123+H117+H115+H112+H107+H102+H98+H92+H80+H73+H65+H51+H47+H43+H125</f>
        <v>4146960.7069023428</v>
      </c>
      <c r="I127" s="161"/>
      <c r="J127" s="124"/>
      <c r="K127" s="124"/>
    </row>
    <row r="128" spans="1:11" ht="13.8" thickTop="1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</row>
    <row r="129" spans="1:11">
      <c r="A129" s="124"/>
      <c r="B129" s="124"/>
      <c r="C129" s="124"/>
      <c r="D129" s="124"/>
      <c r="E129" s="124"/>
      <c r="F129" s="124"/>
      <c r="G129" s="124"/>
      <c r="H129" s="124">
        <f>H127-'Direct Expense'!P65</f>
        <v>0</v>
      </c>
      <c r="I129" s="124"/>
      <c r="J129" s="124"/>
      <c r="K129" s="124"/>
    </row>
    <row r="130" spans="1:11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</row>
    <row r="131" spans="1:11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</row>
    <row r="132" spans="1:11">
      <c r="A132" s="124" t="str">
        <f ca="1">CELL("filename")</f>
        <v>O:\Enron Net Works\Accounting\2001 Plan\Deal Bench\[Deal Bench 2001 Plan.xls]Cash and Non-Cash</v>
      </c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</row>
    <row r="133" spans="1:11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</row>
    <row r="134" spans="1:11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</row>
    <row r="135" spans="1:11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</row>
  </sheetData>
  <pageMargins left="0.75" right="0.75" top="0.28000000000000003" bottom="0.25" header="0.25" footer="0.22"/>
  <pageSetup scale="42"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H23" sqref="H23"/>
    </sheetView>
  </sheetViews>
  <sheetFormatPr defaultRowHeight="13.2"/>
  <cols>
    <col min="3" max="4" width="13.33203125" customWidth="1"/>
    <col min="5" max="5" width="15.6640625" customWidth="1"/>
    <col min="6" max="8" width="13.33203125" customWidth="1"/>
    <col min="9" max="9" width="17.44140625" customWidth="1"/>
    <col min="10" max="10" width="14.6640625" customWidth="1"/>
    <col min="11" max="11" width="2.44140625" customWidth="1"/>
  </cols>
  <sheetData>
    <row r="1" spans="1:11" ht="22.8">
      <c r="E1" s="163" t="s">
        <v>314</v>
      </c>
    </row>
    <row r="2" spans="1:11" ht="22.8">
      <c r="E2" s="163" t="s">
        <v>324</v>
      </c>
    </row>
    <row r="3" spans="1:11" ht="21">
      <c r="E3" s="162" t="s">
        <v>325</v>
      </c>
    </row>
    <row r="7" spans="1:11" ht="14.4" thickBot="1">
      <c r="A7" s="155" t="s">
        <v>126</v>
      </c>
      <c r="B7" s="156"/>
      <c r="D7" s="79" t="s">
        <v>348</v>
      </c>
      <c r="E7" s="124"/>
    </row>
    <row r="8" spans="1:11" ht="14.4" thickBot="1">
      <c r="A8" s="155" t="s">
        <v>128</v>
      </c>
      <c r="B8" s="156"/>
      <c r="D8" s="79" t="s">
        <v>349</v>
      </c>
      <c r="E8" s="124"/>
    </row>
    <row r="9" spans="1:11" ht="14.4" thickBot="1">
      <c r="A9" s="43" t="s">
        <v>141</v>
      </c>
      <c r="B9" s="73"/>
      <c r="D9" s="72" t="s">
        <v>350</v>
      </c>
      <c r="E9" s="124"/>
    </row>
    <row r="10" spans="1:11" ht="14.4" thickBot="1">
      <c r="A10" s="43" t="s">
        <v>140</v>
      </c>
      <c r="B10" s="73"/>
      <c r="D10" s="72" t="s">
        <v>349</v>
      </c>
      <c r="E10" s="124"/>
    </row>
    <row r="13" spans="1:11" ht="15.6">
      <c r="A13" s="164"/>
      <c r="B13" s="164"/>
      <c r="C13" s="391">
        <v>2000</v>
      </c>
      <c r="D13" s="391"/>
      <c r="E13" s="391"/>
      <c r="F13" s="391"/>
      <c r="G13" s="391"/>
    </row>
    <row r="14" spans="1:11" ht="15.6">
      <c r="A14" s="164"/>
      <c r="B14" s="164"/>
      <c r="C14" s="179" t="s">
        <v>337</v>
      </c>
      <c r="D14" s="176" t="s">
        <v>338</v>
      </c>
      <c r="E14" s="176" t="s">
        <v>334</v>
      </c>
      <c r="F14" s="176" t="s">
        <v>335</v>
      </c>
      <c r="G14" s="176" t="s">
        <v>339</v>
      </c>
      <c r="H14" s="176" t="s">
        <v>340</v>
      </c>
      <c r="I14" s="176" t="s">
        <v>336</v>
      </c>
      <c r="J14" s="176" t="s">
        <v>191</v>
      </c>
    </row>
    <row r="15" spans="1:11" ht="15.6">
      <c r="A15" s="164" t="s">
        <v>326</v>
      </c>
      <c r="B15" s="164"/>
      <c r="C15" s="167"/>
      <c r="D15" s="167"/>
      <c r="E15" s="167"/>
      <c r="F15" s="167"/>
      <c r="G15" s="167"/>
      <c r="H15" s="167"/>
      <c r="I15" s="167"/>
      <c r="J15" s="175">
        <f>SUM(C15:I15)</f>
        <v>0</v>
      </c>
      <c r="K15" s="167"/>
    </row>
    <row r="16" spans="1:11" ht="15.6">
      <c r="A16" s="164" t="s">
        <v>342</v>
      </c>
      <c r="B16" s="164"/>
      <c r="C16" s="167"/>
      <c r="D16" s="167"/>
      <c r="E16" s="167"/>
      <c r="F16" s="167"/>
      <c r="G16" s="167"/>
      <c r="H16" s="167"/>
      <c r="I16" s="167"/>
      <c r="J16" s="175">
        <f>SUM(C16:I16)</f>
        <v>0</v>
      </c>
      <c r="K16" s="167"/>
    </row>
    <row r="17" spans="1:11" ht="15.6">
      <c r="A17" s="164" t="s">
        <v>327</v>
      </c>
      <c r="B17" s="164"/>
      <c r="C17" s="168"/>
      <c r="D17" s="168"/>
      <c r="E17" s="168"/>
      <c r="F17" s="166"/>
      <c r="G17" s="168">
        <v>0</v>
      </c>
      <c r="H17" s="168">
        <v>0</v>
      </c>
      <c r="I17" s="168">
        <v>0</v>
      </c>
      <c r="J17" s="168">
        <f>SUM(C17:I17)</f>
        <v>0</v>
      </c>
      <c r="K17" s="167"/>
    </row>
    <row r="18" spans="1:11" ht="15.6">
      <c r="A18" s="164"/>
      <c r="B18" s="169"/>
      <c r="C18" s="180">
        <f>SUM(C15:C17)</f>
        <v>0</v>
      </c>
      <c r="D18" s="180">
        <f t="shared" ref="D18:J18" si="0">SUM(D15:D17)</f>
        <v>0</v>
      </c>
      <c r="E18" s="180">
        <f t="shared" si="0"/>
        <v>0</v>
      </c>
      <c r="F18" s="180">
        <f t="shared" si="0"/>
        <v>0</v>
      </c>
      <c r="G18" s="180">
        <f t="shared" si="0"/>
        <v>0</v>
      </c>
      <c r="H18" s="180">
        <f t="shared" si="0"/>
        <v>0</v>
      </c>
      <c r="I18" s="180">
        <f t="shared" si="0"/>
        <v>0</v>
      </c>
      <c r="J18" s="180">
        <f t="shared" si="0"/>
        <v>0</v>
      </c>
      <c r="K18" s="169"/>
    </row>
    <row r="19" spans="1:11" ht="15.6">
      <c r="A19" s="164"/>
      <c r="B19" s="169"/>
      <c r="C19" s="169"/>
      <c r="D19" s="169"/>
      <c r="E19" s="169"/>
      <c r="F19" s="169"/>
      <c r="G19" s="169"/>
      <c r="H19" s="169"/>
      <c r="I19" s="169"/>
      <c r="J19" s="169"/>
      <c r="K19" s="169"/>
    </row>
    <row r="20" spans="1:11" ht="15.6">
      <c r="A20" s="164"/>
      <c r="B20" s="169"/>
      <c r="C20" s="169"/>
      <c r="D20" s="169"/>
      <c r="E20" s="169"/>
      <c r="F20" s="169"/>
      <c r="G20" s="169"/>
      <c r="H20" s="169"/>
      <c r="I20" s="169"/>
      <c r="J20" s="169"/>
      <c r="K20" s="169"/>
    </row>
    <row r="21" spans="1:11" ht="15.6">
      <c r="A21" s="164"/>
      <c r="B21" s="169"/>
      <c r="C21" s="391">
        <v>2001</v>
      </c>
      <c r="D21" s="391"/>
      <c r="E21" s="391"/>
      <c r="F21" s="391"/>
      <c r="G21" s="391"/>
      <c r="H21" s="391"/>
      <c r="J21" s="177" t="s">
        <v>191</v>
      </c>
      <c r="K21" s="169"/>
    </row>
    <row r="22" spans="1:11" ht="15.6">
      <c r="A22" s="164"/>
      <c r="B22" s="169"/>
      <c r="C22" s="178" t="s">
        <v>328</v>
      </c>
      <c r="D22" s="178" t="s">
        <v>329</v>
      </c>
      <c r="E22" s="178" t="s">
        <v>330</v>
      </c>
      <c r="F22" s="178" t="s">
        <v>331</v>
      </c>
      <c r="G22" s="178" t="s">
        <v>332</v>
      </c>
      <c r="H22" s="178" t="s">
        <v>333</v>
      </c>
      <c r="I22" s="176" t="s">
        <v>191</v>
      </c>
      <c r="J22" s="176" t="s">
        <v>341</v>
      </c>
      <c r="K22" s="169"/>
    </row>
    <row r="23" spans="1:11" ht="15.6">
      <c r="A23" s="164" t="s">
        <v>326</v>
      </c>
      <c r="B23" s="169"/>
      <c r="C23" s="167"/>
      <c r="D23" s="167"/>
      <c r="E23" s="167">
        <v>0</v>
      </c>
      <c r="F23" s="167"/>
      <c r="G23" s="167">
        <v>0</v>
      </c>
      <c r="H23" s="167"/>
      <c r="I23" s="167">
        <f>SUM(C23:G23)</f>
        <v>0</v>
      </c>
      <c r="J23" s="170">
        <f>J15+I23</f>
        <v>0</v>
      </c>
      <c r="K23" s="169"/>
    </row>
    <row r="24" spans="1:11" ht="15.6">
      <c r="A24" s="164" t="s">
        <v>342</v>
      </c>
      <c r="B24" s="169"/>
      <c r="C24" s="167"/>
      <c r="D24" s="167"/>
      <c r="E24" s="167"/>
      <c r="F24" s="167"/>
      <c r="G24" s="167"/>
      <c r="H24" s="167"/>
      <c r="I24" s="167"/>
      <c r="J24" s="170">
        <f>J16+I24</f>
        <v>0</v>
      </c>
      <c r="K24" s="169"/>
    </row>
    <row r="25" spans="1:11" ht="15.6">
      <c r="A25" s="164" t="s">
        <v>327</v>
      </c>
      <c r="B25" s="169"/>
      <c r="C25" s="168"/>
      <c r="D25" s="168"/>
      <c r="E25" s="168"/>
      <c r="F25" s="168"/>
      <c r="G25" s="168"/>
      <c r="H25" s="168"/>
      <c r="I25" s="168">
        <f>SUM(C25:G25)</f>
        <v>0</v>
      </c>
      <c r="J25" s="171">
        <f>J17+I25</f>
        <v>0</v>
      </c>
      <c r="K25" s="169"/>
    </row>
    <row r="26" spans="1:11" ht="15.6">
      <c r="A26" s="164"/>
      <c r="B26" s="169"/>
      <c r="C26" s="180">
        <f t="shared" ref="C26:J26" si="1">SUM(C23:C25)</f>
        <v>0</v>
      </c>
      <c r="D26" s="180">
        <f t="shared" si="1"/>
        <v>0</v>
      </c>
      <c r="E26" s="180">
        <f t="shared" si="1"/>
        <v>0</v>
      </c>
      <c r="F26" s="180">
        <f t="shared" si="1"/>
        <v>0</v>
      </c>
      <c r="G26" s="180">
        <f t="shared" si="1"/>
        <v>0</v>
      </c>
      <c r="H26" s="180">
        <f t="shared" si="1"/>
        <v>0</v>
      </c>
      <c r="I26" s="180">
        <f t="shared" si="1"/>
        <v>0</v>
      </c>
      <c r="J26" s="180">
        <f t="shared" si="1"/>
        <v>0</v>
      </c>
      <c r="K26" s="169"/>
    </row>
    <row r="27" spans="1:11" ht="15.6">
      <c r="A27" s="164"/>
      <c r="B27" s="164"/>
      <c r="C27" s="164"/>
      <c r="D27" s="164"/>
      <c r="E27" s="164"/>
      <c r="F27" s="164"/>
      <c r="G27" s="164"/>
      <c r="H27" s="164"/>
      <c r="I27" s="164"/>
      <c r="J27" s="164"/>
      <c r="K27" s="164"/>
    </row>
    <row r="28" spans="1:11" ht="15.6">
      <c r="A28" s="164"/>
      <c r="B28" s="164"/>
      <c r="C28" s="164"/>
      <c r="D28" s="164"/>
      <c r="E28" s="164"/>
      <c r="F28" s="164"/>
      <c r="G28" s="164"/>
      <c r="H28" s="164"/>
      <c r="I28" s="164"/>
      <c r="J28" s="164"/>
      <c r="K28" s="164"/>
    </row>
    <row r="29" spans="1:11" ht="15.6">
      <c r="A29" s="164"/>
      <c r="B29" s="164"/>
      <c r="C29" s="164" t="s">
        <v>343</v>
      </c>
      <c r="E29" s="172">
        <f>J26</f>
        <v>0</v>
      </c>
      <c r="F29" s="164"/>
      <c r="G29" s="164"/>
      <c r="H29" s="164"/>
      <c r="I29" s="164"/>
      <c r="J29" s="164"/>
      <c r="K29" s="164"/>
    </row>
    <row r="30" spans="1:11" ht="15.6">
      <c r="A30" s="164"/>
      <c r="B30" s="164"/>
      <c r="C30" s="164" t="s">
        <v>346</v>
      </c>
      <c r="E30" s="165">
        <v>3</v>
      </c>
      <c r="F30" s="164"/>
      <c r="G30" s="164"/>
      <c r="H30" s="164"/>
      <c r="I30" s="164"/>
      <c r="J30" s="164"/>
      <c r="K30" s="164"/>
    </row>
    <row r="31" spans="1:11" ht="15.6">
      <c r="C31" s="164" t="s">
        <v>344</v>
      </c>
      <c r="E31" s="165">
        <v>0</v>
      </c>
    </row>
    <row r="32" spans="1:11" ht="15.6">
      <c r="C32" s="169" t="s">
        <v>345</v>
      </c>
      <c r="D32" s="169"/>
      <c r="E32" s="173">
        <f>E29/E30/12</f>
        <v>0</v>
      </c>
    </row>
    <row r="33" spans="3:5" ht="15.6">
      <c r="C33" s="164" t="s">
        <v>347</v>
      </c>
      <c r="E33" s="174"/>
    </row>
  </sheetData>
  <mergeCells count="2">
    <mergeCell ref="C13:G13"/>
    <mergeCell ref="C21:H21"/>
  </mergeCells>
  <pageMargins left="0.75" right="0.75" top="0.26" bottom="0.52" header="0.17" footer="0.5"/>
  <pageSetup orientation="landscape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5"/>
  <sheetViews>
    <sheetView workbookViewId="0"/>
  </sheetViews>
  <sheetFormatPr defaultColWidth="10.6640625" defaultRowHeight="13.8"/>
  <cols>
    <col min="1" max="1" width="27.109375" style="200" customWidth="1"/>
    <col min="2" max="13" width="12.44140625" style="200" customWidth="1"/>
    <col min="14" max="14" width="14" style="200" customWidth="1"/>
    <col min="15" max="16384" width="10.6640625" style="200"/>
  </cols>
  <sheetData>
    <row r="2" spans="1:14">
      <c r="B2" s="201">
        <v>36892</v>
      </c>
      <c r="C2" s="201">
        <v>36923</v>
      </c>
      <c r="D2" s="201">
        <v>36951</v>
      </c>
      <c r="E2" s="201">
        <v>36982</v>
      </c>
      <c r="F2" s="201">
        <v>37012</v>
      </c>
      <c r="G2" s="201">
        <v>37043</v>
      </c>
      <c r="H2" s="201">
        <v>37073</v>
      </c>
      <c r="I2" s="201">
        <v>37104</v>
      </c>
      <c r="J2" s="201">
        <v>37135</v>
      </c>
      <c r="K2" s="201">
        <v>37165</v>
      </c>
      <c r="L2" s="201">
        <v>37196</v>
      </c>
      <c r="M2" s="201">
        <v>37226</v>
      </c>
      <c r="N2" s="202" t="s">
        <v>191</v>
      </c>
    </row>
    <row r="3" spans="1:14">
      <c r="A3" s="203" t="s">
        <v>375</v>
      </c>
    </row>
    <row r="4" spans="1:14">
      <c r="A4" s="200" t="s">
        <v>376</v>
      </c>
      <c r="B4" s="84">
        <f>Margin!D14</f>
        <v>0</v>
      </c>
      <c r="C4" s="84">
        <f>Margin!E14</f>
        <v>0</v>
      </c>
      <c r="D4" s="84">
        <f>Margin!F14</f>
        <v>0</v>
      </c>
      <c r="E4" s="84">
        <f>Margin!G14</f>
        <v>0</v>
      </c>
      <c r="F4" s="84">
        <f>Margin!H14</f>
        <v>0</v>
      </c>
      <c r="G4" s="84">
        <f>Margin!I14</f>
        <v>0</v>
      </c>
      <c r="H4" s="84">
        <f>Margin!J14</f>
        <v>0</v>
      </c>
      <c r="I4" s="84">
        <f>Margin!K14</f>
        <v>0</v>
      </c>
      <c r="J4" s="84">
        <f>Margin!L14</f>
        <v>0</v>
      </c>
      <c r="K4" s="84">
        <f>Margin!M14</f>
        <v>0</v>
      </c>
      <c r="L4" s="84">
        <f>Margin!N14</f>
        <v>0</v>
      </c>
      <c r="M4" s="84">
        <f>Margin!O14</f>
        <v>0</v>
      </c>
      <c r="N4" s="204">
        <f t="shared" ref="N4:N15" si="0">SUM(B4:M4)</f>
        <v>0</v>
      </c>
    </row>
    <row r="5" spans="1:14">
      <c r="A5" s="200" t="s">
        <v>377</v>
      </c>
      <c r="B5" s="84">
        <f>Margin!D16</f>
        <v>0</v>
      </c>
      <c r="C5" s="84">
        <f>Margin!E16</f>
        <v>0</v>
      </c>
      <c r="D5" s="84">
        <f>Margin!F16</f>
        <v>0</v>
      </c>
      <c r="E5" s="84">
        <f>Margin!G16</f>
        <v>0</v>
      </c>
      <c r="F5" s="84">
        <f>Margin!H16</f>
        <v>0</v>
      </c>
      <c r="G5" s="84">
        <f>Margin!I16</f>
        <v>0</v>
      </c>
      <c r="H5" s="84">
        <f>Margin!J16</f>
        <v>0</v>
      </c>
      <c r="I5" s="84">
        <f>Margin!K16</f>
        <v>0</v>
      </c>
      <c r="J5" s="84">
        <f>Margin!L16</f>
        <v>0</v>
      </c>
      <c r="K5" s="84">
        <f>Margin!M16</f>
        <v>0</v>
      </c>
      <c r="L5" s="84">
        <f>Margin!N16</f>
        <v>0</v>
      </c>
      <c r="M5" s="84">
        <f>Margin!O16</f>
        <v>0</v>
      </c>
      <c r="N5" s="204">
        <f t="shared" si="0"/>
        <v>0</v>
      </c>
    </row>
    <row r="6" spans="1:14">
      <c r="A6" s="205" t="s">
        <v>378</v>
      </c>
      <c r="B6" s="84">
        <f>'Direct Expense'!D63</f>
        <v>0</v>
      </c>
      <c r="C6" s="84">
        <f>'Direct Expense'!E63</f>
        <v>0</v>
      </c>
      <c r="D6" s="84">
        <f>'Direct Expense'!F63</f>
        <v>0</v>
      </c>
      <c r="E6" s="84">
        <f>'Direct Expense'!G63</f>
        <v>0</v>
      </c>
      <c r="F6" s="84">
        <f>'Direct Expense'!H63</f>
        <v>0</v>
      </c>
      <c r="G6" s="84">
        <f>'Direct Expense'!I63</f>
        <v>0</v>
      </c>
      <c r="H6" s="84">
        <f>'Direct Expense'!J63</f>
        <v>0</v>
      </c>
      <c r="I6" s="84">
        <f>'Direct Expense'!K63</f>
        <v>0</v>
      </c>
      <c r="J6" s="84">
        <f>'Direct Expense'!L63</f>
        <v>0</v>
      </c>
      <c r="K6" s="84">
        <f>'Direct Expense'!M63</f>
        <v>0</v>
      </c>
      <c r="L6" s="84">
        <f>'Direct Expense'!N63</f>
        <v>0</v>
      </c>
      <c r="M6" s="84">
        <f>'Direct Expense'!O63</f>
        <v>0</v>
      </c>
      <c r="N6" s="204">
        <f t="shared" si="0"/>
        <v>0</v>
      </c>
    </row>
    <row r="7" spans="1:14">
      <c r="A7" s="205" t="s">
        <v>379</v>
      </c>
      <c r="B7" s="84">
        <f>Margin!D27</f>
        <v>0</v>
      </c>
      <c r="C7" s="84">
        <f>Margin!E27</f>
        <v>0</v>
      </c>
      <c r="D7" s="84">
        <f>Margin!F27</f>
        <v>0</v>
      </c>
      <c r="E7" s="84">
        <f>Margin!G27</f>
        <v>0</v>
      </c>
      <c r="F7" s="84">
        <f>Margin!H27</f>
        <v>0</v>
      </c>
      <c r="G7" s="84">
        <f>Margin!I27</f>
        <v>0</v>
      </c>
      <c r="H7" s="84">
        <f>Margin!J27</f>
        <v>0</v>
      </c>
      <c r="I7" s="84">
        <f>Margin!K27</f>
        <v>0</v>
      </c>
      <c r="J7" s="84">
        <f>Margin!L27</f>
        <v>0</v>
      </c>
      <c r="K7" s="84">
        <f>Margin!M27</f>
        <v>0</v>
      </c>
      <c r="L7" s="84">
        <f>Margin!N27</f>
        <v>0</v>
      </c>
      <c r="M7" s="84">
        <f>Margin!O27</f>
        <v>0</v>
      </c>
      <c r="N7" s="204">
        <f t="shared" si="0"/>
        <v>0</v>
      </c>
    </row>
    <row r="8" spans="1:14">
      <c r="A8" s="205" t="s">
        <v>380</v>
      </c>
      <c r="B8" s="84">
        <f>Margin!D25</f>
        <v>0</v>
      </c>
      <c r="C8" s="84">
        <f>Margin!E25</f>
        <v>0</v>
      </c>
      <c r="D8" s="84">
        <f>Margin!F25</f>
        <v>0</v>
      </c>
      <c r="E8" s="84">
        <f>Margin!G25</f>
        <v>0</v>
      </c>
      <c r="F8" s="84">
        <f>Margin!H25</f>
        <v>0</v>
      </c>
      <c r="G8" s="84">
        <f>Margin!I25</f>
        <v>0</v>
      </c>
      <c r="H8" s="84">
        <f>Margin!J25</f>
        <v>0</v>
      </c>
      <c r="I8" s="84">
        <f>Margin!K25</f>
        <v>0</v>
      </c>
      <c r="J8" s="84">
        <f>Margin!L25</f>
        <v>0</v>
      </c>
      <c r="K8" s="84">
        <f>Margin!M25</f>
        <v>0</v>
      </c>
      <c r="L8" s="84">
        <f>Margin!N25</f>
        <v>0</v>
      </c>
      <c r="M8" s="84">
        <f>Margin!O25</f>
        <v>0</v>
      </c>
      <c r="N8" s="204">
        <f t="shared" si="0"/>
        <v>0</v>
      </c>
    </row>
    <row r="9" spans="1:14">
      <c r="A9" s="200" t="s">
        <v>381</v>
      </c>
      <c r="B9" s="84">
        <f>Margin!D17</f>
        <v>0</v>
      </c>
      <c r="C9" s="84">
        <f>Margin!E17</f>
        <v>0</v>
      </c>
      <c r="D9" s="84">
        <f>Margin!F17</f>
        <v>0</v>
      </c>
      <c r="E9" s="84">
        <f>Margin!G17</f>
        <v>0</v>
      </c>
      <c r="F9" s="84">
        <f>Margin!H17</f>
        <v>0</v>
      </c>
      <c r="G9" s="84">
        <f>Margin!I17</f>
        <v>0</v>
      </c>
      <c r="H9" s="84">
        <f>Margin!J17</f>
        <v>0</v>
      </c>
      <c r="I9" s="84">
        <f>Margin!K17</f>
        <v>0</v>
      </c>
      <c r="J9" s="84">
        <f>Margin!L17</f>
        <v>0</v>
      </c>
      <c r="K9" s="84">
        <f>Margin!M17</f>
        <v>0</v>
      </c>
      <c r="L9" s="84">
        <f>Margin!N17</f>
        <v>0</v>
      </c>
      <c r="M9" s="84">
        <f>Margin!O17</f>
        <v>0</v>
      </c>
      <c r="N9" s="204">
        <f t="shared" si="0"/>
        <v>0</v>
      </c>
    </row>
    <row r="10" spans="1:14">
      <c r="A10" s="205" t="s">
        <v>382</v>
      </c>
      <c r="B10" s="84">
        <f>Margin!D30</f>
        <v>0</v>
      </c>
      <c r="C10" s="84">
        <f>Margin!E30</f>
        <v>0</v>
      </c>
      <c r="D10" s="84">
        <f>Margin!F30</f>
        <v>0</v>
      </c>
      <c r="E10" s="84">
        <f>Margin!G30</f>
        <v>0</v>
      </c>
      <c r="F10" s="84">
        <f>Margin!H30</f>
        <v>0</v>
      </c>
      <c r="G10" s="84">
        <f>Margin!I30</f>
        <v>0</v>
      </c>
      <c r="H10" s="84">
        <f>Margin!J30</f>
        <v>0</v>
      </c>
      <c r="I10" s="84">
        <f>Margin!K30</f>
        <v>0</v>
      </c>
      <c r="J10" s="84">
        <f>Margin!L30</f>
        <v>0</v>
      </c>
      <c r="K10" s="84">
        <f>Margin!M30</f>
        <v>0</v>
      </c>
      <c r="L10" s="84">
        <f>Margin!N30</f>
        <v>0</v>
      </c>
      <c r="M10" s="84">
        <f>Margin!O30</f>
        <v>0</v>
      </c>
      <c r="N10" s="204">
        <f t="shared" si="0"/>
        <v>0</v>
      </c>
    </row>
    <row r="11" spans="1:14">
      <c r="A11" s="205" t="s">
        <v>383</v>
      </c>
      <c r="B11" s="84">
        <f>Margin!D15</f>
        <v>0</v>
      </c>
      <c r="C11" s="84">
        <f>Margin!E15</f>
        <v>0</v>
      </c>
      <c r="D11" s="84">
        <f>Margin!F15</f>
        <v>0</v>
      </c>
      <c r="E11" s="84">
        <f>Margin!G15</f>
        <v>0</v>
      </c>
      <c r="F11" s="84">
        <f>Margin!H15</f>
        <v>0</v>
      </c>
      <c r="G11" s="84">
        <f>Margin!I15</f>
        <v>0</v>
      </c>
      <c r="H11" s="84">
        <f>Margin!J15</f>
        <v>0</v>
      </c>
      <c r="I11" s="84">
        <f>Margin!K15</f>
        <v>0</v>
      </c>
      <c r="J11" s="84">
        <f>Margin!L15</f>
        <v>0</v>
      </c>
      <c r="K11" s="84">
        <f>Margin!M15</f>
        <v>0</v>
      </c>
      <c r="L11" s="84">
        <f>Margin!N15</f>
        <v>0</v>
      </c>
      <c r="M11" s="84">
        <f>Margin!O15</f>
        <v>0</v>
      </c>
      <c r="N11" s="204">
        <f t="shared" si="0"/>
        <v>0</v>
      </c>
    </row>
    <row r="12" spans="1:14">
      <c r="A12" s="205" t="s">
        <v>384</v>
      </c>
      <c r="B12" s="84">
        <f>Margin!D23</f>
        <v>0</v>
      </c>
      <c r="C12" s="84">
        <f>Margin!E23</f>
        <v>0</v>
      </c>
      <c r="D12" s="84">
        <f>Margin!F23</f>
        <v>0</v>
      </c>
      <c r="E12" s="84">
        <f>Margin!G23</f>
        <v>0</v>
      </c>
      <c r="F12" s="84">
        <f>Margin!H23</f>
        <v>0</v>
      </c>
      <c r="G12" s="84">
        <f>Margin!I23</f>
        <v>0</v>
      </c>
      <c r="H12" s="84">
        <f>Margin!J23</f>
        <v>0</v>
      </c>
      <c r="I12" s="84">
        <f>Margin!K23</f>
        <v>0</v>
      </c>
      <c r="J12" s="84">
        <f>Margin!L23</f>
        <v>0</v>
      </c>
      <c r="K12" s="84">
        <f>Margin!M23</f>
        <v>0</v>
      </c>
      <c r="L12" s="84">
        <f>Margin!N23</f>
        <v>0</v>
      </c>
      <c r="M12" s="84">
        <f>Margin!O23</f>
        <v>0</v>
      </c>
      <c r="N12" s="204">
        <f t="shared" si="0"/>
        <v>0</v>
      </c>
    </row>
    <row r="13" spans="1:14">
      <c r="A13" s="200" t="s">
        <v>385</v>
      </c>
      <c r="B13" s="84">
        <f>Margin!D24</f>
        <v>0</v>
      </c>
      <c r="C13" s="84">
        <f>Margin!E24</f>
        <v>0</v>
      </c>
      <c r="D13" s="84">
        <f>Margin!F24</f>
        <v>0</v>
      </c>
      <c r="E13" s="84">
        <f>Margin!G24</f>
        <v>0</v>
      </c>
      <c r="F13" s="84">
        <f>Margin!H24</f>
        <v>0</v>
      </c>
      <c r="G13" s="84">
        <f>Margin!I24</f>
        <v>0</v>
      </c>
      <c r="H13" s="84">
        <f>Margin!J24</f>
        <v>0</v>
      </c>
      <c r="I13" s="84">
        <f>Margin!K24</f>
        <v>0</v>
      </c>
      <c r="J13" s="84">
        <f>Margin!L24</f>
        <v>0</v>
      </c>
      <c r="K13" s="84">
        <f>Margin!M24</f>
        <v>0</v>
      </c>
      <c r="L13" s="84">
        <f>Margin!N24</f>
        <v>0</v>
      </c>
      <c r="M13" s="84">
        <f>Margin!O24</f>
        <v>0</v>
      </c>
      <c r="N13" s="204">
        <f t="shared" si="0"/>
        <v>0</v>
      </c>
    </row>
    <row r="14" spans="1:14">
      <c r="A14" s="200" t="s">
        <v>386</v>
      </c>
      <c r="B14" s="84">
        <v>0</v>
      </c>
      <c r="C14" s="84">
        <v>0</v>
      </c>
      <c r="D14" s="84">
        <v>0</v>
      </c>
      <c r="E14" s="84">
        <v>0</v>
      </c>
      <c r="F14" s="84">
        <v>0</v>
      </c>
      <c r="G14" s="84">
        <v>0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204">
        <f t="shared" si="0"/>
        <v>0</v>
      </c>
    </row>
    <row r="15" spans="1:14">
      <c r="A15" s="205" t="s">
        <v>387</v>
      </c>
      <c r="B15" s="84">
        <v>0</v>
      </c>
      <c r="C15" s="84">
        <v>0</v>
      </c>
      <c r="D15" s="84">
        <v>0</v>
      </c>
      <c r="E15" s="84">
        <v>0</v>
      </c>
      <c r="F15" s="84">
        <v>0</v>
      </c>
      <c r="G15" s="84">
        <v>0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204">
        <f t="shared" si="0"/>
        <v>0</v>
      </c>
    </row>
    <row r="16" spans="1:14">
      <c r="A16" s="206" t="s">
        <v>388</v>
      </c>
      <c r="B16" s="207">
        <f t="shared" ref="B16:N16" si="1">SUM(B4:B15)</f>
        <v>0</v>
      </c>
      <c r="C16" s="207">
        <f t="shared" si="1"/>
        <v>0</v>
      </c>
      <c r="D16" s="207">
        <f t="shared" si="1"/>
        <v>0</v>
      </c>
      <c r="E16" s="207">
        <f t="shared" si="1"/>
        <v>0</v>
      </c>
      <c r="F16" s="207">
        <f t="shared" si="1"/>
        <v>0</v>
      </c>
      <c r="G16" s="207">
        <f t="shared" si="1"/>
        <v>0</v>
      </c>
      <c r="H16" s="207">
        <f t="shared" si="1"/>
        <v>0</v>
      </c>
      <c r="I16" s="207">
        <f t="shared" si="1"/>
        <v>0</v>
      </c>
      <c r="J16" s="207">
        <f t="shared" si="1"/>
        <v>0</v>
      </c>
      <c r="K16" s="207">
        <f t="shared" si="1"/>
        <v>0</v>
      </c>
      <c r="L16" s="207">
        <f t="shared" si="1"/>
        <v>0</v>
      </c>
      <c r="M16" s="207">
        <f t="shared" si="1"/>
        <v>0</v>
      </c>
      <c r="N16" s="207">
        <f t="shared" si="1"/>
        <v>0</v>
      </c>
    </row>
    <row r="17" spans="1:14">
      <c r="A17" s="206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</row>
    <row r="18" spans="1:14">
      <c r="A18" s="203" t="s">
        <v>389</v>
      </c>
      <c r="B18" s="84">
        <f>'Cash and Non-Cash'!D86</f>
        <v>47690.719861895799</v>
      </c>
      <c r="C18" s="84">
        <f>'Cash and Non-Cash'!E86</f>
        <v>22698.338735159683</v>
      </c>
      <c r="D18" s="84">
        <f>'Cash and Non-Cash'!F86</f>
        <v>26570.735526182907</v>
      </c>
      <c r="E18" s="84">
        <f>'Cash and Non-Cash'!G86</f>
        <v>26946.230752945059</v>
      </c>
      <c r="F18" s="84">
        <f>'Cash and Non-Cash'!H86</f>
        <v>27360.436544361572</v>
      </c>
      <c r="G18" s="84">
        <f>'Cash and Non-Cash'!I86</f>
        <v>28027.343734101112</v>
      </c>
      <c r="H18" s="84">
        <f>'Cash and Non-Cash'!J86</f>
        <v>28054.267110543184</v>
      </c>
      <c r="I18" s="84">
        <f>'Cash and Non-Cash'!K86</f>
        <v>28260.116077876253</v>
      </c>
      <c r="J18" s="84">
        <f>'Cash and Non-Cash'!L86</f>
        <v>28034.366097344991</v>
      </c>
      <c r="K18" s="84">
        <f>'Cash and Non-Cash'!M86</f>
        <v>28047.746280221636</v>
      </c>
      <c r="L18" s="84">
        <f>'Cash and Non-Cash'!N86</f>
        <v>28033.072531487109</v>
      </c>
      <c r="M18" s="84">
        <f>'Cash and Non-Cash'!O86</f>
        <v>28033.942243374087</v>
      </c>
      <c r="N18" s="204">
        <f>SUM(B18:M18)</f>
        <v>347757.31549549336</v>
      </c>
    </row>
    <row r="19" spans="1:14">
      <c r="A19" s="206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</row>
    <row r="20" spans="1:14">
      <c r="A20" s="208" t="s">
        <v>390</v>
      </c>
      <c r="B20" s="209">
        <f t="shared" ref="B20:N20" si="2">B16-B18</f>
        <v>-47690.719861895799</v>
      </c>
      <c r="C20" s="209">
        <f t="shared" si="2"/>
        <v>-22698.338735159683</v>
      </c>
      <c r="D20" s="209">
        <f t="shared" si="2"/>
        <v>-26570.735526182907</v>
      </c>
      <c r="E20" s="209">
        <f t="shared" si="2"/>
        <v>-26946.230752945059</v>
      </c>
      <c r="F20" s="209">
        <f t="shared" si="2"/>
        <v>-27360.436544361572</v>
      </c>
      <c r="G20" s="209">
        <f t="shared" si="2"/>
        <v>-28027.343734101112</v>
      </c>
      <c r="H20" s="209">
        <f t="shared" si="2"/>
        <v>-28054.267110543184</v>
      </c>
      <c r="I20" s="209">
        <f t="shared" si="2"/>
        <v>-28260.116077876253</v>
      </c>
      <c r="J20" s="209">
        <f t="shared" si="2"/>
        <v>-28034.366097344991</v>
      </c>
      <c r="K20" s="209">
        <f t="shared" si="2"/>
        <v>-28047.746280221636</v>
      </c>
      <c r="L20" s="209">
        <f t="shared" si="2"/>
        <v>-28033.072531487109</v>
      </c>
      <c r="M20" s="209">
        <f t="shared" si="2"/>
        <v>-28033.942243374087</v>
      </c>
      <c r="N20" s="209">
        <f t="shared" si="2"/>
        <v>-347757.31549549336</v>
      </c>
    </row>
    <row r="21" spans="1:14">
      <c r="A21" s="205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</row>
    <row r="22" spans="1:14">
      <c r="A22" s="203" t="s">
        <v>391</v>
      </c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</row>
    <row r="23" spans="1:14">
      <c r="A23" s="200" t="s">
        <v>392</v>
      </c>
      <c r="B23" s="84">
        <f>'Direct Expense'!D14</f>
        <v>117583.33333333334</v>
      </c>
      <c r="C23" s="84">
        <f>'Direct Expense'!E14</f>
        <v>128361.80555555556</v>
      </c>
      <c r="D23" s="84">
        <f>'Direct Expense'!F14</f>
        <v>128361.80555555556</v>
      </c>
      <c r="E23" s="84">
        <f>'Direct Expense'!G14</f>
        <v>128361.80555555556</v>
      </c>
      <c r="F23" s="84">
        <f>'Direct Expense'!H14</f>
        <v>128361.80555555556</v>
      </c>
      <c r="G23" s="84">
        <f>'Direct Expense'!I14</f>
        <v>128361.80555555556</v>
      </c>
      <c r="H23" s="84">
        <f>'Direct Expense'!J14</f>
        <v>128361.80555555556</v>
      </c>
      <c r="I23" s="84">
        <f>'Direct Expense'!K14</f>
        <v>128361.80555555556</v>
      </c>
      <c r="J23" s="84">
        <f>'Direct Expense'!L14</f>
        <v>128361.80555555556</v>
      </c>
      <c r="K23" s="84">
        <f>'Direct Expense'!M14</f>
        <v>128361.80555555556</v>
      </c>
      <c r="L23" s="84">
        <f>'Direct Expense'!N14</f>
        <v>128361.80555555556</v>
      </c>
      <c r="M23" s="84">
        <f>'Direct Expense'!O14</f>
        <v>128361.80555555556</v>
      </c>
      <c r="N23" s="204">
        <f t="shared" ref="N23:N39" si="3">SUM(B23:M23)</f>
        <v>1529563.1944444443</v>
      </c>
    </row>
    <row r="24" spans="1:14">
      <c r="A24" s="200" t="s">
        <v>393</v>
      </c>
      <c r="B24" s="84">
        <f>'Direct Expense'!D17</f>
        <v>25558.208333333336</v>
      </c>
      <c r="C24" s="84">
        <f>'Direct Expense'!E17</f>
        <v>26781.564930555556</v>
      </c>
      <c r="D24" s="84">
        <f>'Direct Expense'!F17</f>
        <v>26781.564930555556</v>
      </c>
      <c r="E24" s="84">
        <f>'Direct Expense'!G17</f>
        <v>26781.564930555556</v>
      </c>
      <c r="F24" s="84">
        <f>'Direct Expense'!H17</f>
        <v>26781.564930555556</v>
      </c>
      <c r="G24" s="84">
        <f>'Direct Expense'!I17</f>
        <v>26781.564930555556</v>
      </c>
      <c r="H24" s="84">
        <f>'Direct Expense'!J17</f>
        <v>26781.564930555556</v>
      </c>
      <c r="I24" s="84">
        <f>'Direct Expense'!K17</f>
        <v>26781.564930555556</v>
      </c>
      <c r="J24" s="84">
        <f>'Direct Expense'!L17</f>
        <v>26781.564930555556</v>
      </c>
      <c r="K24" s="84">
        <f>'Direct Expense'!M17</f>
        <v>26781.564930555556</v>
      </c>
      <c r="L24" s="84">
        <f>'Direct Expense'!N17</f>
        <v>26781.564930555556</v>
      </c>
      <c r="M24" s="84">
        <f>'Direct Expense'!O17</f>
        <v>26781.564930555556</v>
      </c>
      <c r="N24" s="204">
        <f t="shared" si="3"/>
        <v>320155.4225694444</v>
      </c>
    </row>
    <row r="25" spans="1:14">
      <c r="A25" s="200" t="s">
        <v>357</v>
      </c>
      <c r="B25" s="84">
        <f>'Cash and Non-Cash'!D48</f>
        <v>69300</v>
      </c>
      <c r="C25" s="84">
        <f>'Cash and Non-Cash'!E48</f>
        <v>69300</v>
      </c>
      <c r="D25" s="84">
        <f>'Cash and Non-Cash'!F48</f>
        <v>69300</v>
      </c>
      <c r="E25" s="84">
        <f>'Cash and Non-Cash'!G48</f>
        <v>69300</v>
      </c>
      <c r="F25" s="84">
        <f>'Cash and Non-Cash'!H48</f>
        <v>69300</v>
      </c>
      <c r="G25" s="84">
        <f>'Cash and Non-Cash'!I48</f>
        <v>69300</v>
      </c>
      <c r="H25" s="84">
        <f>'Cash and Non-Cash'!J48</f>
        <v>69300</v>
      </c>
      <c r="I25" s="84">
        <f>'Cash and Non-Cash'!K48</f>
        <v>69300</v>
      </c>
      <c r="J25" s="84">
        <f>'Cash and Non-Cash'!L48</f>
        <v>69300</v>
      </c>
      <c r="K25" s="84">
        <f>'Cash and Non-Cash'!M48</f>
        <v>69300</v>
      </c>
      <c r="L25" s="84">
        <f>'Cash and Non-Cash'!N48</f>
        <v>69300</v>
      </c>
      <c r="M25" s="84">
        <f>'Cash and Non-Cash'!O48</f>
        <v>69300</v>
      </c>
      <c r="N25" s="204">
        <f t="shared" si="3"/>
        <v>831600</v>
      </c>
    </row>
    <row r="26" spans="1:14">
      <c r="A26" s="200" t="s">
        <v>394</v>
      </c>
      <c r="B26" s="84">
        <f>'Cash and Non-Cash'!D55</f>
        <v>0</v>
      </c>
      <c r="C26" s="84">
        <f>'Cash and Non-Cash'!E55</f>
        <v>0</v>
      </c>
      <c r="D26" s="84">
        <f>'Cash and Non-Cash'!F55</f>
        <v>0</v>
      </c>
      <c r="E26" s="84">
        <f>'Cash and Non-Cash'!G55</f>
        <v>0</v>
      </c>
      <c r="F26" s="84">
        <f>'Cash and Non-Cash'!H55</f>
        <v>0</v>
      </c>
      <c r="G26" s="84">
        <f>'Cash and Non-Cash'!I55</f>
        <v>0</v>
      </c>
      <c r="H26" s="84">
        <f>'Cash and Non-Cash'!J55</f>
        <v>0</v>
      </c>
      <c r="I26" s="84">
        <f>'Cash and Non-Cash'!K55</f>
        <v>0</v>
      </c>
      <c r="J26" s="84">
        <f>'Cash and Non-Cash'!L55</f>
        <v>0</v>
      </c>
      <c r="K26" s="84">
        <f>'Cash and Non-Cash'!M55</f>
        <v>0</v>
      </c>
      <c r="L26" s="84">
        <f>'Cash and Non-Cash'!N55</f>
        <v>0</v>
      </c>
      <c r="M26" s="84">
        <f>'Cash and Non-Cash'!O55</f>
        <v>0</v>
      </c>
      <c r="N26" s="204">
        <f t="shared" si="3"/>
        <v>0</v>
      </c>
    </row>
    <row r="27" spans="1:14">
      <c r="A27" s="200" t="s">
        <v>360</v>
      </c>
      <c r="B27" s="84">
        <f>'Cash and Non-Cash'!D59</f>
        <v>20750</v>
      </c>
      <c r="C27" s="84">
        <f>'Cash and Non-Cash'!E59</f>
        <v>20750</v>
      </c>
      <c r="D27" s="84">
        <f>'Cash and Non-Cash'!F59</f>
        <v>20750</v>
      </c>
      <c r="E27" s="84">
        <f>'Cash and Non-Cash'!G59</f>
        <v>20750</v>
      </c>
      <c r="F27" s="84">
        <f>'Cash and Non-Cash'!H59</f>
        <v>20750</v>
      </c>
      <c r="G27" s="84">
        <f>'Cash and Non-Cash'!I59</f>
        <v>20750</v>
      </c>
      <c r="H27" s="84">
        <f>'Cash and Non-Cash'!J59</f>
        <v>20750</v>
      </c>
      <c r="I27" s="84">
        <f>'Cash and Non-Cash'!K59</f>
        <v>20750</v>
      </c>
      <c r="J27" s="84">
        <f>'Cash and Non-Cash'!L59</f>
        <v>20750</v>
      </c>
      <c r="K27" s="84">
        <f>'Cash and Non-Cash'!M59</f>
        <v>20750</v>
      </c>
      <c r="L27" s="84">
        <f>'Cash and Non-Cash'!N59</f>
        <v>20750</v>
      </c>
      <c r="M27" s="84">
        <f>'Cash and Non-Cash'!O59</f>
        <v>20750</v>
      </c>
      <c r="N27" s="204">
        <f t="shared" si="3"/>
        <v>249000</v>
      </c>
    </row>
    <row r="28" spans="1:14">
      <c r="A28" s="200" t="s">
        <v>395</v>
      </c>
      <c r="B28" s="84">
        <f>'Cash and Non-Cash'!D67</f>
        <v>2725</v>
      </c>
      <c r="C28" s="84">
        <f>'Cash and Non-Cash'!E67</f>
        <v>2725</v>
      </c>
      <c r="D28" s="84">
        <f>'Cash and Non-Cash'!F67</f>
        <v>2725</v>
      </c>
      <c r="E28" s="84">
        <f>'Cash and Non-Cash'!G67</f>
        <v>2725</v>
      </c>
      <c r="F28" s="84">
        <f>'Cash and Non-Cash'!H67</f>
        <v>2725</v>
      </c>
      <c r="G28" s="84">
        <f>'Cash and Non-Cash'!I67</f>
        <v>2725</v>
      </c>
      <c r="H28" s="84">
        <f>'Cash and Non-Cash'!J67</f>
        <v>2725</v>
      </c>
      <c r="I28" s="84">
        <f>'Cash and Non-Cash'!K67</f>
        <v>2725</v>
      </c>
      <c r="J28" s="84">
        <f>'Cash and Non-Cash'!L67</f>
        <v>2725</v>
      </c>
      <c r="K28" s="84">
        <f>'Cash and Non-Cash'!M67</f>
        <v>2725</v>
      </c>
      <c r="L28" s="84">
        <f>'Cash and Non-Cash'!N67</f>
        <v>2725</v>
      </c>
      <c r="M28" s="84">
        <f>'Cash and Non-Cash'!O67</f>
        <v>2725</v>
      </c>
      <c r="N28" s="204">
        <f t="shared" si="3"/>
        <v>32700</v>
      </c>
    </row>
    <row r="29" spans="1:14">
      <c r="A29" s="200" t="s">
        <v>396</v>
      </c>
      <c r="B29" s="84">
        <f>'Cash and Non-Cash'!D72</f>
        <v>25000</v>
      </c>
      <c r="C29" s="84">
        <f>'Cash and Non-Cash'!E72</f>
        <v>25000</v>
      </c>
      <c r="D29" s="84">
        <f>'Cash and Non-Cash'!F72</f>
        <v>25000</v>
      </c>
      <c r="E29" s="84">
        <f>'Cash and Non-Cash'!G72</f>
        <v>25000</v>
      </c>
      <c r="F29" s="84">
        <f>'Cash and Non-Cash'!H72</f>
        <v>25000</v>
      </c>
      <c r="G29" s="84">
        <f>'Cash and Non-Cash'!I72</f>
        <v>25000</v>
      </c>
      <c r="H29" s="84">
        <f>'Cash and Non-Cash'!J72</f>
        <v>25000</v>
      </c>
      <c r="I29" s="84">
        <f>'Cash and Non-Cash'!K72</f>
        <v>25000</v>
      </c>
      <c r="J29" s="84">
        <f>'Cash and Non-Cash'!L72</f>
        <v>25000</v>
      </c>
      <c r="K29" s="84">
        <f>'Cash and Non-Cash'!M72</f>
        <v>25000</v>
      </c>
      <c r="L29" s="84">
        <f>'Cash and Non-Cash'!N72</f>
        <v>25000</v>
      </c>
      <c r="M29" s="84">
        <f>'Cash and Non-Cash'!O72</f>
        <v>25000</v>
      </c>
      <c r="N29" s="204">
        <f t="shared" si="3"/>
        <v>300000</v>
      </c>
    </row>
    <row r="30" spans="1:14">
      <c r="A30" s="200" t="s">
        <v>39</v>
      </c>
      <c r="B30" s="84">
        <f>'Cash and Non-Cash'!D73</f>
        <v>0</v>
      </c>
      <c r="C30" s="84">
        <f>'Cash and Non-Cash'!E73</f>
        <v>0</v>
      </c>
      <c r="D30" s="84">
        <f>'Cash and Non-Cash'!F73</f>
        <v>0</v>
      </c>
      <c r="E30" s="84">
        <f>'Cash and Non-Cash'!G73</f>
        <v>0</v>
      </c>
      <c r="F30" s="84">
        <f>'Cash and Non-Cash'!H73</f>
        <v>0</v>
      </c>
      <c r="G30" s="84">
        <f>'Cash and Non-Cash'!I73</f>
        <v>0</v>
      </c>
      <c r="H30" s="84">
        <f>'Cash and Non-Cash'!J73</f>
        <v>0</v>
      </c>
      <c r="I30" s="84">
        <f>'Cash and Non-Cash'!K73</f>
        <v>0</v>
      </c>
      <c r="J30" s="84">
        <f>'Cash and Non-Cash'!L73</f>
        <v>0</v>
      </c>
      <c r="K30" s="84">
        <f>'Cash and Non-Cash'!M73</f>
        <v>0</v>
      </c>
      <c r="L30" s="84">
        <f>'Cash and Non-Cash'!N73</f>
        <v>0</v>
      </c>
      <c r="M30" s="84">
        <f>'Cash and Non-Cash'!O73</f>
        <v>0</v>
      </c>
      <c r="N30" s="204">
        <f t="shared" si="3"/>
        <v>0</v>
      </c>
    </row>
    <row r="31" spans="1:14">
      <c r="A31" s="200" t="s">
        <v>397</v>
      </c>
      <c r="B31" s="84">
        <f>'Cash and Non-Cash'!D76</f>
        <v>700</v>
      </c>
      <c r="C31" s="84">
        <f>'Cash and Non-Cash'!E76</f>
        <v>700</v>
      </c>
      <c r="D31" s="84">
        <f>'Cash and Non-Cash'!F76</f>
        <v>700</v>
      </c>
      <c r="E31" s="84">
        <f>'Cash and Non-Cash'!G76</f>
        <v>700</v>
      </c>
      <c r="F31" s="84">
        <f>'Cash and Non-Cash'!H76</f>
        <v>700</v>
      </c>
      <c r="G31" s="84">
        <f>'Cash and Non-Cash'!I76</f>
        <v>700</v>
      </c>
      <c r="H31" s="84">
        <f>'Cash and Non-Cash'!J76</f>
        <v>700</v>
      </c>
      <c r="I31" s="84">
        <f>'Cash and Non-Cash'!K76</f>
        <v>700</v>
      </c>
      <c r="J31" s="84">
        <f>'Cash and Non-Cash'!L76</f>
        <v>700</v>
      </c>
      <c r="K31" s="84">
        <f>'Cash and Non-Cash'!M76</f>
        <v>700</v>
      </c>
      <c r="L31" s="84">
        <f>'Cash and Non-Cash'!N76</f>
        <v>700</v>
      </c>
      <c r="M31" s="84">
        <f>'Cash and Non-Cash'!O76</f>
        <v>700</v>
      </c>
      <c r="N31" s="204">
        <f t="shared" si="3"/>
        <v>8400</v>
      </c>
    </row>
    <row r="32" spans="1:14">
      <c r="A32" s="200" t="s">
        <v>307</v>
      </c>
      <c r="B32" s="84">
        <f>'Cash and Non-Cash'!D77</f>
        <v>3500</v>
      </c>
      <c r="C32" s="84">
        <f>'Cash and Non-Cash'!E77</f>
        <v>7000</v>
      </c>
      <c r="D32" s="84">
        <f>'Cash and Non-Cash'!F77</f>
        <v>3500</v>
      </c>
      <c r="E32" s="84">
        <f>'Cash and Non-Cash'!G77</f>
        <v>3500</v>
      </c>
      <c r="F32" s="84">
        <f>'Cash and Non-Cash'!H77</f>
        <v>7000</v>
      </c>
      <c r="G32" s="84">
        <f>'Cash and Non-Cash'!I77</f>
        <v>3500</v>
      </c>
      <c r="H32" s="84">
        <f>'Cash and Non-Cash'!J77</f>
        <v>3500</v>
      </c>
      <c r="I32" s="84">
        <f>'Cash and Non-Cash'!K77</f>
        <v>7000</v>
      </c>
      <c r="J32" s="84">
        <f>'Cash and Non-Cash'!L77</f>
        <v>3500</v>
      </c>
      <c r="K32" s="84">
        <f>'Cash and Non-Cash'!M77</f>
        <v>3500</v>
      </c>
      <c r="L32" s="84">
        <f>'Cash and Non-Cash'!N77</f>
        <v>3500</v>
      </c>
      <c r="M32" s="84">
        <f>'Cash and Non-Cash'!O77</f>
        <v>3500</v>
      </c>
      <c r="N32" s="204">
        <f t="shared" si="3"/>
        <v>52500</v>
      </c>
    </row>
    <row r="33" spans="1:14">
      <c r="A33" s="200" t="s">
        <v>43</v>
      </c>
      <c r="B33" s="84">
        <f>'Cash and Non-Cash'!D78</f>
        <v>0</v>
      </c>
      <c r="C33" s="84">
        <f>'Cash and Non-Cash'!E78</f>
        <v>0</v>
      </c>
      <c r="D33" s="84">
        <f>'Cash and Non-Cash'!F78</f>
        <v>0</v>
      </c>
      <c r="E33" s="84">
        <f>'Cash and Non-Cash'!G78</f>
        <v>0</v>
      </c>
      <c r="F33" s="84">
        <f>'Cash and Non-Cash'!H78</f>
        <v>0</v>
      </c>
      <c r="G33" s="84">
        <f>'Cash and Non-Cash'!I78</f>
        <v>0</v>
      </c>
      <c r="H33" s="84">
        <f>'Cash and Non-Cash'!J78</f>
        <v>0</v>
      </c>
      <c r="I33" s="84">
        <f>'Cash and Non-Cash'!K78</f>
        <v>0</v>
      </c>
      <c r="J33" s="84">
        <f>'Cash and Non-Cash'!L78</f>
        <v>0</v>
      </c>
      <c r="K33" s="84">
        <f>'Cash and Non-Cash'!M78</f>
        <v>0</v>
      </c>
      <c r="L33" s="84">
        <f>'Cash and Non-Cash'!N78</f>
        <v>0</v>
      </c>
      <c r="M33" s="84">
        <f>'Cash and Non-Cash'!O78</f>
        <v>0</v>
      </c>
      <c r="N33" s="204">
        <f t="shared" si="3"/>
        <v>0</v>
      </c>
    </row>
    <row r="34" spans="1:14">
      <c r="A34" s="200" t="s">
        <v>49</v>
      </c>
      <c r="B34" s="84">
        <f>'Cash and Non-Cash'!D79</f>
        <v>12586.840824037812</v>
      </c>
      <c r="C34" s="84">
        <f>'Cash and Non-Cash'!E79</f>
        <v>12586.840824037812</v>
      </c>
      <c r="D34" s="84">
        <f>'Cash and Non-Cash'!F79</f>
        <v>12586.840824037812</v>
      </c>
      <c r="E34" s="84">
        <f>'Cash and Non-Cash'!G79</f>
        <v>12586.840824037812</v>
      </c>
      <c r="F34" s="84">
        <f>'Cash and Non-Cash'!H79</f>
        <v>12586.840824037812</v>
      </c>
      <c r="G34" s="84">
        <f>'Cash and Non-Cash'!I79</f>
        <v>12586.840824037812</v>
      </c>
      <c r="H34" s="84">
        <f>'Cash and Non-Cash'!J79</f>
        <v>12586.840824037812</v>
      </c>
      <c r="I34" s="84">
        <f>'Cash and Non-Cash'!K79</f>
        <v>12586.840824037812</v>
      </c>
      <c r="J34" s="84">
        <f>'Cash and Non-Cash'!L79</f>
        <v>12586.840824037812</v>
      </c>
      <c r="K34" s="84">
        <f>'Cash and Non-Cash'!M79</f>
        <v>12586.840824037812</v>
      </c>
      <c r="L34" s="84">
        <f>'Cash and Non-Cash'!N79</f>
        <v>12586.840824037812</v>
      </c>
      <c r="M34" s="84">
        <f>'Cash and Non-Cash'!O79</f>
        <v>12586.840824037812</v>
      </c>
      <c r="N34" s="204">
        <f t="shared" si="3"/>
        <v>151042.08988845377</v>
      </c>
    </row>
    <row r="35" spans="1:14">
      <c r="A35" s="200" t="s">
        <v>50</v>
      </c>
      <c r="B35" s="84">
        <f>'Cash and Non-Cash'!D80</f>
        <v>12000</v>
      </c>
      <c r="C35" s="84">
        <f>'Cash and Non-Cash'!E80</f>
        <v>12000</v>
      </c>
      <c r="D35" s="84">
        <f>'Cash and Non-Cash'!F80</f>
        <v>12000</v>
      </c>
      <c r="E35" s="84">
        <f>'Cash and Non-Cash'!G80</f>
        <v>12000</v>
      </c>
      <c r="F35" s="84">
        <f>'Cash and Non-Cash'!H80</f>
        <v>12000</v>
      </c>
      <c r="G35" s="84">
        <f>'Cash and Non-Cash'!I80</f>
        <v>12000</v>
      </c>
      <c r="H35" s="84">
        <f>'Cash and Non-Cash'!J80</f>
        <v>12000</v>
      </c>
      <c r="I35" s="84">
        <f>'Cash and Non-Cash'!K80</f>
        <v>12000</v>
      </c>
      <c r="J35" s="84">
        <f>'Cash and Non-Cash'!L80</f>
        <v>12000</v>
      </c>
      <c r="K35" s="84">
        <f>'Cash and Non-Cash'!M80</f>
        <v>12000</v>
      </c>
      <c r="L35" s="84">
        <f>'Cash and Non-Cash'!N80</f>
        <v>12000</v>
      </c>
      <c r="M35" s="84">
        <f>'Cash and Non-Cash'!O80</f>
        <v>12000</v>
      </c>
      <c r="N35" s="204">
        <f t="shared" si="3"/>
        <v>144000</v>
      </c>
    </row>
    <row r="36" spans="1:14">
      <c r="A36" s="210" t="s">
        <v>94</v>
      </c>
      <c r="B36" s="84">
        <f>'Cash and Non-Cash'!D81</f>
        <v>44000</v>
      </c>
      <c r="C36" s="84">
        <f>'Cash and Non-Cash'!E81</f>
        <v>44000</v>
      </c>
      <c r="D36" s="84">
        <f>'Cash and Non-Cash'!F81</f>
        <v>44000</v>
      </c>
      <c r="E36" s="84">
        <f>'Cash and Non-Cash'!G81</f>
        <v>44000</v>
      </c>
      <c r="F36" s="84">
        <f>'Cash and Non-Cash'!H81</f>
        <v>44000</v>
      </c>
      <c r="G36" s="84">
        <f>'Cash and Non-Cash'!I81</f>
        <v>44000</v>
      </c>
      <c r="H36" s="84">
        <f>'Cash and Non-Cash'!J81</f>
        <v>44000</v>
      </c>
      <c r="I36" s="84">
        <f>'Cash and Non-Cash'!K81</f>
        <v>44000</v>
      </c>
      <c r="J36" s="84">
        <f>'Cash and Non-Cash'!L81</f>
        <v>44000</v>
      </c>
      <c r="K36" s="84">
        <f>'Cash and Non-Cash'!M81</f>
        <v>44000</v>
      </c>
      <c r="L36" s="84">
        <f>'Cash and Non-Cash'!N81</f>
        <v>44000</v>
      </c>
      <c r="M36" s="84">
        <f>'Cash and Non-Cash'!O81</f>
        <v>44000</v>
      </c>
      <c r="N36" s="204">
        <f t="shared" si="3"/>
        <v>528000</v>
      </c>
    </row>
    <row r="37" spans="1:14">
      <c r="A37" s="200" t="s">
        <v>44</v>
      </c>
      <c r="B37" s="84">
        <f>'Cash and Non-Cash'!D82</f>
        <v>0</v>
      </c>
      <c r="C37" s="84">
        <f>'Cash and Non-Cash'!E82</f>
        <v>0</v>
      </c>
      <c r="D37" s="84">
        <f>'Cash and Non-Cash'!F82</f>
        <v>0</v>
      </c>
      <c r="E37" s="84">
        <f>'Cash and Non-Cash'!G82</f>
        <v>0</v>
      </c>
      <c r="F37" s="84">
        <f>'Cash and Non-Cash'!H82</f>
        <v>0</v>
      </c>
      <c r="G37" s="84">
        <f>'Cash and Non-Cash'!I82</f>
        <v>0</v>
      </c>
      <c r="H37" s="84">
        <f>'Cash and Non-Cash'!J82</f>
        <v>0</v>
      </c>
      <c r="I37" s="84">
        <f>'Cash and Non-Cash'!K82</f>
        <v>0</v>
      </c>
      <c r="J37" s="84">
        <f>'Cash and Non-Cash'!L82</f>
        <v>0</v>
      </c>
      <c r="K37" s="84">
        <f>'Cash and Non-Cash'!M82</f>
        <v>0</v>
      </c>
      <c r="L37" s="84">
        <f>'Cash and Non-Cash'!N82</f>
        <v>0</v>
      </c>
      <c r="M37" s="84">
        <f>'Cash and Non-Cash'!O82</f>
        <v>0</v>
      </c>
      <c r="N37" s="204">
        <f t="shared" si="3"/>
        <v>0</v>
      </c>
    </row>
    <row r="38" spans="1:14">
      <c r="A38" s="200" t="s">
        <v>398</v>
      </c>
      <c r="B38" s="84">
        <f>'Cash and Non-Cash'!D83</f>
        <v>0</v>
      </c>
      <c r="C38" s="84">
        <f>'Cash and Non-Cash'!E83</f>
        <v>0</v>
      </c>
      <c r="D38" s="84">
        <f>'Cash and Non-Cash'!F83</f>
        <v>0</v>
      </c>
      <c r="E38" s="84">
        <f>'Cash and Non-Cash'!G83</f>
        <v>0</v>
      </c>
      <c r="F38" s="84">
        <f>'Cash and Non-Cash'!H83</f>
        <v>0</v>
      </c>
      <c r="G38" s="84">
        <f>'Cash and Non-Cash'!I83</f>
        <v>0</v>
      </c>
      <c r="H38" s="84">
        <f>'Cash and Non-Cash'!J83</f>
        <v>0</v>
      </c>
      <c r="I38" s="84">
        <f>'Cash and Non-Cash'!K83</f>
        <v>0</v>
      </c>
      <c r="J38" s="84">
        <f>'Cash and Non-Cash'!L83</f>
        <v>0</v>
      </c>
      <c r="K38" s="84">
        <f>'Cash and Non-Cash'!M83</f>
        <v>0</v>
      </c>
      <c r="L38" s="84">
        <f>'Cash and Non-Cash'!N83</f>
        <v>0</v>
      </c>
      <c r="M38" s="84">
        <f>'Cash and Non-Cash'!O83</f>
        <v>0</v>
      </c>
      <c r="N38" s="204">
        <f t="shared" si="3"/>
        <v>0</v>
      </c>
    </row>
    <row r="39" spans="1:14">
      <c r="A39" s="200" t="s">
        <v>399</v>
      </c>
      <c r="B39" s="84">
        <f>'Cash and Non-Cash'!D90</f>
        <v>0</v>
      </c>
      <c r="C39" s="84">
        <f>'Cash and Non-Cash'!E90</f>
        <v>0</v>
      </c>
      <c r="D39" s="84">
        <f>'Cash and Non-Cash'!F90</f>
        <v>0</v>
      </c>
      <c r="E39" s="84">
        <f>'Cash and Non-Cash'!G90</f>
        <v>0</v>
      </c>
      <c r="F39" s="84">
        <f>'Cash and Non-Cash'!H90</f>
        <v>0</v>
      </c>
      <c r="G39" s="84">
        <f>'Cash and Non-Cash'!I90</f>
        <v>0</v>
      </c>
      <c r="H39" s="84">
        <f>'Cash and Non-Cash'!J90</f>
        <v>0</v>
      </c>
      <c r="I39" s="84">
        <f>'Cash and Non-Cash'!K90</f>
        <v>0</v>
      </c>
      <c r="J39" s="84">
        <f>'Cash and Non-Cash'!L90</f>
        <v>0</v>
      </c>
      <c r="K39" s="84">
        <f>'Cash and Non-Cash'!M90</f>
        <v>0</v>
      </c>
      <c r="L39" s="84">
        <f>'Cash and Non-Cash'!N90</f>
        <v>0</v>
      </c>
      <c r="M39" s="84">
        <f>'Cash and Non-Cash'!O90</f>
        <v>0</v>
      </c>
      <c r="N39" s="204">
        <f t="shared" si="3"/>
        <v>0</v>
      </c>
    </row>
    <row r="40" spans="1:14">
      <c r="A40" s="206" t="s">
        <v>400</v>
      </c>
      <c r="B40" s="207">
        <f t="shared" ref="B40:N40" si="4">SUM(B23:B39)</f>
        <v>333703.38249070448</v>
      </c>
      <c r="C40" s="207">
        <f t="shared" si="4"/>
        <v>349205.21131014894</v>
      </c>
      <c r="D40" s="207">
        <f t="shared" si="4"/>
        <v>345705.21131014894</v>
      </c>
      <c r="E40" s="207">
        <f t="shared" si="4"/>
        <v>345705.21131014894</v>
      </c>
      <c r="F40" s="207">
        <f t="shared" si="4"/>
        <v>349205.21131014894</v>
      </c>
      <c r="G40" s="207">
        <f t="shared" si="4"/>
        <v>345705.21131014894</v>
      </c>
      <c r="H40" s="207">
        <f t="shared" si="4"/>
        <v>345705.21131014894</v>
      </c>
      <c r="I40" s="207">
        <f t="shared" si="4"/>
        <v>349205.21131014894</v>
      </c>
      <c r="J40" s="207">
        <f t="shared" si="4"/>
        <v>345705.21131014894</v>
      </c>
      <c r="K40" s="207">
        <f t="shared" si="4"/>
        <v>345705.21131014894</v>
      </c>
      <c r="L40" s="207">
        <f t="shared" si="4"/>
        <v>345705.21131014894</v>
      </c>
      <c r="M40" s="207">
        <f t="shared" si="4"/>
        <v>345705.21131014894</v>
      </c>
      <c r="N40" s="207">
        <f t="shared" si="4"/>
        <v>4146960.7069023424</v>
      </c>
    </row>
    <row r="41" spans="1:14"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</row>
    <row r="42" spans="1:14">
      <c r="A42" s="203" t="s">
        <v>401</v>
      </c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</row>
    <row r="43" spans="1:14">
      <c r="A43" s="200" t="s">
        <v>402</v>
      </c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204">
        <f t="shared" ref="N43:N52" si="5">SUM(B43:M43)</f>
        <v>0</v>
      </c>
    </row>
    <row r="44" spans="1:14">
      <c r="A44" s="200" t="s">
        <v>403</v>
      </c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204">
        <f t="shared" si="5"/>
        <v>0</v>
      </c>
    </row>
    <row r="45" spans="1:14">
      <c r="A45" s="200" t="s">
        <v>404</v>
      </c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204">
        <f t="shared" si="5"/>
        <v>0</v>
      </c>
    </row>
    <row r="46" spans="1:14">
      <c r="A46" s="200" t="s">
        <v>405</v>
      </c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204">
        <f t="shared" si="5"/>
        <v>0</v>
      </c>
    </row>
    <row r="47" spans="1:14">
      <c r="A47" s="200" t="s">
        <v>406</v>
      </c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204">
        <f t="shared" si="5"/>
        <v>0</v>
      </c>
    </row>
    <row r="48" spans="1:14">
      <c r="A48" s="200" t="s">
        <v>407</v>
      </c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204">
        <f t="shared" si="5"/>
        <v>0</v>
      </c>
    </row>
    <row r="49" spans="1:15">
      <c r="A49" s="200" t="s">
        <v>408</v>
      </c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204">
        <f t="shared" si="5"/>
        <v>0</v>
      </c>
    </row>
    <row r="50" spans="1:15">
      <c r="A50" s="200" t="s">
        <v>409</v>
      </c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204">
        <f t="shared" si="5"/>
        <v>0</v>
      </c>
    </row>
    <row r="51" spans="1:15">
      <c r="A51" s="200" t="s">
        <v>365</v>
      </c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204">
        <f t="shared" si="5"/>
        <v>0</v>
      </c>
    </row>
    <row r="52" spans="1:15">
      <c r="A52" s="200" t="s">
        <v>410</v>
      </c>
      <c r="B52" s="84">
        <f>+'Cash and Non-Cash'!D85</f>
        <v>0</v>
      </c>
      <c r="C52" s="84">
        <f>+'Cash and Non-Cash'!E85</f>
        <v>0</v>
      </c>
      <c r="D52" s="84">
        <f>+'Cash and Non-Cash'!F85</f>
        <v>0</v>
      </c>
      <c r="E52" s="84">
        <f>+'Cash and Non-Cash'!G85</f>
        <v>0</v>
      </c>
      <c r="F52" s="84">
        <f>+'Cash and Non-Cash'!H85</f>
        <v>0</v>
      </c>
      <c r="G52" s="84">
        <f>+'Cash and Non-Cash'!I85</f>
        <v>0</v>
      </c>
      <c r="H52" s="84">
        <f>+'Cash and Non-Cash'!J85</f>
        <v>0</v>
      </c>
      <c r="I52" s="84">
        <f>+'Cash and Non-Cash'!K85</f>
        <v>0</v>
      </c>
      <c r="J52" s="84">
        <f>+'Cash and Non-Cash'!L85</f>
        <v>0</v>
      </c>
      <c r="K52" s="84">
        <f>+'Cash and Non-Cash'!M85</f>
        <v>0</v>
      </c>
      <c r="L52" s="84">
        <f>+'Cash and Non-Cash'!N85</f>
        <v>0</v>
      </c>
      <c r="M52" s="84">
        <f>+'Cash and Non-Cash'!O85</f>
        <v>0</v>
      </c>
      <c r="N52" s="204">
        <f t="shared" si="5"/>
        <v>0</v>
      </c>
    </row>
    <row r="53" spans="1:15">
      <c r="A53" s="206" t="s">
        <v>411</v>
      </c>
      <c r="B53" s="207">
        <f t="shared" ref="B53:N53" si="6">SUM(B43:B52)</f>
        <v>0</v>
      </c>
      <c r="C53" s="207">
        <f t="shared" si="6"/>
        <v>0</v>
      </c>
      <c r="D53" s="207">
        <f t="shared" si="6"/>
        <v>0</v>
      </c>
      <c r="E53" s="207">
        <f t="shared" si="6"/>
        <v>0</v>
      </c>
      <c r="F53" s="207">
        <f t="shared" si="6"/>
        <v>0</v>
      </c>
      <c r="G53" s="207">
        <f t="shared" si="6"/>
        <v>0</v>
      </c>
      <c r="H53" s="207">
        <f t="shared" si="6"/>
        <v>0</v>
      </c>
      <c r="I53" s="207">
        <f t="shared" si="6"/>
        <v>0</v>
      </c>
      <c r="J53" s="207">
        <f t="shared" si="6"/>
        <v>0</v>
      </c>
      <c r="K53" s="207">
        <f t="shared" si="6"/>
        <v>0</v>
      </c>
      <c r="L53" s="207">
        <f t="shared" si="6"/>
        <v>0</v>
      </c>
      <c r="M53" s="207">
        <f t="shared" si="6"/>
        <v>0</v>
      </c>
      <c r="N53" s="207">
        <f t="shared" si="6"/>
        <v>0</v>
      </c>
      <c r="O53" s="211"/>
    </row>
    <row r="54" spans="1:15"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</row>
    <row r="55" spans="1:15">
      <c r="A55" s="206" t="s">
        <v>412</v>
      </c>
      <c r="B55" s="209">
        <f t="shared" ref="B55:N55" si="7">B53+B40</f>
        <v>333703.38249070448</v>
      </c>
      <c r="C55" s="209">
        <f t="shared" si="7"/>
        <v>349205.21131014894</v>
      </c>
      <c r="D55" s="209">
        <f t="shared" si="7"/>
        <v>345705.21131014894</v>
      </c>
      <c r="E55" s="209">
        <f t="shared" si="7"/>
        <v>345705.21131014894</v>
      </c>
      <c r="F55" s="209">
        <f t="shared" si="7"/>
        <v>349205.21131014894</v>
      </c>
      <c r="G55" s="209">
        <f t="shared" si="7"/>
        <v>345705.21131014894</v>
      </c>
      <c r="H55" s="209">
        <f t="shared" si="7"/>
        <v>345705.21131014894</v>
      </c>
      <c r="I55" s="209">
        <f t="shared" si="7"/>
        <v>349205.21131014894</v>
      </c>
      <c r="J55" s="209">
        <f t="shared" si="7"/>
        <v>345705.21131014894</v>
      </c>
      <c r="K55" s="209">
        <f t="shared" si="7"/>
        <v>345705.21131014894</v>
      </c>
      <c r="L55" s="209">
        <f t="shared" si="7"/>
        <v>345705.21131014894</v>
      </c>
      <c r="M55" s="209">
        <f t="shared" si="7"/>
        <v>345705.21131014894</v>
      </c>
      <c r="N55" s="209">
        <f t="shared" si="7"/>
        <v>4146960.7069023424</v>
      </c>
    </row>
    <row r="56" spans="1:15">
      <c r="A56" s="206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</row>
    <row r="57" spans="1:15">
      <c r="A57" s="203" t="s">
        <v>413</v>
      </c>
      <c r="B57" s="212">
        <v>0</v>
      </c>
      <c r="C57" s="212">
        <v>0</v>
      </c>
      <c r="D57" s="212">
        <v>0</v>
      </c>
      <c r="E57" s="212">
        <v>0</v>
      </c>
      <c r="F57" s="212">
        <v>0</v>
      </c>
      <c r="G57" s="212">
        <v>0</v>
      </c>
      <c r="H57" s="212">
        <v>0</v>
      </c>
      <c r="I57" s="212">
        <v>0</v>
      </c>
      <c r="J57" s="212">
        <v>0</v>
      </c>
      <c r="K57" s="212">
        <v>0</v>
      </c>
      <c r="L57" s="212">
        <v>0</v>
      </c>
      <c r="M57" s="212">
        <v>0</v>
      </c>
      <c r="N57" s="204">
        <f>SUM(B57:M57)</f>
        <v>0</v>
      </c>
    </row>
    <row r="58" spans="1:15"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</row>
    <row r="59" spans="1:15" ht="14.4" thickBot="1">
      <c r="A59" s="203" t="s">
        <v>414</v>
      </c>
      <c r="B59" s="213">
        <f t="shared" ref="B59:N59" si="8">B20-B55+B57</f>
        <v>-381394.10235260025</v>
      </c>
      <c r="C59" s="213">
        <f t="shared" si="8"/>
        <v>-371903.5500453086</v>
      </c>
      <c r="D59" s="213">
        <f t="shared" si="8"/>
        <v>-372275.94683633186</v>
      </c>
      <c r="E59" s="213">
        <f t="shared" si="8"/>
        <v>-372651.442063094</v>
      </c>
      <c r="F59" s="213">
        <f t="shared" si="8"/>
        <v>-376565.64785451052</v>
      </c>
      <c r="G59" s="213">
        <f t="shared" si="8"/>
        <v>-373732.55504425004</v>
      </c>
      <c r="H59" s="213">
        <f t="shared" si="8"/>
        <v>-373759.47842069215</v>
      </c>
      <c r="I59" s="213">
        <f t="shared" si="8"/>
        <v>-377465.32738802518</v>
      </c>
      <c r="J59" s="213">
        <f t="shared" si="8"/>
        <v>-373739.57740749395</v>
      </c>
      <c r="K59" s="213">
        <f t="shared" si="8"/>
        <v>-373752.95759037056</v>
      </c>
      <c r="L59" s="213">
        <f t="shared" si="8"/>
        <v>-373738.28384163603</v>
      </c>
      <c r="M59" s="213">
        <f t="shared" si="8"/>
        <v>-373739.15355352301</v>
      </c>
      <c r="N59" s="213">
        <f t="shared" si="8"/>
        <v>-4494718.0223978357</v>
      </c>
    </row>
    <row r="60" spans="1:15" ht="14.4" thickTop="1"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</row>
    <row r="61" spans="1:15"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</row>
    <row r="62" spans="1:15"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</row>
    <row r="63" spans="1:15">
      <c r="B63" s="214"/>
      <c r="C63" s="214"/>
      <c r="D63" s="214"/>
      <c r="E63" s="214"/>
      <c r="F63" s="214"/>
      <c r="G63" s="214"/>
      <c r="H63" s="214"/>
      <c r="I63" s="214"/>
      <c r="J63" s="214"/>
      <c r="K63" s="214"/>
      <c r="L63" s="214"/>
      <c r="M63" s="214"/>
      <c r="N63" s="214"/>
    </row>
    <row r="64" spans="1:15">
      <c r="B64" s="214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</row>
    <row r="65" spans="1:14">
      <c r="B65" s="214"/>
      <c r="C65" s="214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</row>
    <row r="66" spans="1:14">
      <c r="A66" s="215" t="str">
        <f ca="1">CELL("filename")</f>
        <v>O:\Enron Net Works\Accounting\2001 Plan\Deal Bench\[Deal Bench 2001 Plan.xls]Cash and Non-Cash</v>
      </c>
      <c r="B66" s="214"/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</row>
    <row r="67" spans="1:14">
      <c r="A67" s="392">
        <f ca="1">NOW()</f>
        <v>36838.463314351851</v>
      </c>
      <c r="B67" s="392"/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</row>
    <row r="68" spans="1:14">
      <c r="B68" s="214"/>
      <c r="C68" s="214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</row>
    <row r="69" spans="1:14">
      <c r="B69" s="214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</row>
    <row r="70" spans="1:14">
      <c r="B70" s="214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</row>
    <row r="71" spans="1:14">
      <c r="B71" s="214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</row>
    <row r="72" spans="1:14">
      <c r="B72" s="214"/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</row>
    <row r="73" spans="1:14">
      <c r="B73" s="214"/>
      <c r="C73" s="214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</row>
    <row r="74" spans="1:14">
      <c r="B74" s="214"/>
      <c r="C74" s="214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</row>
    <row r="75" spans="1:14">
      <c r="B75" s="214"/>
      <c r="C75" s="214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</row>
    <row r="76" spans="1:14">
      <c r="B76" s="214"/>
      <c r="C76" s="214"/>
      <c r="D76" s="214"/>
      <c r="E76" s="214"/>
      <c r="F76" s="214"/>
      <c r="G76" s="214"/>
      <c r="H76" s="214"/>
      <c r="I76" s="214"/>
      <c r="J76" s="214"/>
      <c r="K76" s="214"/>
      <c r="L76" s="214"/>
      <c r="M76" s="214"/>
      <c r="N76" s="214"/>
    </row>
    <row r="77" spans="1:14"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</row>
    <row r="78" spans="1:14">
      <c r="B78" s="214"/>
      <c r="C78" s="214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4"/>
    </row>
    <row r="79" spans="1:14"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</row>
    <row r="80" spans="1:14">
      <c r="B80" s="214"/>
      <c r="C80" s="214"/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</row>
    <row r="81" spans="2:14">
      <c r="B81" s="214"/>
      <c r="C81" s="214"/>
      <c r="D81" s="214"/>
      <c r="E81" s="214"/>
      <c r="F81" s="214"/>
      <c r="G81" s="214"/>
      <c r="H81" s="214"/>
      <c r="I81" s="214"/>
      <c r="J81" s="214"/>
      <c r="K81" s="214"/>
      <c r="L81" s="214"/>
      <c r="M81" s="214"/>
      <c r="N81" s="214"/>
    </row>
    <row r="82" spans="2:14">
      <c r="B82" s="214"/>
      <c r="C82" s="214"/>
      <c r="D82" s="214"/>
      <c r="E82" s="214"/>
      <c r="F82" s="214"/>
      <c r="G82" s="214"/>
      <c r="H82" s="214"/>
      <c r="I82" s="214"/>
      <c r="J82" s="214"/>
      <c r="K82" s="214"/>
      <c r="L82" s="214"/>
      <c r="M82" s="214"/>
      <c r="N82" s="214"/>
    </row>
    <row r="83" spans="2:14">
      <c r="B83" s="214"/>
      <c r="C83" s="214"/>
      <c r="D83" s="214"/>
      <c r="E83" s="214"/>
      <c r="F83" s="214"/>
      <c r="G83" s="214"/>
      <c r="H83" s="214"/>
      <c r="I83" s="214"/>
      <c r="J83" s="214"/>
      <c r="K83" s="214"/>
      <c r="L83" s="214"/>
      <c r="M83" s="214"/>
      <c r="N83" s="214"/>
    </row>
    <row r="84" spans="2:14">
      <c r="B84" s="214"/>
      <c r="C84" s="214"/>
      <c r="D84" s="214"/>
      <c r="E84" s="214"/>
      <c r="F84" s="214"/>
      <c r="G84" s="214"/>
      <c r="H84" s="214"/>
      <c r="I84" s="214"/>
      <c r="J84" s="214"/>
      <c r="K84" s="214"/>
      <c r="L84" s="214"/>
      <c r="M84" s="214"/>
      <c r="N84" s="214"/>
    </row>
    <row r="85" spans="2:14">
      <c r="B85" s="214"/>
      <c r="C85" s="214"/>
      <c r="D85" s="214"/>
      <c r="E85" s="214"/>
      <c r="F85" s="214"/>
      <c r="G85" s="214"/>
      <c r="H85" s="214"/>
      <c r="I85" s="214"/>
      <c r="J85" s="214"/>
      <c r="K85" s="214"/>
      <c r="L85" s="214"/>
      <c r="M85" s="214"/>
      <c r="N85" s="214"/>
    </row>
    <row r="86" spans="2:14">
      <c r="B86" s="214"/>
      <c r="C86" s="214"/>
      <c r="D86" s="214"/>
      <c r="E86" s="214"/>
      <c r="F86" s="214"/>
      <c r="G86" s="214"/>
      <c r="H86" s="214"/>
      <c r="I86" s="214"/>
      <c r="J86" s="214"/>
      <c r="K86" s="214"/>
      <c r="L86" s="214"/>
      <c r="M86" s="214"/>
      <c r="N86" s="214"/>
    </row>
    <row r="87" spans="2:14">
      <c r="B87" s="214"/>
      <c r="C87" s="214"/>
      <c r="D87" s="214"/>
      <c r="E87" s="214"/>
      <c r="F87" s="214"/>
      <c r="G87" s="214"/>
      <c r="H87" s="214"/>
      <c r="I87" s="214"/>
      <c r="J87" s="214"/>
      <c r="K87" s="214"/>
      <c r="L87" s="214"/>
      <c r="M87" s="214"/>
      <c r="N87" s="214"/>
    </row>
    <row r="88" spans="2:14">
      <c r="B88" s="214"/>
      <c r="C88" s="214"/>
      <c r="D88" s="214"/>
      <c r="E88" s="214"/>
      <c r="F88" s="214"/>
      <c r="G88" s="214"/>
      <c r="H88" s="214"/>
      <c r="I88" s="214"/>
      <c r="J88" s="214"/>
      <c r="K88" s="214"/>
      <c r="L88" s="214"/>
      <c r="M88" s="214"/>
      <c r="N88" s="214"/>
    </row>
    <row r="89" spans="2:14"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214"/>
    </row>
    <row r="90" spans="2:14"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</row>
    <row r="91" spans="2:14">
      <c r="B91" s="214"/>
      <c r="C91" s="214"/>
      <c r="D91" s="214"/>
      <c r="E91" s="214"/>
      <c r="F91" s="214"/>
      <c r="G91" s="214"/>
      <c r="H91" s="214"/>
      <c r="I91" s="214"/>
      <c r="J91" s="214"/>
      <c r="K91" s="214"/>
      <c r="L91" s="214"/>
      <c r="M91" s="214"/>
      <c r="N91" s="214"/>
    </row>
    <row r="92" spans="2:14">
      <c r="B92" s="214"/>
      <c r="C92" s="214"/>
      <c r="D92" s="214"/>
      <c r="E92" s="214"/>
      <c r="F92" s="214"/>
      <c r="G92" s="214"/>
      <c r="H92" s="214"/>
      <c r="I92" s="214"/>
      <c r="J92" s="214"/>
      <c r="K92" s="214"/>
      <c r="L92" s="214"/>
      <c r="M92" s="214"/>
      <c r="N92" s="214"/>
    </row>
    <row r="93" spans="2:14">
      <c r="B93" s="214"/>
      <c r="C93" s="214"/>
      <c r="D93" s="214"/>
      <c r="E93" s="214"/>
      <c r="F93" s="214"/>
      <c r="G93" s="214"/>
      <c r="H93" s="214"/>
      <c r="I93" s="214"/>
      <c r="J93" s="214"/>
      <c r="K93" s="214"/>
      <c r="L93" s="214"/>
      <c r="M93" s="214"/>
      <c r="N93" s="214"/>
    </row>
    <row r="94" spans="2:14">
      <c r="B94" s="214"/>
      <c r="C94" s="214"/>
      <c r="D94" s="214"/>
      <c r="E94" s="214"/>
      <c r="F94" s="214"/>
      <c r="G94" s="214"/>
      <c r="H94" s="214"/>
      <c r="I94" s="214"/>
      <c r="J94" s="214"/>
      <c r="K94" s="214"/>
      <c r="L94" s="214"/>
      <c r="M94" s="214"/>
      <c r="N94" s="214"/>
    </row>
    <row r="95" spans="2:14">
      <c r="B95" s="214"/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  <c r="N95" s="214"/>
    </row>
    <row r="96" spans="2:14">
      <c r="B96" s="214"/>
      <c r="C96" s="214"/>
      <c r="D96" s="214"/>
      <c r="E96" s="214"/>
      <c r="F96" s="214"/>
      <c r="G96" s="214"/>
      <c r="H96" s="214"/>
      <c r="I96" s="214"/>
      <c r="J96" s="214"/>
      <c r="K96" s="214"/>
      <c r="L96" s="214"/>
      <c r="M96" s="214"/>
      <c r="N96" s="214"/>
    </row>
    <row r="97" spans="2:14">
      <c r="B97" s="214"/>
      <c r="C97" s="214"/>
      <c r="D97" s="214"/>
      <c r="E97" s="214"/>
      <c r="F97" s="214"/>
      <c r="G97" s="214"/>
      <c r="H97" s="214"/>
      <c r="I97" s="214"/>
      <c r="J97" s="214"/>
      <c r="K97" s="214"/>
      <c r="L97" s="214"/>
      <c r="M97" s="214"/>
      <c r="N97" s="214"/>
    </row>
    <row r="98" spans="2:14">
      <c r="B98" s="214"/>
      <c r="C98" s="214"/>
      <c r="D98" s="214"/>
      <c r="E98" s="214"/>
      <c r="F98" s="214"/>
      <c r="G98" s="214"/>
      <c r="H98" s="214"/>
      <c r="I98" s="214"/>
      <c r="J98" s="214"/>
      <c r="K98" s="214"/>
      <c r="L98" s="214"/>
      <c r="M98" s="214"/>
      <c r="N98" s="214"/>
    </row>
    <row r="99" spans="2:14">
      <c r="B99" s="214"/>
      <c r="C99" s="214"/>
      <c r="D99" s="214"/>
      <c r="E99" s="214"/>
      <c r="F99" s="214"/>
      <c r="G99" s="214"/>
      <c r="H99" s="214"/>
      <c r="I99" s="214"/>
      <c r="J99" s="214"/>
      <c r="K99" s="214"/>
      <c r="L99" s="214"/>
      <c r="M99" s="214"/>
      <c r="N99" s="214"/>
    </row>
    <row r="100" spans="2:14">
      <c r="B100" s="214"/>
      <c r="C100" s="214"/>
      <c r="D100" s="214"/>
      <c r="E100" s="214"/>
      <c r="F100" s="214"/>
      <c r="G100" s="214"/>
      <c r="H100" s="214"/>
      <c r="I100" s="214"/>
      <c r="J100" s="214"/>
      <c r="K100" s="214"/>
      <c r="L100" s="214"/>
      <c r="M100" s="214"/>
      <c r="N100" s="214"/>
    </row>
    <row r="101" spans="2:14">
      <c r="B101" s="214"/>
      <c r="C101" s="214"/>
      <c r="D101" s="214"/>
      <c r="E101" s="214"/>
      <c r="F101" s="214"/>
      <c r="G101" s="214"/>
      <c r="H101" s="214"/>
      <c r="I101" s="214"/>
      <c r="J101" s="214"/>
      <c r="K101" s="214"/>
      <c r="L101" s="214"/>
      <c r="M101" s="214"/>
      <c r="N101" s="214"/>
    </row>
    <row r="102" spans="2:14">
      <c r="B102" s="214"/>
      <c r="C102" s="214"/>
      <c r="D102" s="214"/>
      <c r="E102" s="214"/>
      <c r="F102" s="214"/>
      <c r="G102" s="214"/>
      <c r="H102" s="214"/>
      <c r="I102" s="214"/>
      <c r="J102" s="214"/>
      <c r="K102" s="214"/>
      <c r="L102" s="214"/>
      <c r="M102" s="214"/>
      <c r="N102" s="214"/>
    </row>
    <row r="103" spans="2:14">
      <c r="B103" s="214"/>
      <c r="C103" s="214"/>
      <c r="D103" s="214"/>
      <c r="E103" s="214"/>
      <c r="F103" s="214"/>
      <c r="G103" s="214"/>
      <c r="H103" s="214"/>
      <c r="I103" s="214"/>
      <c r="J103" s="214"/>
      <c r="K103" s="214"/>
      <c r="L103" s="214"/>
      <c r="M103" s="214"/>
      <c r="N103" s="214"/>
    </row>
    <row r="104" spans="2:14">
      <c r="B104" s="214"/>
      <c r="C104" s="214"/>
      <c r="D104" s="214"/>
      <c r="E104" s="214"/>
      <c r="F104" s="214"/>
      <c r="G104" s="214"/>
      <c r="H104" s="214"/>
      <c r="I104" s="214"/>
      <c r="J104" s="214"/>
      <c r="K104" s="214"/>
      <c r="L104" s="214"/>
      <c r="M104" s="214"/>
      <c r="N104" s="214"/>
    </row>
    <row r="105" spans="2:14">
      <c r="B105" s="214"/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</row>
    <row r="106" spans="2:14">
      <c r="B106" s="214"/>
      <c r="C106" s="214"/>
      <c r="D106" s="214"/>
      <c r="E106" s="214"/>
      <c r="F106" s="214"/>
      <c r="G106" s="214"/>
      <c r="H106" s="214"/>
      <c r="I106" s="214"/>
      <c r="J106" s="214"/>
      <c r="K106" s="214"/>
      <c r="L106" s="214"/>
      <c r="M106" s="214"/>
      <c r="N106" s="214"/>
    </row>
    <row r="107" spans="2:14">
      <c r="B107" s="214"/>
      <c r="C107" s="214"/>
      <c r="D107" s="214"/>
      <c r="E107" s="214"/>
      <c r="F107" s="214"/>
      <c r="G107" s="214"/>
      <c r="H107" s="214"/>
      <c r="I107" s="214"/>
      <c r="J107" s="214"/>
      <c r="K107" s="214"/>
      <c r="L107" s="214"/>
      <c r="M107" s="214"/>
      <c r="N107" s="214"/>
    </row>
    <row r="108" spans="2:14">
      <c r="B108" s="214"/>
      <c r="C108" s="214"/>
      <c r="D108" s="214"/>
      <c r="E108" s="214"/>
      <c r="F108" s="214"/>
      <c r="G108" s="214"/>
      <c r="H108" s="214"/>
      <c r="I108" s="214"/>
      <c r="J108" s="214"/>
      <c r="K108" s="214"/>
      <c r="L108" s="214"/>
      <c r="M108" s="214"/>
      <c r="N108" s="214"/>
    </row>
    <row r="109" spans="2:14">
      <c r="B109" s="214"/>
      <c r="C109" s="214"/>
      <c r="D109" s="214"/>
      <c r="E109" s="214"/>
      <c r="F109" s="214"/>
      <c r="G109" s="214"/>
      <c r="H109" s="214"/>
      <c r="I109" s="214"/>
      <c r="J109" s="214"/>
      <c r="K109" s="214"/>
      <c r="L109" s="214"/>
      <c r="M109" s="214"/>
      <c r="N109" s="214"/>
    </row>
    <row r="110" spans="2:14">
      <c r="B110" s="214"/>
      <c r="C110" s="214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  <c r="N110" s="214"/>
    </row>
    <row r="111" spans="2:14">
      <c r="B111" s="214"/>
      <c r="C111" s="214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  <c r="N111" s="214"/>
    </row>
    <row r="112" spans="2:14">
      <c r="B112" s="214"/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  <c r="N112" s="214"/>
    </row>
    <row r="113" spans="2:14">
      <c r="B113" s="214"/>
      <c r="C113" s="214"/>
      <c r="D113" s="214"/>
      <c r="E113" s="214"/>
      <c r="F113" s="214"/>
      <c r="G113" s="214"/>
      <c r="H113" s="214"/>
      <c r="I113" s="214"/>
      <c r="J113" s="214"/>
      <c r="K113" s="214"/>
      <c r="L113" s="214"/>
      <c r="M113" s="214"/>
      <c r="N113" s="214"/>
    </row>
    <row r="114" spans="2:14">
      <c r="B114" s="214"/>
      <c r="C114" s="214"/>
      <c r="D114" s="214"/>
      <c r="E114" s="214"/>
      <c r="F114" s="214"/>
      <c r="G114" s="214"/>
      <c r="H114" s="214"/>
      <c r="I114" s="214"/>
      <c r="J114" s="214"/>
      <c r="K114" s="214"/>
      <c r="L114" s="214"/>
      <c r="M114" s="214"/>
      <c r="N114" s="214"/>
    </row>
    <row r="115" spans="2:14">
      <c r="B115" s="214"/>
      <c r="C115" s="214"/>
      <c r="D115" s="214"/>
      <c r="E115" s="214"/>
      <c r="F115" s="214"/>
      <c r="G115" s="214"/>
      <c r="H115" s="214"/>
      <c r="I115" s="214"/>
      <c r="J115" s="214"/>
      <c r="K115" s="214"/>
      <c r="L115" s="214"/>
      <c r="M115" s="214"/>
      <c r="N115" s="214"/>
    </row>
    <row r="116" spans="2:14">
      <c r="B116" s="214"/>
      <c r="C116" s="214"/>
      <c r="D116" s="214"/>
      <c r="E116" s="214"/>
      <c r="F116" s="214"/>
      <c r="G116" s="214"/>
      <c r="H116" s="214"/>
      <c r="I116" s="214"/>
      <c r="J116" s="214"/>
      <c r="K116" s="214"/>
      <c r="L116" s="214"/>
      <c r="M116" s="214"/>
      <c r="N116" s="214"/>
    </row>
    <row r="117" spans="2:14">
      <c r="B117" s="214"/>
      <c r="C117" s="214"/>
      <c r="D117" s="214"/>
      <c r="E117" s="214"/>
      <c r="F117" s="214"/>
      <c r="G117" s="214"/>
      <c r="H117" s="214"/>
      <c r="I117" s="214"/>
      <c r="J117" s="214"/>
      <c r="K117" s="214"/>
      <c r="L117" s="214"/>
      <c r="M117" s="214"/>
      <c r="N117" s="214"/>
    </row>
    <row r="118" spans="2:14">
      <c r="B118" s="214"/>
      <c r="C118" s="214"/>
      <c r="D118" s="214"/>
      <c r="E118" s="214"/>
      <c r="F118" s="214"/>
      <c r="G118" s="214"/>
      <c r="H118" s="214"/>
      <c r="I118" s="214"/>
      <c r="J118" s="214"/>
      <c r="K118" s="214"/>
      <c r="L118" s="214"/>
      <c r="M118" s="214"/>
      <c r="N118" s="214"/>
    </row>
    <row r="119" spans="2:14">
      <c r="B119" s="214"/>
      <c r="C119" s="214"/>
      <c r="D119" s="214"/>
      <c r="E119" s="214"/>
      <c r="F119" s="214"/>
      <c r="G119" s="214"/>
      <c r="H119" s="214"/>
      <c r="I119" s="214"/>
      <c r="J119" s="214"/>
      <c r="K119" s="214"/>
      <c r="L119" s="214"/>
      <c r="M119" s="214"/>
      <c r="N119" s="214"/>
    </row>
    <row r="120" spans="2:14">
      <c r="B120" s="214"/>
      <c r="C120" s="214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</row>
    <row r="121" spans="2:14">
      <c r="B121" s="214"/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</row>
    <row r="122" spans="2:14"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</row>
    <row r="123" spans="2:14">
      <c r="B123" s="214"/>
      <c r="C123" s="214"/>
      <c r="D123" s="214"/>
      <c r="E123" s="214"/>
      <c r="F123" s="214"/>
      <c r="G123" s="214"/>
      <c r="H123" s="214"/>
      <c r="I123" s="214"/>
      <c r="J123" s="214"/>
      <c r="K123" s="214"/>
      <c r="L123" s="214"/>
      <c r="M123" s="214"/>
      <c r="N123" s="214"/>
    </row>
    <row r="124" spans="2:14">
      <c r="B124" s="214"/>
      <c r="C124" s="214"/>
      <c r="D124" s="214"/>
      <c r="E124" s="214"/>
      <c r="F124" s="214"/>
      <c r="G124" s="214"/>
      <c r="H124" s="214"/>
      <c r="I124" s="214"/>
      <c r="J124" s="214"/>
      <c r="K124" s="214"/>
      <c r="L124" s="214"/>
      <c r="M124" s="214"/>
      <c r="N124" s="214"/>
    </row>
    <row r="125" spans="2:14">
      <c r="B125" s="214"/>
      <c r="C125" s="214"/>
      <c r="D125" s="214"/>
      <c r="E125" s="214"/>
      <c r="F125" s="214"/>
      <c r="G125" s="214"/>
      <c r="H125" s="214"/>
      <c r="I125" s="214"/>
      <c r="J125" s="214"/>
      <c r="K125" s="214"/>
      <c r="L125" s="214"/>
      <c r="M125" s="214"/>
      <c r="N125" s="214"/>
    </row>
    <row r="126" spans="2:14">
      <c r="B126" s="214"/>
      <c r="C126" s="214"/>
      <c r="D126" s="214"/>
      <c r="E126" s="214"/>
      <c r="F126" s="214"/>
      <c r="G126" s="214"/>
      <c r="H126" s="214"/>
      <c r="I126" s="214"/>
      <c r="J126" s="214"/>
      <c r="K126" s="214"/>
      <c r="L126" s="214"/>
      <c r="M126" s="214"/>
      <c r="N126" s="214"/>
    </row>
    <row r="127" spans="2:14">
      <c r="B127" s="214"/>
      <c r="C127" s="214"/>
      <c r="D127" s="214"/>
      <c r="E127" s="214"/>
      <c r="F127" s="214"/>
      <c r="G127" s="214"/>
      <c r="H127" s="214"/>
      <c r="I127" s="214"/>
      <c r="J127" s="214"/>
      <c r="K127" s="214"/>
      <c r="L127" s="214"/>
      <c r="M127" s="214"/>
      <c r="N127" s="214"/>
    </row>
    <row r="128" spans="2:14">
      <c r="B128" s="214"/>
      <c r="C128" s="214"/>
      <c r="D128" s="214"/>
      <c r="E128" s="214"/>
      <c r="F128" s="214"/>
      <c r="G128" s="214"/>
      <c r="H128" s="214"/>
      <c r="I128" s="214"/>
      <c r="J128" s="214"/>
      <c r="K128" s="214"/>
      <c r="L128" s="214"/>
      <c r="M128" s="214"/>
      <c r="N128" s="214"/>
    </row>
    <row r="129" spans="2:14">
      <c r="B129" s="214"/>
      <c r="C129" s="214"/>
      <c r="D129" s="214"/>
      <c r="E129" s="214"/>
      <c r="F129" s="214"/>
      <c r="G129" s="214"/>
      <c r="H129" s="214"/>
      <c r="I129" s="214"/>
      <c r="J129" s="214"/>
      <c r="K129" s="214"/>
      <c r="L129" s="214"/>
      <c r="M129" s="214"/>
      <c r="N129" s="214"/>
    </row>
    <row r="130" spans="2:14">
      <c r="B130" s="214"/>
      <c r="C130" s="214"/>
      <c r="D130" s="214"/>
      <c r="E130" s="214"/>
      <c r="F130" s="214"/>
      <c r="G130" s="214"/>
      <c r="H130" s="214"/>
      <c r="I130" s="214"/>
      <c r="J130" s="214"/>
      <c r="K130" s="214"/>
      <c r="L130" s="214"/>
      <c r="M130" s="214"/>
      <c r="N130" s="214"/>
    </row>
    <row r="131" spans="2:14">
      <c r="B131" s="214"/>
      <c r="C131" s="214"/>
      <c r="D131" s="214"/>
      <c r="E131" s="214"/>
      <c r="F131" s="214"/>
      <c r="G131" s="214"/>
      <c r="H131" s="214"/>
      <c r="I131" s="214"/>
      <c r="J131" s="214"/>
      <c r="K131" s="214"/>
      <c r="L131" s="214"/>
      <c r="M131" s="214"/>
      <c r="N131" s="214"/>
    </row>
    <row r="132" spans="2:14"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214"/>
    </row>
    <row r="133" spans="2:14"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214"/>
    </row>
    <row r="134" spans="2:14">
      <c r="B134" s="214"/>
      <c r="C134" s="214"/>
      <c r="D134" s="214"/>
      <c r="E134" s="214"/>
      <c r="F134" s="214"/>
      <c r="G134" s="214"/>
      <c r="H134" s="214"/>
      <c r="I134" s="214"/>
      <c r="J134" s="214"/>
      <c r="K134" s="214"/>
      <c r="L134" s="214"/>
      <c r="M134" s="214"/>
      <c r="N134" s="214"/>
    </row>
    <row r="135" spans="2:14">
      <c r="B135" s="214"/>
      <c r="C135" s="214"/>
      <c r="D135" s="214"/>
      <c r="E135" s="214"/>
      <c r="F135" s="214"/>
      <c r="G135" s="214"/>
      <c r="H135" s="214"/>
      <c r="I135" s="214"/>
      <c r="J135" s="214"/>
      <c r="K135" s="214"/>
      <c r="L135" s="214"/>
      <c r="M135" s="214"/>
      <c r="N135" s="214"/>
    </row>
  </sheetData>
  <mergeCells count="1">
    <mergeCell ref="A67:B67"/>
  </mergeCells>
  <printOptions horizontalCentered="1" verticalCentered="1"/>
  <pageMargins left="0.25" right="0.25" top="0.55000000000000004" bottom="0.22" header="0.18" footer="0.19"/>
  <pageSetup scale="65" orientation="landscape" r:id="rId1"/>
  <headerFooter alignWithMargins="0">
    <oddHeader xml:space="preserve">&amp;C&amp;"Arial,Bold"&amp;14East Midstream Origination&amp;"Arial,Regular"
&amp;"Arial,Bold"Plan 2001&amp;"Arial,Regular"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0"/>
  <sheetViews>
    <sheetView topLeftCell="A77" zoomScale="80" workbookViewId="0">
      <selection activeCell="A77" sqref="A77"/>
    </sheetView>
  </sheetViews>
  <sheetFormatPr defaultColWidth="10.6640625" defaultRowHeight="13.8"/>
  <cols>
    <col min="1" max="1" width="14.44140625" style="200" customWidth="1"/>
    <col min="2" max="2" width="60.6640625" style="200" customWidth="1"/>
    <col min="3" max="3" width="1.44140625" style="200" customWidth="1"/>
    <col min="4" max="4" width="12.77734375" style="200" customWidth="1"/>
    <col min="5" max="15" width="13" style="200" customWidth="1"/>
    <col min="16" max="16" width="14.109375" style="200" customWidth="1"/>
    <col min="17" max="16384" width="10.6640625" style="200"/>
  </cols>
  <sheetData>
    <row r="1" spans="1:16" s="218" customFormat="1" ht="9.75" customHeight="1">
      <c r="A1" s="216"/>
      <c r="B1" s="217"/>
      <c r="C1" s="217"/>
    </row>
    <row r="2" spans="1:16" s="222" customFormat="1" ht="27" customHeight="1">
      <c r="A2" s="219" t="s">
        <v>597</v>
      </c>
      <c r="B2" s="219"/>
      <c r="C2" s="219"/>
      <c r="D2" s="220"/>
      <c r="E2" s="220"/>
      <c r="F2" s="220"/>
      <c r="G2" s="221"/>
    </row>
    <row r="3" spans="1:16" s="222" customFormat="1" ht="27" customHeight="1">
      <c r="A3" s="219" t="s">
        <v>135</v>
      </c>
      <c r="B3" s="219"/>
      <c r="C3" s="219"/>
      <c r="D3" s="220"/>
      <c r="E3" s="220"/>
      <c r="F3" s="220"/>
      <c r="G3" s="221"/>
      <c r="P3" s="223" t="s">
        <v>187</v>
      </c>
    </row>
    <row r="4" spans="1:16" s="224" customFormat="1" ht="12" customHeight="1">
      <c r="C4" s="225"/>
      <c r="F4" s="226"/>
      <c r="G4" s="226"/>
      <c r="H4" s="227"/>
    </row>
    <row r="5" spans="1:16" s="224" customFormat="1" ht="18.75" customHeight="1">
      <c r="A5" s="393" t="s">
        <v>607</v>
      </c>
      <c r="B5" s="394"/>
      <c r="D5" s="228"/>
    </row>
    <row r="6" spans="1:16" s="224" customFormat="1" ht="14.25" customHeight="1" thickBot="1">
      <c r="B6" s="225"/>
      <c r="D6" s="228"/>
      <c r="G6" s="226"/>
      <c r="M6" s="229" t="s">
        <v>133</v>
      </c>
      <c r="N6" s="230"/>
    </row>
    <row r="7" spans="1:16" s="224" customFormat="1">
      <c r="C7" s="225"/>
      <c r="G7" s="226"/>
      <c r="M7" s="231" t="s">
        <v>415</v>
      </c>
    </row>
    <row r="8" spans="1:16" s="224" customFormat="1">
      <c r="A8" s="105" t="s">
        <v>188</v>
      </c>
      <c r="B8" s="232"/>
      <c r="C8" s="232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62"/>
    </row>
    <row r="9" spans="1:16" s="224" customFormat="1">
      <c r="A9" s="106" t="s">
        <v>189</v>
      </c>
      <c r="B9" s="234" t="s">
        <v>190</v>
      </c>
      <c r="C9" s="235"/>
      <c r="D9" s="236">
        <v>36892</v>
      </c>
      <c r="E9" s="236">
        <v>36923</v>
      </c>
      <c r="F9" s="236">
        <v>36951</v>
      </c>
      <c r="G9" s="236">
        <v>36982</v>
      </c>
      <c r="H9" s="236">
        <v>37012</v>
      </c>
      <c r="I9" s="236">
        <v>37043</v>
      </c>
      <c r="J9" s="236">
        <v>37073</v>
      </c>
      <c r="K9" s="236">
        <v>37104</v>
      </c>
      <c r="L9" s="236">
        <v>37135</v>
      </c>
      <c r="M9" s="236">
        <v>37165</v>
      </c>
      <c r="N9" s="236">
        <v>37196</v>
      </c>
      <c r="O9" s="236">
        <v>37226</v>
      </c>
      <c r="P9" s="67" t="s">
        <v>191</v>
      </c>
    </row>
    <row r="10" spans="1:16" s="238" customFormat="1">
      <c r="A10" s="107" t="s">
        <v>192</v>
      </c>
      <c r="B10" s="237"/>
      <c r="C10" s="237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7"/>
    </row>
    <row r="11" spans="1:16" s="238" customFormat="1">
      <c r="A11" s="108" t="s">
        <v>193</v>
      </c>
      <c r="B11" s="237" t="s">
        <v>194</v>
      </c>
      <c r="C11" s="237"/>
      <c r="D11" s="109">
        <f>Margin!D14</f>
        <v>0</v>
      </c>
      <c r="E11" s="109">
        <f>Margin!E14</f>
        <v>0</v>
      </c>
      <c r="F11" s="109">
        <f>Margin!F14</f>
        <v>0</v>
      </c>
      <c r="G11" s="109">
        <f>Margin!G14</f>
        <v>0</v>
      </c>
      <c r="H11" s="109">
        <f>Margin!H14</f>
        <v>0</v>
      </c>
      <c r="I11" s="109">
        <f>Margin!I14</f>
        <v>0</v>
      </c>
      <c r="J11" s="109">
        <f>Margin!J14</f>
        <v>0</v>
      </c>
      <c r="K11" s="109">
        <f>Margin!K14</f>
        <v>0</v>
      </c>
      <c r="L11" s="109">
        <f>Margin!L14</f>
        <v>0</v>
      </c>
      <c r="M11" s="109">
        <f>Margin!M14</f>
        <v>0</v>
      </c>
      <c r="N11" s="109">
        <f>Margin!N14</f>
        <v>0</v>
      </c>
      <c r="O11" s="109">
        <f>Margin!O14</f>
        <v>0</v>
      </c>
      <c r="P11" s="110">
        <f>SUM(D11:O11)</f>
        <v>0</v>
      </c>
    </row>
    <row r="12" spans="1:16" s="238" customFormat="1">
      <c r="A12" s="108" t="s">
        <v>195</v>
      </c>
      <c r="B12" s="237" t="s">
        <v>196</v>
      </c>
      <c r="C12" s="237"/>
      <c r="D12" s="109">
        <f>Margin!D15</f>
        <v>0</v>
      </c>
      <c r="E12" s="109">
        <f>Margin!E15</f>
        <v>0</v>
      </c>
      <c r="F12" s="109">
        <f>Margin!F15</f>
        <v>0</v>
      </c>
      <c r="G12" s="109">
        <f>Margin!G15</f>
        <v>0</v>
      </c>
      <c r="H12" s="109">
        <f>Margin!H15</f>
        <v>0</v>
      </c>
      <c r="I12" s="109">
        <f>Margin!I15</f>
        <v>0</v>
      </c>
      <c r="J12" s="109">
        <f>Margin!J15</f>
        <v>0</v>
      </c>
      <c r="K12" s="109">
        <f>Margin!K15</f>
        <v>0</v>
      </c>
      <c r="L12" s="109">
        <f>Margin!L15</f>
        <v>0</v>
      </c>
      <c r="M12" s="109">
        <f>Margin!M15</f>
        <v>0</v>
      </c>
      <c r="N12" s="109">
        <f>Margin!N15</f>
        <v>0</v>
      </c>
      <c r="O12" s="109">
        <f>Margin!O15</f>
        <v>0</v>
      </c>
      <c r="P12" s="110">
        <f>SUM(D12:O12)</f>
        <v>0</v>
      </c>
    </row>
    <row r="13" spans="1:16" s="238" customFormat="1">
      <c r="A13" s="108" t="s">
        <v>197</v>
      </c>
      <c r="B13" s="237" t="s">
        <v>198</v>
      </c>
      <c r="C13" s="237"/>
      <c r="D13" s="109">
        <f>Margin!D16</f>
        <v>0</v>
      </c>
      <c r="E13" s="109">
        <f>Margin!E16</f>
        <v>0</v>
      </c>
      <c r="F13" s="109">
        <f>Margin!F16</f>
        <v>0</v>
      </c>
      <c r="G13" s="109">
        <f>Margin!G16</f>
        <v>0</v>
      </c>
      <c r="H13" s="109">
        <f>Margin!H16</f>
        <v>0</v>
      </c>
      <c r="I13" s="109">
        <f>Margin!I16</f>
        <v>0</v>
      </c>
      <c r="J13" s="109">
        <f>Margin!J16</f>
        <v>0</v>
      </c>
      <c r="K13" s="109">
        <f>Margin!K16</f>
        <v>0</v>
      </c>
      <c r="L13" s="109">
        <f>Margin!L16</f>
        <v>0</v>
      </c>
      <c r="M13" s="109">
        <f>Margin!M16</f>
        <v>0</v>
      </c>
      <c r="N13" s="109">
        <f>Margin!N16</f>
        <v>0</v>
      </c>
      <c r="O13" s="109">
        <f>Margin!O16</f>
        <v>0</v>
      </c>
      <c r="P13" s="110">
        <f>SUM(D13:O13)</f>
        <v>0</v>
      </c>
    </row>
    <row r="14" spans="1:16" s="238" customFormat="1">
      <c r="A14" s="108" t="s">
        <v>199</v>
      </c>
      <c r="B14" s="237" t="s">
        <v>200</v>
      </c>
      <c r="C14" s="237"/>
      <c r="D14" s="109">
        <f>Margin!D17</f>
        <v>0</v>
      </c>
      <c r="E14" s="109">
        <f>Margin!E17</f>
        <v>0</v>
      </c>
      <c r="F14" s="109">
        <f>Margin!F17</f>
        <v>0</v>
      </c>
      <c r="G14" s="109">
        <f>Margin!G17</f>
        <v>0</v>
      </c>
      <c r="H14" s="109">
        <f>Margin!H17</f>
        <v>0</v>
      </c>
      <c r="I14" s="109">
        <f>Margin!I17</f>
        <v>0</v>
      </c>
      <c r="J14" s="109">
        <f>Margin!J17</f>
        <v>0</v>
      </c>
      <c r="K14" s="109">
        <f>Margin!K17</f>
        <v>0</v>
      </c>
      <c r="L14" s="109">
        <f>Margin!L17</f>
        <v>0</v>
      </c>
      <c r="M14" s="109">
        <f>Margin!M17</f>
        <v>0</v>
      </c>
      <c r="N14" s="109">
        <f>Margin!N17</f>
        <v>0</v>
      </c>
      <c r="O14" s="109">
        <f>Margin!O17</f>
        <v>0</v>
      </c>
      <c r="P14" s="110">
        <f>SUM(D14:O14)</f>
        <v>0</v>
      </c>
    </row>
    <row r="15" spans="1:16" s="238" customFormat="1">
      <c r="A15" s="108" t="s">
        <v>201</v>
      </c>
      <c r="B15" s="237" t="s">
        <v>202</v>
      </c>
      <c r="C15" s="237"/>
      <c r="D15" s="109">
        <f>Margin!D18</f>
        <v>0</v>
      </c>
      <c r="E15" s="109">
        <f>Margin!E18</f>
        <v>0</v>
      </c>
      <c r="F15" s="109">
        <f>Margin!F18</f>
        <v>0</v>
      </c>
      <c r="G15" s="109">
        <f>Margin!G18</f>
        <v>0</v>
      </c>
      <c r="H15" s="109">
        <f>Margin!H18</f>
        <v>0</v>
      </c>
      <c r="I15" s="109">
        <f>Margin!I18</f>
        <v>0</v>
      </c>
      <c r="J15" s="109">
        <f>Margin!J18</f>
        <v>0</v>
      </c>
      <c r="K15" s="109">
        <f>Margin!K18</f>
        <v>0</v>
      </c>
      <c r="L15" s="109">
        <f>Margin!L18</f>
        <v>0</v>
      </c>
      <c r="M15" s="109">
        <f>Margin!M18</f>
        <v>0</v>
      </c>
      <c r="N15" s="109">
        <f>Margin!N18</f>
        <v>0</v>
      </c>
      <c r="O15" s="109">
        <f>Margin!O18</f>
        <v>0</v>
      </c>
      <c r="P15" s="110">
        <f>SUM(D15:O15)</f>
        <v>0</v>
      </c>
    </row>
    <row r="16" spans="1:16" s="240" customFormat="1">
      <c r="A16" s="111"/>
      <c r="B16" s="239" t="s">
        <v>203</v>
      </c>
      <c r="C16" s="239"/>
      <c r="D16" s="113">
        <f t="shared" ref="D16:P16" si="0">SUM(D11:D15)</f>
        <v>0</v>
      </c>
      <c r="E16" s="113">
        <f t="shared" si="0"/>
        <v>0</v>
      </c>
      <c r="F16" s="113">
        <f t="shared" si="0"/>
        <v>0</v>
      </c>
      <c r="G16" s="113">
        <f t="shared" si="0"/>
        <v>0</v>
      </c>
      <c r="H16" s="113">
        <f t="shared" si="0"/>
        <v>0</v>
      </c>
      <c r="I16" s="113">
        <f t="shared" si="0"/>
        <v>0</v>
      </c>
      <c r="J16" s="113">
        <f t="shared" si="0"/>
        <v>0</v>
      </c>
      <c r="K16" s="113">
        <f t="shared" si="0"/>
        <v>0</v>
      </c>
      <c r="L16" s="113">
        <f t="shared" si="0"/>
        <v>0</v>
      </c>
      <c r="M16" s="113">
        <f t="shared" si="0"/>
        <v>0</v>
      </c>
      <c r="N16" s="113">
        <f t="shared" si="0"/>
        <v>0</v>
      </c>
      <c r="O16" s="113">
        <f t="shared" si="0"/>
        <v>0</v>
      </c>
      <c r="P16" s="114">
        <f t="shared" si="0"/>
        <v>0</v>
      </c>
    </row>
    <row r="17" spans="1:16" s="238" customFormat="1">
      <c r="A17" s="107" t="s">
        <v>204</v>
      </c>
      <c r="B17" s="237"/>
      <c r="C17" s="237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110"/>
    </row>
    <row r="18" spans="1:16" s="238" customFormat="1">
      <c r="A18" s="108" t="s">
        <v>205</v>
      </c>
      <c r="B18" s="237" t="s">
        <v>206</v>
      </c>
      <c r="C18" s="237"/>
      <c r="D18" s="109">
        <f>Margin!D21</f>
        <v>0</v>
      </c>
      <c r="E18" s="109">
        <f>Margin!E21</f>
        <v>0</v>
      </c>
      <c r="F18" s="109">
        <f>Margin!F21</f>
        <v>0</v>
      </c>
      <c r="G18" s="109">
        <f>Margin!G21</f>
        <v>0</v>
      </c>
      <c r="H18" s="109">
        <f>Margin!H21</f>
        <v>0</v>
      </c>
      <c r="I18" s="109">
        <f>Margin!I21</f>
        <v>0</v>
      </c>
      <c r="J18" s="109">
        <f>Margin!J21</f>
        <v>0</v>
      </c>
      <c r="K18" s="109">
        <f>Margin!K21</f>
        <v>0</v>
      </c>
      <c r="L18" s="109">
        <f>Margin!L21</f>
        <v>0</v>
      </c>
      <c r="M18" s="109">
        <f>Margin!M21</f>
        <v>0</v>
      </c>
      <c r="N18" s="109">
        <f>Margin!N21</f>
        <v>0</v>
      </c>
      <c r="O18" s="109">
        <f>Margin!O21</f>
        <v>0</v>
      </c>
      <c r="P18" s="110">
        <f t="shared" ref="P18:P28" si="1">SUM(D18:O18)</f>
        <v>0</v>
      </c>
    </row>
    <row r="19" spans="1:16" s="238" customFormat="1">
      <c r="A19" s="108" t="s">
        <v>207</v>
      </c>
      <c r="B19" s="237" t="s">
        <v>208</v>
      </c>
      <c r="C19" s="237"/>
      <c r="D19" s="109">
        <f>Margin!D22</f>
        <v>0</v>
      </c>
      <c r="E19" s="109">
        <f>Margin!E22</f>
        <v>0</v>
      </c>
      <c r="F19" s="109">
        <f>Margin!F22</f>
        <v>0</v>
      </c>
      <c r="G19" s="109">
        <f>Margin!G22</f>
        <v>0</v>
      </c>
      <c r="H19" s="109">
        <f>Margin!H22</f>
        <v>0</v>
      </c>
      <c r="I19" s="109">
        <f>Margin!I22</f>
        <v>0</v>
      </c>
      <c r="J19" s="109">
        <f>Margin!J22</f>
        <v>0</v>
      </c>
      <c r="K19" s="109">
        <f>Margin!K22</f>
        <v>0</v>
      </c>
      <c r="L19" s="109">
        <f>Margin!L22</f>
        <v>0</v>
      </c>
      <c r="M19" s="109">
        <f>Margin!M22</f>
        <v>0</v>
      </c>
      <c r="N19" s="109">
        <f>Margin!N22</f>
        <v>0</v>
      </c>
      <c r="O19" s="109">
        <f>Margin!O22</f>
        <v>0</v>
      </c>
      <c r="P19" s="110">
        <f t="shared" si="1"/>
        <v>0</v>
      </c>
    </row>
    <row r="20" spans="1:16" s="238" customFormat="1">
      <c r="A20" s="108" t="s">
        <v>209</v>
      </c>
      <c r="B20" s="237" t="s">
        <v>210</v>
      </c>
      <c r="C20" s="237"/>
      <c r="D20" s="109">
        <f>Margin!D23</f>
        <v>0</v>
      </c>
      <c r="E20" s="109">
        <f>Margin!E23</f>
        <v>0</v>
      </c>
      <c r="F20" s="109">
        <f>Margin!F23</f>
        <v>0</v>
      </c>
      <c r="G20" s="109">
        <f>Margin!G23</f>
        <v>0</v>
      </c>
      <c r="H20" s="109">
        <f>Margin!H23</f>
        <v>0</v>
      </c>
      <c r="I20" s="109">
        <f>Margin!I23</f>
        <v>0</v>
      </c>
      <c r="J20" s="109">
        <f>Margin!J23</f>
        <v>0</v>
      </c>
      <c r="K20" s="109">
        <f>Margin!K23</f>
        <v>0</v>
      </c>
      <c r="L20" s="109">
        <f>Margin!L23</f>
        <v>0</v>
      </c>
      <c r="M20" s="109">
        <f>Margin!M23</f>
        <v>0</v>
      </c>
      <c r="N20" s="109">
        <f>Margin!N23</f>
        <v>0</v>
      </c>
      <c r="O20" s="109">
        <f>Margin!O23</f>
        <v>0</v>
      </c>
      <c r="P20" s="110">
        <f t="shared" si="1"/>
        <v>0</v>
      </c>
    </row>
    <row r="21" spans="1:16" s="238" customFormat="1">
      <c r="A21" s="108" t="s">
        <v>211</v>
      </c>
      <c r="B21" s="237" t="s">
        <v>212</v>
      </c>
      <c r="C21" s="237"/>
      <c r="D21" s="109">
        <f>Margin!D24</f>
        <v>0</v>
      </c>
      <c r="E21" s="109">
        <f>Margin!E24</f>
        <v>0</v>
      </c>
      <c r="F21" s="109">
        <f>Margin!F24</f>
        <v>0</v>
      </c>
      <c r="G21" s="109">
        <f>Margin!G24</f>
        <v>0</v>
      </c>
      <c r="H21" s="109">
        <f>Margin!H24</f>
        <v>0</v>
      </c>
      <c r="I21" s="109">
        <f>Margin!I24</f>
        <v>0</v>
      </c>
      <c r="J21" s="109">
        <f>Margin!J24</f>
        <v>0</v>
      </c>
      <c r="K21" s="109">
        <f>Margin!K24</f>
        <v>0</v>
      </c>
      <c r="L21" s="109">
        <f>Margin!L24</f>
        <v>0</v>
      </c>
      <c r="M21" s="109">
        <f>Margin!M24</f>
        <v>0</v>
      </c>
      <c r="N21" s="109">
        <f>Margin!N24</f>
        <v>0</v>
      </c>
      <c r="O21" s="109">
        <f>Margin!O24</f>
        <v>0</v>
      </c>
      <c r="P21" s="110">
        <f t="shared" si="1"/>
        <v>0</v>
      </c>
    </row>
    <row r="22" spans="1:16" s="238" customFormat="1">
      <c r="A22" s="108" t="s">
        <v>213</v>
      </c>
      <c r="B22" s="237" t="s">
        <v>214</v>
      </c>
      <c r="C22" s="237"/>
      <c r="D22" s="109">
        <f>Margin!D25</f>
        <v>0</v>
      </c>
      <c r="E22" s="109">
        <f>Margin!E25</f>
        <v>0</v>
      </c>
      <c r="F22" s="109">
        <f>Margin!F25</f>
        <v>0</v>
      </c>
      <c r="G22" s="109">
        <f>Margin!G25</f>
        <v>0</v>
      </c>
      <c r="H22" s="109">
        <f>Margin!H25</f>
        <v>0</v>
      </c>
      <c r="I22" s="109">
        <f>Margin!I25</f>
        <v>0</v>
      </c>
      <c r="J22" s="109">
        <f>Margin!J25</f>
        <v>0</v>
      </c>
      <c r="K22" s="109">
        <f>Margin!K25</f>
        <v>0</v>
      </c>
      <c r="L22" s="109">
        <f>Margin!L25</f>
        <v>0</v>
      </c>
      <c r="M22" s="109">
        <f>Margin!M25</f>
        <v>0</v>
      </c>
      <c r="N22" s="109">
        <f>Margin!N25</f>
        <v>0</v>
      </c>
      <c r="O22" s="109">
        <f>Margin!O25</f>
        <v>0</v>
      </c>
      <c r="P22" s="110">
        <f t="shared" si="1"/>
        <v>0</v>
      </c>
    </row>
    <row r="23" spans="1:16" s="238" customFormat="1">
      <c r="A23" s="108" t="s">
        <v>215</v>
      </c>
      <c r="B23" s="237" t="s">
        <v>216</v>
      </c>
      <c r="C23" s="237"/>
      <c r="D23" s="109">
        <f>Margin!D26</f>
        <v>0</v>
      </c>
      <c r="E23" s="109">
        <f>Margin!E26</f>
        <v>0</v>
      </c>
      <c r="F23" s="109">
        <f>Margin!F26</f>
        <v>0</v>
      </c>
      <c r="G23" s="109">
        <f>Margin!G26</f>
        <v>0</v>
      </c>
      <c r="H23" s="109">
        <f>Margin!H26</f>
        <v>0</v>
      </c>
      <c r="I23" s="109">
        <f>Margin!I26</f>
        <v>0</v>
      </c>
      <c r="J23" s="109">
        <f>Margin!J26</f>
        <v>0</v>
      </c>
      <c r="K23" s="109">
        <f>Margin!K26</f>
        <v>0</v>
      </c>
      <c r="L23" s="109">
        <f>Margin!L26</f>
        <v>0</v>
      </c>
      <c r="M23" s="109">
        <f>Margin!M26</f>
        <v>0</v>
      </c>
      <c r="N23" s="109">
        <f>Margin!N26</f>
        <v>0</v>
      </c>
      <c r="O23" s="109">
        <f>Margin!O26</f>
        <v>0</v>
      </c>
      <c r="P23" s="110">
        <f t="shared" si="1"/>
        <v>0</v>
      </c>
    </row>
    <row r="24" spans="1:16" s="238" customFormat="1">
      <c r="A24" s="108" t="s">
        <v>217</v>
      </c>
      <c r="B24" s="237" t="s">
        <v>218</v>
      </c>
      <c r="C24" s="237"/>
      <c r="D24" s="109">
        <f>Margin!D27</f>
        <v>0</v>
      </c>
      <c r="E24" s="109">
        <f>Margin!E27</f>
        <v>0</v>
      </c>
      <c r="F24" s="109">
        <f>Margin!F27</f>
        <v>0</v>
      </c>
      <c r="G24" s="109">
        <f>Margin!G27</f>
        <v>0</v>
      </c>
      <c r="H24" s="109">
        <f>Margin!H27</f>
        <v>0</v>
      </c>
      <c r="I24" s="109">
        <f>Margin!I27</f>
        <v>0</v>
      </c>
      <c r="J24" s="109">
        <f>Margin!J27</f>
        <v>0</v>
      </c>
      <c r="K24" s="109">
        <f>Margin!K27</f>
        <v>0</v>
      </c>
      <c r="L24" s="109">
        <f>Margin!L27</f>
        <v>0</v>
      </c>
      <c r="M24" s="109">
        <f>Margin!M27</f>
        <v>0</v>
      </c>
      <c r="N24" s="109">
        <f>Margin!N27</f>
        <v>0</v>
      </c>
      <c r="O24" s="109">
        <f>Margin!O27</f>
        <v>0</v>
      </c>
      <c r="P24" s="110">
        <f t="shared" si="1"/>
        <v>0</v>
      </c>
    </row>
    <row r="25" spans="1:16" s="238" customFormat="1">
      <c r="A25" s="108" t="s">
        <v>219</v>
      </c>
      <c r="B25" s="237" t="s">
        <v>220</v>
      </c>
      <c r="C25" s="237"/>
      <c r="D25" s="109">
        <f>Margin!D28</f>
        <v>0</v>
      </c>
      <c r="E25" s="109">
        <f>Margin!E28</f>
        <v>0</v>
      </c>
      <c r="F25" s="109">
        <f>Margin!F28</f>
        <v>0</v>
      </c>
      <c r="G25" s="109">
        <f>Margin!G28</f>
        <v>0</v>
      </c>
      <c r="H25" s="109">
        <f>Margin!H28</f>
        <v>0</v>
      </c>
      <c r="I25" s="109">
        <f>Margin!I28</f>
        <v>0</v>
      </c>
      <c r="J25" s="109">
        <f>Margin!J28</f>
        <v>0</v>
      </c>
      <c r="K25" s="109">
        <f>Margin!K28</f>
        <v>0</v>
      </c>
      <c r="L25" s="109">
        <f>Margin!L28</f>
        <v>0</v>
      </c>
      <c r="M25" s="109">
        <f>Margin!M28</f>
        <v>0</v>
      </c>
      <c r="N25" s="109">
        <f>Margin!N28</f>
        <v>0</v>
      </c>
      <c r="O25" s="109">
        <f>Margin!O28</f>
        <v>0</v>
      </c>
      <c r="P25" s="110">
        <f t="shared" si="1"/>
        <v>0</v>
      </c>
    </row>
    <row r="26" spans="1:16" s="238" customFormat="1">
      <c r="A26" s="108" t="s">
        <v>221</v>
      </c>
      <c r="B26" s="237" t="s">
        <v>222</v>
      </c>
      <c r="C26" s="237"/>
      <c r="D26" s="109">
        <f>Margin!D29</f>
        <v>0</v>
      </c>
      <c r="E26" s="109">
        <f>Margin!E29</f>
        <v>0</v>
      </c>
      <c r="F26" s="109">
        <f>Margin!F29</f>
        <v>0</v>
      </c>
      <c r="G26" s="109">
        <f>Margin!G29</f>
        <v>0</v>
      </c>
      <c r="H26" s="109">
        <f>Margin!H29</f>
        <v>0</v>
      </c>
      <c r="I26" s="109">
        <f>Margin!I29</f>
        <v>0</v>
      </c>
      <c r="J26" s="109">
        <f>Margin!J29</f>
        <v>0</v>
      </c>
      <c r="K26" s="109">
        <f>Margin!K29</f>
        <v>0</v>
      </c>
      <c r="L26" s="109">
        <f>Margin!L29</f>
        <v>0</v>
      </c>
      <c r="M26" s="109">
        <f>Margin!M29</f>
        <v>0</v>
      </c>
      <c r="N26" s="109">
        <f>Margin!N29</f>
        <v>0</v>
      </c>
      <c r="O26" s="109">
        <f>Margin!O29</f>
        <v>0</v>
      </c>
      <c r="P26" s="110">
        <f t="shared" si="1"/>
        <v>0</v>
      </c>
    </row>
    <row r="27" spans="1:16" s="238" customFormat="1">
      <c r="A27" s="108" t="s">
        <v>223</v>
      </c>
      <c r="B27" s="237" t="s">
        <v>224</v>
      </c>
      <c r="C27" s="237"/>
      <c r="D27" s="109">
        <f>Margin!D30</f>
        <v>0</v>
      </c>
      <c r="E27" s="109">
        <f>Margin!E30</f>
        <v>0</v>
      </c>
      <c r="F27" s="109">
        <f>Margin!F30</f>
        <v>0</v>
      </c>
      <c r="G27" s="109">
        <f>Margin!G30</f>
        <v>0</v>
      </c>
      <c r="H27" s="109">
        <f>Margin!H30</f>
        <v>0</v>
      </c>
      <c r="I27" s="109">
        <f>Margin!I30</f>
        <v>0</v>
      </c>
      <c r="J27" s="109">
        <f>Margin!J30</f>
        <v>0</v>
      </c>
      <c r="K27" s="109">
        <f>Margin!K30</f>
        <v>0</v>
      </c>
      <c r="L27" s="109">
        <f>Margin!L30</f>
        <v>0</v>
      </c>
      <c r="M27" s="109">
        <f>Margin!M30</f>
        <v>0</v>
      </c>
      <c r="N27" s="109">
        <f>Margin!N30</f>
        <v>0</v>
      </c>
      <c r="O27" s="109">
        <f>Margin!O30</f>
        <v>0</v>
      </c>
      <c r="P27" s="110">
        <f t="shared" si="1"/>
        <v>0</v>
      </c>
    </row>
    <row r="28" spans="1:16" s="238" customFormat="1">
      <c r="A28" s="108" t="s">
        <v>211</v>
      </c>
      <c r="B28" s="237" t="s">
        <v>225</v>
      </c>
      <c r="C28" s="237"/>
      <c r="D28" s="109">
        <f>Margin!D31</f>
        <v>0</v>
      </c>
      <c r="E28" s="109">
        <f>Margin!E31</f>
        <v>0</v>
      </c>
      <c r="F28" s="109">
        <f>Margin!F31</f>
        <v>0</v>
      </c>
      <c r="G28" s="109">
        <f>Margin!G31</f>
        <v>0</v>
      </c>
      <c r="H28" s="109">
        <f>Margin!H31</f>
        <v>0</v>
      </c>
      <c r="I28" s="109">
        <f>Margin!I31</f>
        <v>0</v>
      </c>
      <c r="J28" s="109">
        <f>Margin!J31</f>
        <v>0</v>
      </c>
      <c r="K28" s="109">
        <f>Margin!K31</f>
        <v>0</v>
      </c>
      <c r="L28" s="109">
        <f>Margin!L31</f>
        <v>0</v>
      </c>
      <c r="M28" s="109">
        <f>Margin!M31</f>
        <v>0</v>
      </c>
      <c r="N28" s="109">
        <f>Margin!N31</f>
        <v>0</v>
      </c>
      <c r="O28" s="109">
        <f>Margin!O31</f>
        <v>0</v>
      </c>
      <c r="P28" s="110">
        <f t="shared" si="1"/>
        <v>0</v>
      </c>
    </row>
    <row r="29" spans="1:16" s="240" customFormat="1">
      <c r="A29" s="111"/>
      <c r="B29" s="239" t="s">
        <v>226</v>
      </c>
      <c r="C29" s="239"/>
      <c r="D29" s="113">
        <f t="shared" ref="D29:P29" si="2">SUM(D18:D28)</f>
        <v>0</v>
      </c>
      <c r="E29" s="113">
        <f t="shared" si="2"/>
        <v>0</v>
      </c>
      <c r="F29" s="113">
        <f t="shared" si="2"/>
        <v>0</v>
      </c>
      <c r="G29" s="113">
        <f t="shared" si="2"/>
        <v>0</v>
      </c>
      <c r="H29" s="113">
        <f t="shared" si="2"/>
        <v>0</v>
      </c>
      <c r="I29" s="113">
        <f t="shared" si="2"/>
        <v>0</v>
      </c>
      <c r="J29" s="113">
        <f t="shared" si="2"/>
        <v>0</v>
      </c>
      <c r="K29" s="113">
        <f t="shared" si="2"/>
        <v>0</v>
      </c>
      <c r="L29" s="113">
        <f t="shared" si="2"/>
        <v>0</v>
      </c>
      <c r="M29" s="113">
        <f t="shared" si="2"/>
        <v>0</v>
      </c>
      <c r="N29" s="113">
        <f t="shared" si="2"/>
        <v>0</v>
      </c>
      <c r="O29" s="113">
        <f t="shared" si="2"/>
        <v>0</v>
      </c>
      <c r="P29" s="114">
        <f t="shared" si="2"/>
        <v>0</v>
      </c>
    </row>
    <row r="30" spans="1:16" s="240" customFormat="1">
      <c r="A30" s="111"/>
      <c r="B30" s="239"/>
      <c r="C30" s="239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7"/>
    </row>
    <row r="31" spans="1:16" s="240" customFormat="1">
      <c r="A31" s="108" t="s">
        <v>227</v>
      </c>
      <c r="B31" s="239"/>
      <c r="C31" s="239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118"/>
    </row>
    <row r="32" spans="1:16">
      <c r="A32" s="241"/>
      <c r="B32" s="242" t="s">
        <v>228</v>
      </c>
      <c r="C32" s="243"/>
      <c r="D32" s="122">
        <f t="shared" ref="D32:P32" si="3">+D16+D29</f>
        <v>0</v>
      </c>
      <c r="E32" s="122">
        <f t="shared" si="3"/>
        <v>0</v>
      </c>
      <c r="F32" s="122">
        <f t="shared" si="3"/>
        <v>0</v>
      </c>
      <c r="G32" s="122">
        <f t="shared" si="3"/>
        <v>0</v>
      </c>
      <c r="H32" s="122">
        <f t="shared" si="3"/>
        <v>0</v>
      </c>
      <c r="I32" s="122">
        <f t="shared" si="3"/>
        <v>0</v>
      </c>
      <c r="J32" s="122">
        <f t="shared" si="3"/>
        <v>0</v>
      </c>
      <c r="K32" s="122">
        <f t="shared" si="3"/>
        <v>0</v>
      </c>
      <c r="L32" s="122">
        <f t="shared" si="3"/>
        <v>0</v>
      </c>
      <c r="M32" s="122">
        <f t="shared" si="3"/>
        <v>0</v>
      </c>
      <c r="N32" s="122">
        <f t="shared" si="3"/>
        <v>0</v>
      </c>
      <c r="O32" s="122">
        <f t="shared" si="3"/>
        <v>0</v>
      </c>
      <c r="P32" s="123">
        <f t="shared" si="3"/>
        <v>0</v>
      </c>
    </row>
    <row r="33" spans="1:16">
      <c r="A33" s="59" t="s">
        <v>131</v>
      </c>
      <c r="B33" s="232"/>
      <c r="C33" s="232"/>
      <c r="D33" s="233"/>
      <c r="E33" s="233"/>
      <c r="F33" s="233"/>
      <c r="G33" s="233"/>
      <c r="H33" s="233"/>
      <c r="I33" s="233"/>
      <c r="J33" s="233"/>
      <c r="K33" s="233"/>
      <c r="L33" s="233"/>
      <c r="M33" s="233"/>
      <c r="N33" s="233"/>
      <c r="O33" s="233"/>
      <c r="P33" s="62"/>
    </row>
    <row r="34" spans="1:16">
      <c r="A34" s="63" t="s">
        <v>132</v>
      </c>
      <c r="B34" s="244" t="s">
        <v>416</v>
      </c>
      <c r="C34" s="235"/>
      <c r="D34" s="236"/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P34" s="67"/>
    </row>
    <row r="35" spans="1:16">
      <c r="A35" s="45" t="s">
        <v>96</v>
      </c>
      <c r="B35" s="245" t="s">
        <v>1</v>
      </c>
      <c r="C35" s="245"/>
      <c r="D35" s="46">
        <f>'Direct Expense'!D12</f>
        <v>117583.33333333334</v>
      </c>
      <c r="E35" s="46">
        <f>'Direct Expense'!E12</f>
        <v>128361.80555555556</v>
      </c>
      <c r="F35" s="46">
        <f>'Direct Expense'!F12</f>
        <v>128361.80555555556</v>
      </c>
      <c r="G35" s="46">
        <f>'Direct Expense'!G12</f>
        <v>128361.80555555556</v>
      </c>
      <c r="H35" s="46">
        <f>'Direct Expense'!H12</f>
        <v>128361.80555555556</v>
      </c>
      <c r="I35" s="46">
        <f>'Direct Expense'!I12</f>
        <v>128361.80555555556</v>
      </c>
      <c r="J35" s="46">
        <f>'Direct Expense'!J12</f>
        <v>128361.80555555556</v>
      </c>
      <c r="K35" s="46">
        <f>'Direct Expense'!K12</f>
        <v>128361.80555555556</v>
      </c>
      <c r="L35" s="46">
        <f>'Direct Expense'!L12</f>
        <v>128361.80555555556</v>
      </c>
      <c r="M35" s="46">
        <f>'Direct Expense'!M12</f>
        <v>128361.80555555556</v>
      </c>
      <c r="N35" s="46">
        <f>'Direct Expense'!N12</f>
        <v>128361.80555555556</v>
      </c>
      <c r="O35" s="46">
        <f>'Direct Expense'!O12</f>
        <v>128361.80555555556</v>
      </c>
      <c r="P35" s="47">
        <f t="shared" ref="P35:P66" si="4">SUM(D35:O35)</f>
        <v>1529563.1944444443</v>
      </c>
    </row>
    <row r="36" spans="1:16">
      <c r="A36" s="45" t="s">
        <v>96</v>
      </c>
      <c r="B36" s="245" t="s">
        <v>2</v>
      </c>
      <c r="C36" s="245"/>
      <c r="D36" s="46">
        <f>'Direct Expense'!D13</f>
        <v>0</v>
      </c>
      <c r="E36" s="46">
        <f>'Direct Expense'!E13</f>
        <v>0</v>
      </c>
      <c r="F36" s="46">
        <f>'Direct Expense'!F13</f>
        <v>0</v>
      </c>
      <c r="G36" s="46">
        <f>'Direct Expense'!G13</f>
        <v>0</v>
      </c>
      <c r="H36" s="46">
        <f>'Direct Expense'!H13</f>
        <v>0</v>
      </c>
      <c r="I36" s="46">
        <f>'Direct Expense'!I13</f>
        <v>0</v>
      </c>
      <c r="J36" s="46">
        <f>'Direct Expense'!J13</f>
        <v>0</v>
      </c>
      <c r="K36" s="46">
        <f>'Direct Expense'!K13</f>
        <v>0</v>
      </c>
      <c r="L36" s="46">
        <f>'Direct Expense'!L13</f>
        <v>0</v>
      </c>
      <c r="M36" s="46">
        <f>'Direct Expense'!M13</f>
        <v>0</v>
      </c>
      <c r="N36" s="46">
        <f>'Direct Expense'!N13</f>
        <v>0</v>
      </c>
      <c r="O36" s="46">
        <f>'Direct Expense'!O13</f>
        <v>0</v>
      </c>
      <c r="P36" s="47">
        <f t="shared" si="4"/>
        <v>0</v>
      </c>
    </row>
    <row r="37" spans="1:16">
      <c r="A37" s="45"/>
      <c r="B37" s="246" t="s">
        <v>3</v>
      </c>
      <c r="C37" s="237"/>
      <c r="D37" s="44">
        <f t="shared" ref="D37:O37" si="5">SUM(D35:D36)</f>
        <v>117583.33333333334</v>
      </c>
      <c r="E37" s="44">
        <f t="shared" si="5"/>
        <v>128361.80555555556</v>
      </c>
      <c r="F37" s="44">
        <f t="shared" si="5"/>
        <v>128361.80555555556</v>
      </c>
      <c r="G37" s="44">
        <f t="shared" si="5"/>
        <v>128361.80555555556</v>
      </c>
      <c r="H37" s="44">
        <f t="shared" si="5"/>
        <v>128361.80555555556</v>
      </c>
      <c r="I37" s="44">
        <f t="shared" si="5"/>
        <v>128361.80555555556</v>
      </c>
      <c r="J37" s="44">
        <f t="shared" si="5"/>
        <v>128361.80555555556</v>
      </c>
      <c r="K37" s="44">
        <f t="shared" si="5"/>
        <v>128361.80555555556</v>
      </c>
      <c r="L37" s="44">
        <f t="shared" si="5"/>
        <v>128361.80555555556</v>
      </c>
      <c r="M37" s="44">
        <f t="shared" si="5"/>
        <v>128361.80555555556</v>
      </c>
      <c r="N37" s="44">
        <f t="shared" si="5"/>
        <v>128361.80555555556</v>
      </c>
      <c r="O37" s="44">
        <f t="shared" si="5"/>
        <v>128361.80555555556</v>
      </c>
      <c r="P37" s="49">
        <f t="shared" si="4"/>
        <v>1529563.1944444443</v>
      </c>
    </row>
    <row r="38" spans="1:16">
      <c r="A38" s="45" t="s">
        <v>97</v>
      </c>
      <c r="B38" s="247" t="s">
        <v>4</v>
      </c>
      <c r="C38" s="237"/>
      <c r="D38" s="46">
        <f>'Direct Expense'!D15</f>
        <v>16994.041666666668</v>
      </c>
      <c r="E38" s="46">
        <f>'Direct Expense'!E15</f>
        <v>18001.828819444447</v>
      </c>
      <c r="F38" s="46">
        <f>'Direct Expense'!F15</f>
        <v>18001.828819444447</v>
      </c>
      <c r="G38" s="46">
        <f>'Direct Expense'!G15</f>
        <v>18001.828819444447</v>
      </c>
      <c r="H38" s="46">
        <f>'Direct Expense'!H15</f>
        <v>18001.828819444447</v>
      </c>
      <c r="I38" s="46">
        <f>'Direct Expense'!I15</f>
        <v>18001.828819444447</v>
      </c>
      <c r="J38" s="46">
        <f>'Direct Expense'!J15</f>
        <v>18001.828819444447</v>
      </c>
      <c r="K38" s="46">
        <f>'Direct Expense'!K15</f>
        <v>18001.828819444447</v>
      </c>
      <c r="L38" s="46">
        <f>'Direct Expense'!L15</f>
        <v>18001.828819444447</v>
      </c>
      <c r="M38" s="46">
        <f>'Direct Expense'!M15</f>
        <v>18001.828819444447</v>
      </c>
      <c r="N38" s="46">
        <f>'Direct Expense'!N15</f>
        <v>18001.828819444447</v>
      </c>
      <c r="O38" s="46">
        <f>'Direct Expense'!O15</f>
        <v>18001.828819444447</v>
      </c>
      <c r="P38" s="47">
        <f t="shared" si="4"/>
        <v>215014.15868055564</v>
      </c>
    </row>
    <row r="39" spans="1:16">
      <c r="A39" s="45" t="s">
        <v>98</v>
      </c>
      <c r="B39" s="237" t="s">
        <v>5</v>
      </c>
      <c r="C39" s="237"/>
      <c r="D39" s="46">
        <f>'Direct Expense'!D16</f>
        <v>8564.1666666666661</v>
      </c>
      <c r="E39" s="46">
        <f>'Direct Expense'!E16</f>
        <v>8779.7361111111113</v>
      </c>
      <c r="F39" s="46">
        <f>'Direct Expense'!F16</f>
        <v>8779.7361111111113</v>
      </c>
      <c r="G39" s="46">
        <f>'Direct Expense'!G16</f>
        <v>8779.7361111111113</v>
      </c>
      <c r="H39" s="46">
        <f>'Direct Expense'!H16</f>
        <v>8779.7361111111113</v>
      </c>
      <c r="I39" s="46">
        <f>'Direct Expense'!I16</f>
        <v>8779.7361111111113</v>
      </c>
      <c r="J39" s="46">
        <f>'Direct Expense'!J16</f>
        <v>8779.7361111111113</v>
      </c>
      <c r="K39" s="46">
        <f>'Direct Expense'!K16</f>
        <v>8779.7361111111113</v>
      </c>
      <c r="L39" s="46">
        <f>'Direct Expense'!L16</f>
        <v>8779.7361111111113</v>
      </c>
      <c r="M39" s="46">
        <f>'Direct Expense'!M16</f>
        <v>8779.7361111111113</v>
      </c>
      <c r="N39" s="46">
        <f>'Direct Expense'!N16</f>
        <v>8779.7361111111113</v>
      </c>
      <c r="O39" s="46">
        <f>'Direct Expense'!O16</f>
        <v>8779.7361111111113</v>
      </c>
      <c r="P39" s="47">
        <f t="shared" si="4"/>
        <v>105141.26388888888</v>
      </c>
    </row>
    <row r="40" spans="1:16">
      <c r="A40" s="45"/>
      <c r="B40" s="248" t="s">
        <v>6</v>
      </c>
      <c r="C40" s="237"/>
      <c r="D40" s="44">
        <f t="shared" ref="D40:O40" si="6">SUM(D38:D39)</f>
        <v>25558.208333333336</v>
      </c>
      <c r="E40" s="44">
        <f t="shared" si="6"/>
        <v>26781.564930555556</v>
      </c>
      <c r="F40" s="44">
        <f t="shared" si="6"/>
        <v>26781.564930555556</v>
      </c>
      <c r="G40" s="44">
        <f t="shared" si="6"/>
        <v>26781.564930555556</v>
      </c>
      <c r="H40" s="44">
        <f t="shared" si="6"/>
        <v>26781.564930555556</v>
      </c>
      <c r="I40" s="44">
        <f t="shared" si="6"/>
        <v>26781.564930555556</v>
      </c>
      <c r="J40" s="44">
        <f t="shared" si="6"/>
        <v>26781.564930555556</v>
      </c>
      <c r="K40" s="44">
        <f t="shared" si="6"/>
        <v>26781.564930555556</v>
      </c>
      <c r="L40" s="44">
        <f t="shared" si="6"/>
        <v>26781.564930555556</v>
      </c>
      <c r="M40" s="44">
        <f t="shared" si="6"/>
        <v>26781.564930555556</v>
      </c>
      <c r="N40" s="44">
        <f t="shared" si="6"/>
        <v>26781.564930555556</v>
      </c>
      <c r="O40" s="44">
        <f t="shared" si="6"/>
        <v>26781.564930555556</v>
      </c>
      <c r="P40" s="49">
        <f t="shared" si="4"/>
        <v>320155.4225694444</v>
      </c>
    </row>
    <row r="41" spans="1:16">
      <c r="A41" s="45" t="s">
        <v>99</v>
      </c>
      <c r="B41" s="237" t="s">
        <v>7</v>
      </c>
      <c r="C41" s="237"/>
      <c r="D41" s="46">
        <f>'Direct Expense'!D18</f>
        <v>2000</v>
      </c>
      <c r="E41" s="46">
        <f>'Direct Expense'!E18</f>
        <v>2000</v>
      </c>
      <c r="F41" s="46">
        <f>'Direct Expense'!F18</f>
        <v>2000</v>
      </c>
      <c r="G41" s="46">
        <f>'Direct Expense'!G18</f>
        <v>2000</v>
      </c>
      <c r="H41" s="46">
        <f>'Direct Expense'!H18</f>
        <v>2000</v>
      </c>
      <c r="I41" s="46">
        <f>'Direct Expense'!I18</f>
        <v>2000</v>
      </c>
      <c r="J41" s="46">
        <f>'Direct Expense'!J18</f>
        <v>2000</v>
      </c>
      <c r="K41" s="46">
        <f>'Direct Expense'!K18</f>
        <v>2000</v>
      </c>
      <c r="L41" s="46">
        <f>'Direct Expense'!L18</f>
        <v>2000</v>
      </c>
      <c r="M41" s="46">
        <f>'Direct Expense'!M18</f>
        <v>2000</v>
      </c>
      <c r="N41" s="46">
        <f>'Direct Expense'!N18</f>
        <v>2000</v>
      </c>
      <c r="O41" s="46">
        <f>'Direct Expense'!O18</f>
        <v>2000</v>
      </c>
      <c r="P41" s="47">
        <f t="shared" si="4"/>
        <v>24000</v>
      </c>
    </row>
    <row r="42" spans="1:16">
      <c r="A42" s="45" t="s">
        <v>100</v>
      </c>
      <c r="B42" s="237" t="s">
        <v>8</v>
      </c>
      <c r="C42" s="237"/>
      <c r="D42" s="46">
        <f>'Direct Expense'!D19</f>
        <v>500</v>
      </c>
      <c r="E42" s="46">
        <f>'Direct Expense'!E19</f>
        <v>500</v>
      </c>
      <c r="F42" s="46">
        <f>'Direct Expense'!F19</f>
        <v>500</v>
      </c>
      <c r="G42" s="46">
        <f>'Direct Expense'!G19</f>
        <v>500</v>
      </c>
      <c r="H42" s="46">
        <f>'Direct Expense'!H19</f>
        <v>500</v>
      </c>
      <c r="I42" s="46">
        <f>'Direct Expense'!I19</f>
        <v>500</v>
      </c>
      <c r="J42" s="46">
        <f>'Direct Expense'!J19</f>
        <v>500</v>
      </c>
      <c r="K42" s="46">
        <f>'Direct Expense'!K19</f>
        <v>500</v>
      </c>
      <c r="L42" s="46">
        <f>'Direct Expense'!L19</f>
        <v>500</v>
      </c>
      <c r="M42" s="46">
        <f>'Direct Expense'!M19</f>
        <v>500</v>
      </c>
      <c r="N42" s="46">
        <f>'Direct Expense'!N19</f>
        <v>500</v>
      </c>
      <c r="O42" s="46">
        <f>'Direct Expense'!O19</f>
        <v>500</v>
      </c>
      <c r="P42" s="47">
        <f t="shared" si="4"/>
        <v>6000</v>
      </c>
    </row>
    <row r="43" spans="1:16">
      <c r="A43" s="45" t="s">
        <v>99</v>
      </c>
      <c r="B43" s="237" t="s">
        <v>9</v>
      </c>
      <c r="C43" s="237"/>
      <c r="D43" s="46">
        <f>'Direct Expense'!D20</f>
        <v>800</v>
      </c>
      <c r="E43" s="46">
        <f>'Direct Expense'!E20</f>
        <v>800</v>
      </c>
      <c r="F43" s="46">
        <f>'Direct Expense'!F20</f>
        <v>800</v>
      </c>
      <c r="G43" s="46">
        <f>'Direct Expense'!G20</f>
        <v>800</v>
      </c>
      <c r="H43" s="46">
        <f>'Direct Expense'!H20</f>
        <v>800</v>
      </c>
      <c r="I43" s="46">
        <f>'Direct Expense'!I20</f>
        <v>800</v>
      </c>
      <c r="J43" s="46">
        <f>'Direct Expense'!J20</f>
        <v>800</v>
      </c>
      <c r="K43" s="46">
        <f>'Direct Expense'!K20</f>
        <v>800</v>
      </c>
      <c r="L43" s="46">
        <f>'Direct Expense'!L20</f>
        <v>800</v>
      </c>
      <c r="M43" s="46">
        <f>'Direct Expense'!M20</f>
        <v>800</v>
      </c>
      <c r="N43" s="46">
        <f>'Direct Expense'!N20</f>
        <v>800</v>
      </c>
      <c r="O43" s="46">
        <f>'Direct Expense'!O20</f>
        <v>800</v>
      </c>
      <c r="P43" s="47">
        <f t="shared" si="4"/>
        <v>9600</v>
      </c>
    </row>
    <row r="44" spans="1:16">
      <c r="A44" s="45" t="s">
        <v>101</v>
      </c>
      <c r="B44" s="237" t="s">
        <v>10</v>
      </c>
      <c r="C44" s="237"/>
      <c r="D44" s="46">
        <f>'Direct Expense'!D21</f>
        <v>2500</v>
      </c>
      <c r="E44" s="46">
        <f>'Direct Expense'!E21</f>
        <v>2500</v>
      </c>
      <c r="F44" s="46">
        <f>'Direct Expense'!F21</f>
        <v>2500</v>
      </c>
      <c r="G44" s="46">
        <f>'Direct Expense'!G21</f>
        <v>2500</v>
      </c>
      <c r="H44" s="46">
        <f>'Direct Expense'!H21</f>
        <v>2500</v>
      </c>
      <c r="I44" s="46">
        <f>'Direct Expense'!I21</f>
        <v>2500</v>
      </c>
      <c r="J44" s="46">
        <f>'Direct Expense'!J21</f>
        <v>2500</v>
      </c>
      <c r="K44" s="46">
        <f>'Direct Expense'!K21</f>
        <v>2500</v>
      </c>
      <c r="L44" s="46">
        <f>'Direct Expense'!L21</f>
        <v>2500</v>
      </c>
      <c r="M44" s="46">
        <f>'Direct Expense'!M21</f>
        <v>2500</v>
      </c>
      <c r="N44" s="46">
        <f>'Direct Expense'!N21</f>
        <v>2500</v>
      </c>
      <c r="O44" s="46">
        <f>'Direct Expense'!O21</f>
        <v>2500</v>
      </c>
      <c r="P44" s="47">
        <f t="shared" si="4"/>
        <v>30000</v>
      </c>
    </row>
    <row r="45" spans="1:16">
      <c r="A45" s="45" t="s">
        <v>102</v>
      </c>
      <c r="B45" s="237" t="s">
        <v>11</v>
      </c>
      <c r="C45" s="237"/>
      <c r="D45" s="46">
        <f>'Direct Expense'!D22</f>
        <v>60000</v>
      </c>
      <c r="E45" s="46">
        <f>'Direct Expense'!E22</f>
        <v>60000</v>
      </c>
      <c r="F45" s="46">
        <f>'Direct Expense'!F22</f>
        <v>60000</v>
      </c>
      <c r="G45" s="46">
        <f>'Direct Expense'!G22</f>
        <v>60000</v>
      </c>
      <c r="H45" s="46">
        <f>'Direct Expense'!H22</f>
        <v>60000</v>
      </c>
      <c r="I45" s="46">
        <f>'Direct Expense'!I22</f>
        <v>60000</v>
      </c>
      <c r="J45" s="46">
        <f>'Direct Expense'!J22</f>
        <v>60000</v>
      </c>
      <c r="K45" s="46">
        <f>'Direct Expense'!K22</f>
        <v>60000</v>
      </c>
      <c r="L45" s="46">
        <f>'Direct Expense'!L22</f>
        <v>60000</v>
      </c>
      <c r="M45" s="46">
        <f>'Direct Expense'!M22</f>
        <v>60000</v>
      </c>
      <c r="N45" s="46">
        <f>'Direct Expense'!N22</f>
        <v>60000</v>
      </c>
      <c r="O45" s="46">
        <f>'Direct Expense'!O22</f>
        <v>60000</v>
      </c>
      <c r="P45" s="47">
        <f t="shared" si="4"/>
        <v>720000</v>
      </c>
    </row>
    <row r="46" spans="1:16">
      <c r="A46" s="51" t="s">
        <v>103</v>
      </c>
      <c r="B46" s="237" t="s">
        <v>12</v>
      </c>
      <c r="C46" s="237"/>
      <c r="D46" s="46">
        <f>'Direct Expense'!D23</f>
        <v>1500</v>
      </c>
      <c r="E46" s="46">
        <f>'Direct Expense'!E23</f>
        <v>1500</v>
      </c>
      <c r="F46" s="46">
        <f>'Direct Expense'!F23</f>
        <v>1500</v>
      </c>
      <c r="G46" s="46">
        <f>'Direct Expense'!G23</f>
        <v>1500</v>
      </c>
      <c r="H46" s="46">
        <f>'Direct Expense'!H23</f>
        <v>1500</v>
      </c>
      <c r="I46" s="46">
        <f>'Direct Expense'!I23</f>
        <v>1500</v>
      </c>
      <c r="J46" s="46">
        <f>'Direct Expense'!J23</f>
        <v>1500</v>
      </c>
      <c r="K46" s="46">
        <f>'Direct Expense'!K23</f>
        <v>1500</v>
      </c>
      <c r="L46" s="46">
        <f>'Direct Expense'!L23</f>
        <v>1500</v>
      </c>
      <c r="M46" s="46">
        <f>'Direct Expense'!M23</f>
        <v>1500</v>
      </c>
      <c r="N46" s="46">
        <f>'Direct Expense'!N23</f>
        <v>1500</v>
      </c>
      <c r="O46" s="46">
        <f>'Direct Expense'!O23</f>
        <v>1500</v>
      </c>
      <c r="P46" s="47">
        <f t="shared" si="4"/>
        <v>18000</v>
      </c>
    </row>
    <row r="47" spans="1:16">
      <c r="A47" s="45" t="s">
        <v>104</v>
      </c>
      <c r="B47" s="237" t="s">
        <v>13</v>
      </c>
      <c r="C47" s="237"/>
      <c r="D47" s="46">
        <f>'Direct Expense'!D24</f>
        <v>2000</v>
      </c>
      <c r="E47" s="46">
        <f>'Direct Expense'!E24</f>
        <v>2000</v>
      </c>
      <c r="F47" s="46">
        <f>'Direct Expense'!F24</f>
        <v>2000</v>
      </c>
      <c r="G47" s="46">
        <f>'Direct Expense'!G24</f>
        <v>2000</v>
      </c>
      <c r="H47" s="46">
        <f>'Direct Expense'!H24</f>
        <v>2000</v>
      </c>
      <c r="I47" s="46">
        <f>'Direct Expense'!I24</f>
        <v>2000</v>
      </c>
      <c r="J47" s="46">
        <f>'Direct Expense'!J24</f>
        <v>2000</v>
      </c>
      <c r="K47" s="46">
        <f>'Direct Expense'!K24</f>
        <v>2000</v>
      </c>
      <c r="L47" s="46">
        <f>'Direct Expense'!L24</f>
        <v>2000</v>
      </c>
      <c r="M47" s="46">
        <f>'Direct Expense'!M24</f>
        <v>2000</v>
      </c>
      <c r="N47" s="46">
        <f>'Direct Expense'!N24</f>
        <v>2000</v>
      </c>
      <c r="O47" s="46">
        <f>'Direct Expense'!O24</f>
        <v>2000</v>
      </c>
      <c r="P47" s="47">
        <f t="shared" si="4"/>
        <v>24000</v>
      </c>
    </row>
    <row r="48" spans="1:16">
      <c r="A48" s="45"/>
      <c r="B48" s="248" t="s">
        <v>14</v>
      </c>
      <c r="C48" s="237"/>
      <c r="D48" s="44">
        <f t="shared" ref="D48:O48" si="7">SUM(D41:D47)</f>
        <v>69300</v>
      </c>
      <c r="E48" s="44">
        <f t="shared" si="7"/>
        <v>69300</v>
      </c>
      <c r="F48" s="44">
        <f t="shared" si="7"/>
        <v>69300</v>
      </c>
      <c r="G48" s="44">
        <f t="shared" si="7"/>
        <v>69300</v>
      </c>
      <c r="H48" s="44">
        <f t="shared" si="7"/>
        <v>69300</v>
      </c>
      <c r="I48" s="44">
        <f t="shared" si="7"/>
        <v>69300</v>
      </c>
      <c r="J48" s="44">
        <f t="shared" si="7"/>
        <v>69300</v>
      </c>
      <c r="K48" s="44">
        <f t="shared" si="7"/>
        <v>69300</v>
      </c>
      <c r="L48" s="44">
        <f t="shared" si="7"/>
        <v>69300</v>
      </c>
      <c r="M48" s="44">
        <f t="shared" si="7"/>
        <v>69300</v>
      </c>
      <c r="N48" s="44">
        <f t="shared" si="7"/>
        <v>69300</v>
      </c>
      <c r="O48" s="44">
        <f t="shared" si="7"/>
        <v>69300</v>
      </c>
      <c r="P48" s="49">
        <f t="shared" si="4"/>
        <v>831600</v>
      </c>
    </row>
    <row r="49" spans="1:16">
      <c r="A49" s="45" t="s">
        <v>102</v>
      </c>
      <c r="B49" s="237" t="s">
        <v>15</v>
      </c>
      <c r="C49" s="237"/>
      <c r="D49" s="46">
        <f>'Direct Expense'!D26</f>
        <v>0</v>
      </c>
      <c r="E49" s="46">
        <f>'Direct Expense'!E26</f>
        <v>0</v>
      </c>
      <c r="F49" s="46">
        <f>'Direct Expense'!F26</f>
        <v>0</v>
      </c>
      <c r="G49" s="46">
        <f>'Direct Expense'!G26</f>
        <v>0</v>
      </c>
      <c r="H49" s="46">
        <f>'Direct Expense'!H26</f>
        <v>0</v>
      </c>
      <c r="I49" s="46">
        <f>'Direct Expense'!I26</f>
        <v>0</v>
      </c>
      <c r="J49" s="46">
        <f>'Direct Expense'!J26</f>
        <v>0</v>
      </c>
      <c r="K49" s="46">
        <f>'Direct Expense'!K26</f>
        <v>0</v>
      </c>
      <c r="L49" s="46">
        <f>'Direct Expense'!L26</f>
        <v>0</v>
      </c>
      <c r="M49" s="46">
        <f>'Direct Expense'!M26</f>
        <v>0</v>
      </c>
      <c r="N49" s="46">
        <f>'Direct Expense'!N26</f>
        <v>0</v>
      </c>
      <c r="O49" s="46">
        <f>'Direct Expense'!O26</f>
        <v>0</v>
      </c>
      <c r="P49" s="47">
        <f t="shared" si="4"/>
        <v>0</v>
      </c>
    </row>
    <row r="50" spans="1:16">
      <c r="A50" s="45" t="s">
        <v>105</v>
      </c>
      <c r="B50" s="237" t="s">
        <v>16</v>
      </c>
      <c r="C50" s="237"/>
      <c r="D50" s="46">
        <f>'Direct Expense'!D27</f>
        <v>0</v>
      </c>
      <c r="E50" s="46">
        <f>'Direct Expense'!E27</f>
        <v>0</v>
      </c>
      <c r="F50" s="46">
        <f>'Direct Expense'!F27</f>
        <v>0</v>
      </c>
      <c r="G50" s="46">
        <f>'Direct Expense'!G27</f>
        <v>0</v>
      </c>
      <c r="H50" s="46">
        <f>'Direct Expense'!H27</f>
        <v>0</v>
      </c>
      <c r="I50" s="46">
        <f>'Direct Expense'!I27</f>
        <v>0</v>
      </c>
      <c r="J50" s="46">
        <f>'Direct Expense'!J27</f>
        <v>0</v>
      </c>
      <c r="K50" s="46">
        <f>'Direct Expense'!K27</f>
        <v>0</v>
      </c>
      <c r="L50" s="46">
        <f>'Direct Expense'!L27</f>
        <v>0</v>
      </c>
      <c r="M50" s="46">
        <f>'Direct Expense'!M27</f>
        <v>0</v>
      </c>
      <c r="N50" s="46">
        <f>'Direct Expense'!N27</f>
        <v>0</v>
      </c>
      <c r="O50" s="46">
        <f>'Direct Expense'!O27</f>
        <v>0</v>
      </c>
      <c r="P50" s="47">
        <f t="shared" si="4"/>
        <v>0</v>
      </c>
    </row>
    <row r="51" spans="1:16">
      <c r="A51" s="45" t="s">
        <v>105</v>
      </c>
      <c r="B51" s="237" t="s">
        <v>17</v>
      </c>
      <c r="C51" s="237"/>
      <c r="D51" s="46">
        <f>'Direct Expense'!D28</f>
        <v>0</v>
      </c>
      <c r="E51" s="46">
        <f>'Direct Expense'!E28</f>
        <v>0</v>
      </c>
      <c r="F51" s="46">
        <f>'Direct Expense'!F28</f>
        <v>0</v>
      </c>
      <c r="G51" s="46">
        <f>'Direct Expense'!G28</f>
        <v>0</v>
      </c>
      <c r="H51" s="46">
        <f>'Direct Expense'!H28</f>
        <v>0</v>
      </c>
      <c r="I51" s="46">
        <f>'Direct Expense'!I28</f>
        <v>0</v>
      </c>
      <c r="J51" s="46">
        <f>'Direct Expense'!J28</f>
        <v>0</v>
      </c>
      <c r="K51" s="46">
        <f>'Direct Expense'!K28</f>
        <v>0</v>
      </c>
      <c r="L51" s="46">
        <f>'Direct Expense'!L28</f>
        <v>0</v>
      </c>
      <c r="M51" s="46">
        <f>'Direct Expense'!M28</f>
        <v>0</v>
      </c>
      <c r="N51" s="46">
        <f>'Direct Expense'!N28</f>
        <v>0</v>
      </c>
      <c r="O51" s="46">
        <f>'Direct Expense'!O28</f>
        <v>0</v>
      </c>
      <c r="P51" s="47">
        <f t="shared" si="4"/>
        <v>0</v>
      </c>
    </row>
    <row r="52" spans="1:16">
      <c r="A52" s="45" t="s">
        <v>105</v>
      </c>
      <c r="B52" s="237" t="s">
        <v>18</v>
      </c>
      <c r="C52" s="237"/>
      <c r="D52" s="46">
        <f>'Direct Expense'!D29</f>
        <v>0</v>
      </c>
      <c r="E52" s="46">
        <f>'Direct Expense'!E29</f>
        <v>0</v>
      </c>
      <c r="F52" s="46">
        <f>'Direct Expense'!F29</f>
        <v>0</v>
      </c>
      <c r="G52" s="46">
        <f>'Direct Expense'!G29</f>
        <v>0</v>
      </c>
      <c r="H52" s="46">
        <f>'Direct Expense'!H29</f>
        <v>0</v>
      </c>
      <c r="I52" s="46">
        <f>'Direct Expense'!I29</f>
        <v>0</v>
      </c>
      <c r="J52" s="46">
        <f>'Direct Expense'!J29</f>
        <v>0</v>
      </c>
      <c r="K52" s="46">
        <f>'Direct Expense'!K29</f>
        <v>0</v>
      </c>
      <c r="L52" s="46">
        <f>'Direct Expense'!L29</f>
        <v>0</v>
      </c>
      <c r="M52" s="46">
        <f>'Direct Expense'!M29</f>
        <v>0</v>
      </c>
      <c r="N52" s="46">
        <f>'Direct Expense'!N29</f>
        <v>0</v>
      </c>
      <c r="O52" s="46">
        <f>'Direct Expense'!O29</f>
        <v>0</v>
      </c>
      <c r="P52" s="47">
        <f t="shared" si="4"/>
        <v>0</v>
      </c>
    </row>
    <row r="53" spans="1:16">
      <c r="A53" s="45" t="s">
        <v>102</v>
      </c>
      <c r="B53" s="237" t="s">
        <v>19</v>
      </c>
      <c r="C53" s="237"/>
      <c r="D53" s="46">
        <f>'Direct Expense'!D30</f>
        <v>0</v>
      </c>
      <c r="E53" s="46">
        <f>'Direct Expense'!E30</f>
        <v>0</v>
      </c>
      <c r="F53" s="46">
        <f>'Direct Expense'!F30</f>
        <v>0</v>
      </c>
      <c r="G53" s="46">
        <f>'Direct Expense'!G30</f>
        <v>0</v>
      </c>
      <c r="H53" s="46">
        <f>'Direct Expense'!H30</f>
        <v>0</v>
      </c>
      <c r="I53" s="46">
        <f>'Direct Expense'!I30</f>
        <v>0</v>
      </c>
      <c r="J53" s="46">
        <f>'Direct Expense'!J30</f>
        <v>0</v>
      </c>
      <c r="K53" s="46">
        <f>'Direct Expense'!K30</f>
        <v>0</v>
      </c>
      <c r="L53" s="46">
        <f>'Direct Expense'!L30</f>
        <v>0</v>
      </c>
      <c r="M53" s="46">
        <f>'Direct Expense'!M30</f>
        <v>0</v>
      </c>
      <c r="N53" s="46">
        <f>'Direct Expense'!N30</f>
        <v>0</v>
      </c>
      <c r="O53" s="46">
        <f>'Direct Expense'!O30</f>
        <v>0</v>
      </c>
      <c r="P53" s="47">
        <f t="shared" si="4"/>
        <v>0</v>
      </c>
    </row>
    <row r="54" spans="1:16">
      <c r="A54" s="45" t="s">
        <v>105</v>
      </c>
      <c r="B54" s="237" t="s">
        <v>20</v>
      </c>
      <c r="C54" s="237"/>
      <c r="D54" s="46">
        <f>'Direct Expense'!D31</f>
        <v>0</v>
      </c>
      <c r="E54" s="46">
        <f>'Direct Expense'!E31</f>
        <v>0</v>
      </c>
      <c r="F54" s="46">
        <f>'Direct Expense'!F31</f>
        <v>0</v>
      </c>
      <c r="G54" s="46">
        <f>'Direct Expense'!G31</f>
        <v>0</v>
      </c>
      <c r="H54" s="46">
        <f>'Direct Expense'!H31</f>
        <v>0</v>
      </c>
      <c r="I54" s="46">
        <f>'Direct Expense'!I31</f>
        <v>0</v>
      </c>
      <c r="J54" s="46">
        <f>'Direct Expense'!J31</f>
        <v>0</v>
      </c>
      <c r="K54" s="46">
        <f>'Direct Expense'!K31</f>
        <v>0</v>
      </c>
      <c r="L54" s="46">
        <f>'Direct Expense'!L31</f>
        <v>0</v>
      </c>
      <c r="M54" s="46">
        <f>'Direct Expense'!M31</f>
        <v>0</v>
      </c>
      <c r="N54" s="46">
        <f>'Direct Expense'!N31</f>
        <v>0</v>
      </c>
      <c r="O54" s="46">
        <f>'Direct Expense'!O31</f>
        <v>0</v>
      </c>
      <c r="P54" s="47">
        <f t="shared" si="4"/>
        <v>0</v>
      </c>
    </row>
    <row r="55" spans="1:16">
      <c r="A55" s="45"/>
      <c r="B55" s="248" t="s">
        <v>21</v>
      </c>
      <c r="C55" s="237"/>
      <c r="D55" s="44">
        <f t="shared" ref="D55:O55" si="8">SUM(D49:D54)</f>
        <v>0</v>
      </c>
      <c r="E55" s="44">
        <f t="shared" si="8"/>
        <v>0</v>
      </c>
      <c r="F55" s="44">
        <f t="shared" si="8"/>
        <v>0</v>
      </c>
      <c r="G55" s="44">
        <f t="shared" si="8"/>
        <v>0</v>
      </c>
      <c r="H55" s="44">
        <f t="shared" si="8"/>
        <v>0</v>
      </c>
      <c r="I55" s="44">
        <f t="shared" si="8"/>
        <v>0</v>
      </c>
      <c r="J55" s="44">
        <f t="shared" si="8"/>
        <v>0</v>
      </c>
      <c r="K55" s="44">
        <f t="shared" si="8"/>
        <v>0</v>
      </c>
      <c r="L55" s="44">
        <f t="shared" si="8"/>
        <v>0</v>
      </c>
      <c r="M55" s="44">
        <f t="shared" si="8"/>
        <v>0</v>
      </c>
      <c r="N55" s="44">
        <f t="shared" si="8"/>
        <v>0</v>
      </c>
      <c r="O55" s="44">
        <f t="shared" si="8"/>
        <v>0</v>
      </c>
      <c r="P55" s="49">
        <f t="shared" si="4"/>
        <v>0</v>
      </c>
    </row>
    <row r="56" spans="1:16">
      <c r="A56" s="45" t="s">
        <v>106</v>
      </c>
      <c r="B56" s="237" t="s">
        <v>22</v>
      </c>
      <c r="C56" s="237"/>
      <c r="D56" s="46">
        <f>'Direct Expense'!D33</f>
        <v>12000</v>
      </c>
      <c r="E56" s="46">
        <f>'Direct Expense'!E33</f>
        <v>12000</v>
      </c>
      <c r="F56" s="46">
        <f>'Direct Expense'!F33</f>
        <v>12000</v>
      </c>
      <c r="G56" s="46">
        <f>'Direct Expense'!G33</f>
        <v>12000</v>
      </c>
      <c r="H56" s="46">
        <f>'Direct Expense'!H33</f>
        <v>12000</v>
      </c>
      <c r="I56" s="46">
        <f>'Direct Expense'!I33</f>
        <v>12000</v>
      </c>
      <c r="J56" s="46">
        <f>'Direct Expense'!J33</f>
        <v>12000</v>
      </c>
      <c r="K56" s="46">
        <f>'Direct Expense'!K33</f>
        <v>12000</v>
      </c>
      <c r="L56" s="46">
        <f>'Direct Expense'!L33</f>
        <v>12000</v>
      </c>
      <c r="M56" s="46">
        <f>'Direct Expense'!M33</f>
        <v>12000</v>
      </c>
      <c r="N56" s="46">
        <f>'Direct Expense'!N33</f>
        <v>12000</v>
      </c>
      <c r="O56" s="46">
        <f>'Direct Expense'!O33</f>
        <v>12000</v>
      </c>
      <c r="P56" s="47">
        <f t="shared" si="4"/>
        <v>144000</v>
      </c>
    </row>
    <row r="57" spans="1:16">
      <c r="A57" s="45" t="s">
        <v>107</v>
      </c>
      <c r="B57" s="237" t="s">
        <v>23</v>
      </c>
      <c r="C57" s="237"/>
      <c r="D57" s="46">
        <f>'Direct Expense'!D34</f>
        <v>750</v>
      </c>
      <c r="E57" s="46">
        <f>'Direct Expense'!E34</f>
        <v>750</v>
      </c>
      <c r="F57" s="46">
        <f>'Direct Expense'!F34</f>
        <v>750</v>
      </c>
      <c r="G57" s="46">
        <f>'Direct Expense'!G34</f>
        <v>750</v>
      </c>
      <c r="H57" s="46">
        <f>'Direct Expense'!H34</f>
        <v>750</v>
      </c>
      <c r="I57" s="46">
        <f>'Direct Expense'!I34</f>
        <v>750</v>
      </c>
      <c r="J57" s="46">
        <f>'Direct Expense'!J34</f>
        <v>750</v>
      </c>
      <c r="K57" s="46">
        <f>'Direct Expense'!K34</f>
        <v>750</v>
      </c>
      <c r="L57" s="46">
        <f>'Direct Expense'!L34</f>
        <v>750</v>
      </c>
      <c r="M57" s="46">
        <f>'Direct Expense'!M34</f>
        <v>750</v>
      </c>
      <c r="N57" s="46">
        <f>'Direct Expense'!N34</f>
        <v>750</v>
      </c>
      <c r="O57" s="46">
        <f>'Direct Expense'!O34</f>
        <v>750</v>
      </c>
      <c r="P57" s="47">
        <f t="shared" si="4"/>
        <v>9000</v>
      </c>
    </row>
    <row r="58" spans="1:16">
      <c r="A58" s="45" t="s">
        <v>106</v>
      </c>
      <c r="B58" s="237" t="s">
        <v>24</v>
      </c>
      <c r="C58" s="237"/>
      <c r="D58" s="46">
        <f>'Direct Expense'!D35</f>
        <v>8000</v>
      </c>
      <c r="E58" s="46">
        <f>'Direct Expense'!E35</f>
        <v>8000</v>
      </c>
      <c r="F58" s="46">
        <f>'Direct Expense'!F35</f>
        <v>8000</v>
      </c>
      <c r="G58" s="46">
        <f>'Direct Expense'!G35</f>
        <v>8000</v>
      </c>
      <c r="H58" s="46">
        <f>'Direct Expense'!H35</f>
        <v>8000</v>
      </c>
      <c r="I58" s="46">
        <f>'Direct Expense'!I35</f>
        <v>8000</v>
      </c>
      <c r="J58" s="46">
        <f>'Direct Expense'!J35</f>
        <v>8000</v>
      </c>
      <c r="K58" s="46">
        <f>'Direct Expense'!K35</f>
        <v>8000</v>
      </c>
      <c r="L58" s="46">
        <f>'Direct Expense'!L35</f>
        <v>8000</v>
      </c>
      <c r="M58" s="46">
        <f>'Direct Expense'!M35</f>
        <v>8000</v>
      </c>
      <c r="N58" s="46">
        <f>'Direct Expense'!N35</f>
        <v>8000</v>
      </c>
      <c r="O58" s="46">
        <f>'Direct Expense'!O35</f>
        <v>8000</v>
      </c>
      <c r="P58" s="47">
        <f t="shared" si="4"/>
        <v>96000</v>
      </c>
    </row>
    <row r="59" spans="1:16">
      <c r="A59" s="45"/>
      <c r="B59" s="248" t="s">
        <v>25</v>
      </c>
      <c r="C59" s="237"/>
      <c r="D59" s="44">
        <f t="shared" ref="D59:O59" si="9">SUM(D56:D58)</f>
        <v>20750</v>
      </c>
      <c r="E59" s="44">
        <f t="shared" si="9"/>
        <v>20750</v>
      </c>
      <c r="F59" s="44">
        <f t="shared" si="9"/>
        <v>20750</v>
      </c>
      <c r="G59" s="44">
        <f t="shared" si="9"/>
        <v>20750</v>
      </c>
      <c r="H59" s="44">
        <f t="shared" si="9"/>
        <v>20750</v>
      </c>
      <c r="I59" s="44">
        <f t="shared" si="9"/>
        <v>20750</v>
      </c>
      <c r="J59" s="44">
        <f t="shared" si="9"/>
        <v>20750</v>
      </c>
      <c r="K59" s="44">
        <f t="shared" si="9"/>
        <v>20750</v>
      </c>
      <c r="L59" s="44">
        <f t="shared" si="9"/>
        <v>20750</v>
      </c>
      <c r="M59" s="44">
        <f t="shared" si="9"/>
        <v>20750</v>
      </c>
      <c r="N59" s="44">
        <f t="shared" si="9"/>
        <v>20750</v>
      </c>
      <c r="O59" s="44">
        <f t="shared" si="9"/>
        <v>20750</v>
      </c>
      <c r="P59" s="49">
        <f t="shared" si="4"/>
        <v>249000</v>
      </c>
    </row>
    <row r="60" spans="1:16">
      <c r="A60" s="45" t="s">
        <v>108</v>
      </c>
      <c r="B60" s="237" t="s">
        <v>26</v>
      </c>
      <c r="C60" s="237"/>
      <c r="D60" s="46">
        <f>'Direct Expense'!D37</f>
        <v>0</v>
      </c>
      <c r="E60" s="46">
        <f>'Direct Expense'!E37</f>
        <v>0</v>
      </c>
      <c r="F60" s="46">
        <f>'Direct Expense'!F37</f>
        <v>0</v>
      </c>
      <c r="G60" s="46">
        <f>'Direct Expense'!G37</f>
        <v>0</v>
      </c>
      <c r="H60" s="46">
        <f>'Direct Expense'!H37</f>
        <v>0</v>
      </c>
      <c r="I60" s="46">
        <f>'Direct Expense'!I37</f>
        <v>0</v>
      </c>
      <c r="J60" s="46">
        <f>'Direct Expense'!J37</f>
        <v>0</v>
      </c>
      <c r="K60" s="46">
        <f>'Direct Expense'!K37</f>
        <v>0</v>
      </c>
      <c r="L60" s="46">
        <f>'Direct Expense'!L37</f>
        <v>0</v>
      </c>
      <c r="M60" s="46">
        <f>'Direct Expense'!M37</f>
        <v>0</v>
      </c>
      <c r="N60" s="46">
        <f>'Direct Expense'!N37</f>
        <v>0</v>
      </c>
      <c r="O60" s="46">
        <f>'Direct Expense'!O37</f>
        <v>0</v>
      </c>
      <c r="P60" s="47">
        <f t="shared" si="4"/>
        <v>0</v>
      </c>
    </row>
    <row r="61" spans="1:16">
      <c r="A61" s="45" t="s">
        <v>109</v>
      </c>
      <c r="B61" s="237" t="s">
        <v>27</v>
      </c>
      <c r="C61" s="237"/>
      <c r="D61" s="46">
        <f>'Direct Expense'!D38</f>
        <v>0</v>
      </c>
      <c r="E61" s="46">
        <f>'Direct Expense'!E38</f>
        <v>0</v>
      </c>
      <c r="F61" s="46">
        <f>'Direct Expense'!F38</f>
        <v>0</v>
      </c>
      <c r="G61" s="46">
        <f>'Direct Expense'!G38</f>
        <v>0</v>
      </c>
      <c r="H61" s="46">
        <f>'Direct Expense'!H38</f>
        <v>0</v>
      </c>
      <c r="I61" s="46">
        <f>'Direct Expense'!I38</f>
        <v>0</v>
      </c>
      <c r="J61" s="46">
        <f>'Direct Expense'!J38</f>
        <v>0</v>
      </c>
      <c r="K61" s="46">
        <f>'Direct Expense'!K38</f>
        <v>0</v>
      </c>
      <c r="L61" s="46">
        <f>'Direct Expense'!L38</f>
        <v>0</v>
      </c>
      <c r="M61" s="46">
        <f>'Direct Expense'!M38</f>
        <v>0</v>
      </c>
      <c r="N61" s="46">
        <f>'Direct Expense'!N38</f>
        <v>0</v>
      </c>
      <c r="O61" s="46">
        <f>'Direct Expense'!O38</f>
        <v>0</v>
      </c>
      <c r="P61" s="47">
        <f t="shared" si="4"/>
        <v>0</v>
      </c>
    </row>
    <row r="62" spans="1:16">
      <c r="A62" s="45" t="s">
        <v>110</v>
      </c>
      <c r="B62" s="237" t="s">
        <v>28</v>
      </c>
      <c r="C62" s="237"/>
      <c r="D62" s="46">
        <f>'Direct Expense'!D39</f>
        <v>2000</v>
      </c>
      <c r="E62" s="46">
        <f>'Direct Expense'!E39</f>
        <v>2000</v>
      </c>
      <c r="F62" s="46">
        <f>'Direct Expense'!F39</f>
        <v>2000</v>
      </c>
      <c r="G62" s="46">
        <f>'Direct Expense'!G39</f>
        <v>2000</v>
      </c>
      <c r="H62" s="46">
        <f>'Direct Expense'!H39</f>
        <v>2000</v>
      </c>
      <c r="I62" s="46">
        <f>'Direct Expense'!I39</f>
        <v>2000</v>
      </c>
      <c r="J62" s="46">
        <f>'Direct Expense'!J39</f>
        <v>2000</v>
      </c>
      <c r="K62" s="46">
        <f>'Direct Expense'!K39</f>
        <v>2000</v>
      </c>
      <c r="L62" s="46">
        <f>'Direct Expense'!L39</f>
        <v>2000</v>
      </c>
      <c r="M62" s="46">
        <f>'Direct Expense'!M39</f>
        <v>2000</v>
      </c>
      <c r="N62" s="46">
        <f>'Direct Expense'!N39</f>
        <v>2000</v>
      </c>
      <c r="O62" s="46">
        <f>'Direct Expense'!O39</f>
        <v>2000</v>
      </c>
      <c r="P62" s="47">
        <f t="shared" si="4"/>
        <v>24000</v>
      </c>
    </row>
    <row r="63" spans="1:16">
      <c r="A63" s="45" t="s">
        <v>111</v>
      </c>
      <c r="B63" s="237" t="s">
        <v>29</v>
      </c>
      <c r="C63" s="237"/>
      <c r="D63" s="46">
        <f>'Direct Expense'!D40</f>
        <v>75</v>
      </c>
      <c r="E63" s="46">
        <f>'Direct Expense'!E40</f>
        <v>75</v>
      </c>
      <c r="F63" s="46">
        <f>'Direct Expense'!F40</f>
        <v>75</v>
      </c>
      <c r="G63" s="46">
        <f>'Direct Expense'!G40</f>
        <v>75</v>
      </c>
      <c r="H63" s="46">
        <f>'Direct Expense'!H40</f>
        <v>75</v>
      </c>
      <c r="I63" s="46">
        <f>'Direct Expense'!I40</f>
        <v>75</v>
      </c>
      <c r="J63" s="46">
        <f>'Direct Expense'!J40</f>
        <v>75</v>
      </c>
      <c r="K63" s="46">
        <f>'Direct Expense'!K40</f>
        <v>75</v>
      </c>
      <c r="L63" s="46">
        <f>'Direct Expense'!L40</f>
        <v>75</v>
      </c>
      <c r="M63" s="46">
        <f>'Direct Expense'!M40</f>
        <v>75</v>
      </c>
      <c r="N63" s="46">
        <f>'Direct Expense'!N40</f>
        <v>75</v>
      </c>
      <c r="O63" s="46">
        <f>'Direct Expense'!O40</f>
        <v>75</v>
      </c>
      <c r="P63" s="47">
        <f t="shared" si="4"/>
        <v>900</v>
      </c>
    </row>
    <row r="64" spans="1:16">
      <c r="A64" s="45" t="s">
        <v>109</v>
      </c>
      <c r="B64" s="237" t="s">
        <v>30</v>
      </c>
      <c r="C64" s="237"/>
      <c r="D64" s="46">
        <f>'Direct Expense'!D41</f>
        <v>0</v>
      </c>
      <c r="E64" s="46">
        <f>'Direct Expense'!E41</f>
        <v>0</v>
      </c>
      <c r="F64" s="46">
        <f>'Direct Expense'!F41</f>
        <v>0</v>
      </c>
      <c r="G64" s="46">
        <f>'Direct Expense'!G41</f>
        <v>0</v>
      </c>
      <c r="H64" s="46">
        <f>'Direct Expense'!H41</f>
        <v>0</v>
      </c>
      <c r="I64" s="46">
        <f>'Direct Expense'!I41</f>
        <v>0</v>
      </c>
      <c r="J64" s="46">
        <f>'Direct Expense'!J41</f>
        <v>0</v>
      </c>
      <c r="K64" s="46">
        <f>'Direct Expense'!K41</f>
        <v>0</v>
      </c>
      <c r="L64" s="46">
        <f>'Direct Expense'!L41</f>
        <v>0</v>
      </c>
      <c r="M64" s="46">
        <f>'Direct Expense'!M41</f>
        <v>0</v>
      </c>
      <c r="N64" s="46">
        <f>'Direct Expense'!N41</f>
        <v>0</v>
      </c>
      <c r="O64" s="46">
        <f>'Direct Expense'!O41</f>
        <v>0</v>
      </c>
      <c r="P64" s="47">
        <f t="shared" si="4"/>
        <v>0</v>
      </c>
    </row>
    <row r="65" spans="1:16">
      <c r="A65" s="45" t="s">
        <v>109</v>
      </c>
      <c r="B65" s="237" t="s">
        <v>31</v>
      </c>
      <c r="C65" s="237"/>
      <c r="D65" s="46">
        <f>'Direct Expense'!D42</f>
        <v>300</v>
      </c>
      <c r="E65" s="46">
        <f>'Direct Expense'!E42</f>
        <v>300</v>
      </c>
      <c r="F65" s="46">
        <f>'Direct Expense'!F42</f>
        <v>300</v>
      </c>
      <c r="G65" s="46">
        <f>'Direct Expense'!G42</f>
        <v>300</v>
      </c>
      <c r="H65" s="46">
        <f>'Direct Expense'!H42</f>
        <v>300</v>
      </c>
      <c r="I65" s="46">
        <f>'Direct Expense'!I42</f>
        <v>300</v>
      </c>
      <c r="J65" s="46">
        <f>'Direct Expense'!J42</f>
        <v>300</v>
      </c>
      <c r="K65" s="46">
        <f>'Direct Expense'!K42</f>
        <v>300</v>
      </c>
      <c r="L65" s="46">
        <f>'Direct Expense'!L42</f>
        <v>300</v>
      </c>
      <c r="M65" s="46">
        <f>'Direct Expense'!M42</f>
        <v>300</v>
      </c>
      <c r="N65" s="46">
        <f>'Direct Expense'!N42</f>
        <v>300</v>
      </c>
      <c r="O65" s="46">
        <f>'Direct Expense'!O42</f>
        <v>300</v>
      </c>
      <c r="P65" s="47">
        <f t="shared" si="4"/>
        <v>3600</v>
      </c>
    </row>
    <row r="66" spans="1:16">
      <c r="A66" s="45" t="s">
        <v>110</v>
      </c>
      <c r="B66" s="237" t="s">
        <v>32</v>
      </c>
      <c r="C66" s="237"/>
      <c r="D66" s="46">
        <f>'Direct Expense'!D43</f>
        <v>350</v>
      </c>
      <c r="E66" s="46">
        <f>'Direct Expense'!E43</f>
        <v>350</v>
      </c>
      <c r="F66" s="46">
        <f>'Direct Expense'!F43</f>
        <v>350</v>
      </c>
      <c r="G66" s="46">
        <f>'Direct Expense'!G43</f>
        <v>350</v>
      </c>
      <c r="H66" s="46">
        <f>'Direct Expense'!H43</f>
        <v>350</v>
      </c>
      <c r="I66" s="46">
        <f>'Direct Expense'!I43</f>
        <v>350</v>
      </c>
      <c r="J66" s="46">
        <f>'Direct Expense'!J43</f>
        <v>350</v>
      </c>
      <c r="K66" s="46">
        <f>'Direct Expense'!K43</f>
        <v>350</v>
      </c>
      <c r="L66" s="46">
        <f>'Direct Expense'!L43</f>
        <v>350</v>
      </c>
      <c r="M66" s="46">
        <f>'Direct Expense'!M43</f>
        <v>350</v>
      </c>
      <c r="N66" s="46">
        <f>'Direct Expense'!N43</f>
        <v>350</v>
      </c>
      <c r="O66" s="46">
        <f>'Direct Expense'!O43</f>
        <v>350</v>
      </c>
      <c r="P66" s="47">
        <f t="shared" si="4"/>
        <v>4200</v>
      </c>
    </row>
    <row r="67" spans="1:16">
      <c r="A67" s="45"/>
      <c r="B67" s="248" t="s">
        <v>33</v>
      </c>
      <c r="C67" s="237"/>
      <c r="D67" s="44">
        <f t="shared" ref="D67:O67" si="10">SUM(D60:D66)</f>
        <v>2725</v>
      </c>
      <c r="E67" s="44">
        <f t="shared" si="10"/>
        <v>2725</v>
      </c>
      <c r="F67" s="44">
        <f t="shared" si="10"/>
        <v>2725</v>
      </c>
      <c r="G67" s="44">
        <f t="shared" si="10"/>
        <v>2725</v>
      </c>
      <c r="H67" s="44">
        <f t="shared" si="10"/>
        <v>2725</v>
      </c>
      <c r="I67" s="44">
        <f t="shared" si="10"/>
        <v>2725</v>
      </c>
      <c r="J67" s="44">
        <f t="shared" si="10"/>
        <v>2725</v>
      </c>
      <c r="K67" s="44">
        <f t="shared" si="10"/>
        <v>2725</v>
      </c>
      <c r="L67" s="44">
        <f t="shared" si="10"/>
        <v>2725</v>
      </c>
      <c r="M67" s="44">
        <f t="shared" si="10"/>
        <v>2725</v>
      </c>
      <c r="N67" s="44">
        <f t="shared" si="10"/>
        <v>2725</v>
      </c>
      <c r="O67" s="44">
        <f t="shared" si="10"/>
        <v>2725</v>
      </c>
      <c r="P67" s="49">
        <f t="shared" ref="P67:P83" si="11">SUM(D67:O67)</f>
        <v>32700</v>
      </c>
    </row>
    <row r="68" spans="1:16">
      <c r="A68" s="45" t="s">
        <v>112</v>
      </c>
      <c r="B68" s="237" t="s">
        <v>34</v>
      </c>
      <c r="C68" s="237"/>
      <c r="D68" s="46">
        <f>'Direct Expense'!D45</f>
        <v>10000</v>
      </c>
      <c r="E68" s="46">
        <f>'Direct Expense'!E45</f>
        <v>10000</v>
      </c>
      <c r="F68" s="46">
        <f>'Direct Expense'!F45</f>
        <v>10000</v>
      </c>
      <c r="G68" s="46">
        <f>'Direct Expense'!G45</f>
        <v>10000</v>
      </c>
      <c r="H68" s="46">
        <f>'Direct Expense'!H45</f>
        <v>10000</v>
      </c>
      <c r="I68" s="46">
        <f>'Direct Expense'!I45</f>
        <v>10000</v>
      </c>
      <c r="J68" s="46">
        <f>'Direct Expense'!J45</f>
        <v>10000</v>
      </c>
      <c r="K68" s="46">
        <f>'Direct Expense'!K45</f>
        <v>10000</v>
      </c>
      <c r="L68" s="46">
        <f>'Direct Expense'!L45</f>
        <v>10000</v>
      </c>
      <c r="M68" s="46">
        <f>'Direct Expense'!M45</f>
        <v>10000</v>
      </c>
      <c r="N68" s="46">
        <f>'Direct Expense'!N45</f>
        <v>10000</v>
      </c>
      <c r="O68" s="46">
        <f>'Direct Expense'!O45</f>
        <v>10000</v>
      </c>
      <c r="P68" s="47">
        <f t="shared" si="11"/>
        <v>120000</v>
      </c>
    </row>
    <row r="69" spans="1:16">
      <c r="A69" s="45" t="s">
        <v>113</v>
      </c>
      <c r="B69" s="237" t="s">
        <v>35</v>
      </c>
      <c r="C69" s="237"/>
      <c r="D69" s="46">
        <f>'Direct Expense'!D46</f>
        <v>10000</v>
      </c>
      <c r="E69" s="46">
        <f>'Direct Expense'!E46</f>
        <v>10000</v>
      </c>
      <c r="F69" s="46">
        <f>'Direct Expense'!F46</f>
        <v>10000</v>
      </c>
      <c r="G69" s="46">
        <f>'Direct Expense'!G46</f>
        <v>10000</v>
      </c>
      <c r="H69" s="46">
        <f>'Direct Expense'!H46</f>
        <v>10000</v>
      </c>
      <c r="I69" s="46">
        <f>'Direct Expense'!I46</f>
        <v>10000</v>
      </c>
      <c r="J69" s="46">
        <f>'Direct Expense'!J46</f>
        <v>10000</v>
      </c>
      <c r="K69" s="46">
        <f>'Direct Expense'!K46</f>
        <v>10000</v>
      </c>
      <c r="L69" s="46">
        <f>'Direct Expense'!L46</f>
        <v>10000</v>
      </c>
      <c r="M69" s="46">
        <f>'Direct Expense'!M46</f>
        <v>10000</v>
      </c>
      <c r="N69" s="46">
        <f>'Direct Expense'!N46</f>
        <v>10000</v>
      </c>
      <c r="O69" s="46">
        <f>'Direct Expense'!O46</f>
        <v>10000</v>
      </c>
      <c r="P69" s="47">
        <f t="shared" si="11"/>
        <v>120000</v>
      </c>
    </row>
    <row r="70" spans="1:16">
      <c r="A70" s="45" t="s">
        <v>113</v>
      </c>
      <c r="B70" s="237" t="s">
        <v>36</v>
      </c>
      <c r="C70" s="237"/>
      <c r="D70" s="46">
        <f>'Direct Expense'!D47</f>
        <v>0</v>
      </c>
      <c r="E70" s="46">
        <f>'Direct Expense'!E47</f>
        <v>0</v>
      </c>
      <c r="F70" s="46">
        <f>'Direct Expense'!F47</f>
        <v>0</v>
      </c>
      <c r="G70" s="46">
        <f>'Direct Expense'!G47</f>
        <v>0</v>
      </c>
      <c r="H70" s="46">
        <f>'Direct Expense'!H47</f>
        <v>0</v>
      </c>
      <c r="I70" s="46">
        <f>'Direct Expense'!I47</f>
        <v>0</v>
      </c>
      <c r="J70" s="46">
        <f>'Direct Expense'!J47</f>
        <v>0</v>
      </c>
      <c r="K70" s="46">
        <f>'Direct Expense'!K47</f>
        <v>0</v>
      </c>
      <c r="L70" s="46">
        <f>'Direct Expense'!L47</f>
        <v>0</v>
      </c>
      <c r="M70" s="46">
        <f>'Direct Expense'!M47</f>
        <v>0</v>
      </c>
      <c r="N70" s="46">
        <f>'Direct Expense'!N47</f>
        <v>0</v>
      </c>
      <c r="O70" s="46">
        <f>'Direct Expense'!O47</f>
        <v>0</v>
      </c>
      <c r="P70" s="47">
        <f t="shared" si="11"/>
        <v>0</v>
      </c>
    </row>
    <row r="71" spans="1:16">
      <c r="A71" s="45" t="s">
        <v>112</v>
      </c>
      <c r="B71" s="237" t="s">
        <v>37</v>
      </c>
      <c r="C71" s="237"/>
      <c r="D71" s="46">
        <f>'Direct Expense'!D48</f>
        <v>5000</v>
      </c>
      <c r="E71" s="46">
        <f>'Direct Expense'!E48</f>
        <v>5000</v>
      </c>
      <c r="F71" s="46">
        <f>'Direct Expense'!F48</f>
        <v>5000</v>
      </c>
      <c r="G71" s="46">
        <f>'Direct Expense'!G48</f>
        <v>5000</v>
      </c>
      <c r="H71" s="46">
        <f>'Direct Expense'!H48</f>
        <v>5000</v>
      </c>
      <c r="I71" s="46">
        <f>'Direct Expense'!I48</f>
        <v>5000</v>
      </c>
      <c r="J71" s="46">
        <f>'Direct Expense'!J48</f>
        <v>5000</v>
      </c>
      <c r="K71" s="46">
        <f>'Direct Expense'!K48</f>
        <v>5000</v>
      </c>
      <c r="L71" s="46">
        <f>'Direct Expense'!L48</f>
        <v>5000</v>
      </c>
      <c r="M71" s="46">
        <f>'Direct Expense'!M48</f>
        <v>5000</v>
      </c>
      <c r="N71" s="46">
        <f>'Direct Expense'!N48</f>
        <v>5000</v>
      </c>
      <c r="O71" s="46">
        <f>'Direct Expense'!O48</f>
        <v>5000</v>
      </c>
      <c r="P71" s="47">
        <f t="shared" si="11"/>
        <v>60000</v>
      </c>
    </row>
    <row r="72" spans="1:16">
      <c r="A72" s="45"/>
      <c r="B72" s="248" t="s">
        <v>38</v>
      </c>
      <c r="C72" s="237"/>
      <c r="D72" s="44">
        <f t="shared" ref="D72:O72" si="12">SUM(D68:D71)</f>
        <v>25000</v>
      </c>
      <c r="E72" s="44">
        <f t="shared" si="12"/>
        <v>25000</v>
      </c>
      <c r="F72" s="44">
        <f t="shared" si="12"/>
        <v>25000</v>
      </c>
      <c r="G72" s="44">
        <f t="shared" si="12"/>
        <v>25000</v>
      </c>
      <c r="H72" s="44">
        <f t="shared" si="12"/>
        <v>25000</v>
      </c>
      <c r="I72" s="44">
        <f t="shared" si="12"/>
        <v>25000</v>
      </c>
      <c r="J72" s="44">
        <f t="shared" si="12"/>
        <v>25000</v>
      </c>
      <c r="K72" s="44">
        <f t="shared" si="12"/>
        <v>25000</v>
      </c>
      <c r="L72" s="44">
        <f t="shared" si="12"/>
        <v>25000</v>
      </c>
      <c r="M72" s="44">
        <f t="shared" si="12"/>
        <v>25000</v>
      </c>
      <c r="N72" s="44">
        <f t="shared" si="12"/>
        <v>25000</v>
      </c>
      <c r="O72" s="44">
        <f t="shared" si="12"/>
        <v>25000</v>
      </c>
      <c r="P72" s="49">
        <f t="shared" si="11"/>
        <v>300000</v>
      </c>
    </row>
    <row r="73" spans="1:16">
      <c r="A73" s="45" t="s">
        <v>114</v>
      </c>
      <c r="B73" s="248" t="s">
        <v>39</v>
      </c>
      <c r="C73" s="237"/>
      <c r="D73" s="46">
        <f>'Direct Expense'!D50</f>
        <v>0</v>
      </c>
      <c r="E73" s="46">
        <f>'Direct Expense'!E50</f>
        <v>0</v>
      </c>
      <c r="F73" s="46">
        <f>'Direct Expense'!F50</f>
        <v>0</v>
      </c>
      <c r="G73" s="46">
        <f>'Direct Expense'!G50</f>
        <v>0</v>
      </c>
      <c r="H73" s="46">
        <f>'Direct Expense'!H50</f>
        <v>0</v>
      </c>
      <c r="I73" s="46">
        <f>'Direct Expense'!I50</f>
        <v>0</v>
      </c>
      <c r="J73" s="46">
        <f>'Direct Expense'!J50</f>
        <v>0</v>
      </c>
      <c r="K73" s="46">
        <f>'Direct Expense'!K50</f>
        <v>0</v>
      </c>
      <c r="L73" s="46">
        <f>'Direct Expense'!L50</f>
        <v>0</v>
      </c>
      <c r="M73" s="46">
        <f>'Direct Expense'!M50</f>
        <v>0</v>
      </c>
      <c r="N73" s="46">
        <f>'Direct Expense'!N50</f>
        <v>0</v>
      </c>
      <c r="O73" s="46">
        <f>'Direct Expense'!O50</f>
        <v>0</v>
      </c>
      <c r="P73" s="47">
        <f t="shared" si="11"/>
        <v>0</v>
      </c>
    </row>
    <row r="74" spans="1:16">
      <c r="A74" s="45" t="s">
        <v>115</v>
      </c>
      <c r="B74" s="237" t="s">
        <v>40</v>
      </c>
      <c r="C74" s="237"/>
      <c r="D74" s="46">
        <f>'Direct Expense'!D51</f>
        <v>0</v>
      </c>
      <c r="E74" s="46">
        <f>'Direct Expense'!E51</f>
        <v>0</v>
      </c>
      <c r="F74" s="46">
        <f>'Direct Expense'!F51</f>
        <v>0</v>
      </c>
      <c r="G74" s="46">
        <f>'Direct Expense'!G51</f>
        <v>0</v>
      </c>
      <c r="H74" s="46">
        <f>'Direct Expense'!H51</f>
        <v>0</v>
      </c>
      <c r="I74" s="46">
        <f>'Direct Expense'!I51</f>
        <v>0</v>
      </c>
      <c r="J74" s="46">
        <f>'Direct Expense'!J51</f>
        <v>0</v>
      </c>
      <c r="K74" s="46">
        <f>'Direct Expense'!K51</f>
        <v>0</v>
      </c>
      <c r="L74" s="46">
        <f>'Direct Expense'!L51</f>
        <v>0</v>
      </c>
      <c r="M74" s="46">
        <f>'Direct Expense'!M51</f>
        <v>0</v>
      </c>
      <c r="N74" s="46">
        <f>'Direct Expense'!N51</f>
        <v>0</v>
      </c>
      <c r="O74" s="46">
        <f>'Direct Expense'!O51</f>
        <v>0</v>
      </c>
      <c r="P74" s="47">
        <f t="shared" si="11"/>
        <v>0</v>
      </c>
    </row>
    <row r="75" spans="1:16">
      <c r="A75" s="45" t="s">
        <v>116</v>
      </c>
      <c r="B75" s="237" t="s">
        <v>41</v>
      </c>
      <c r="C75" s="237"/>
      <c r="D75" s="46">
        <f>'Direct Expense'!D52</f>
        <v>700</v>
      </c>
      <c r="E75" s="46">
        <f>'Direct Expense'!E52</f>
        <v>700</v>
      </c>
      <c r="F75" s="46">
        <f>'Direct Expense'!F52</f>
        <v>700</v>
      </c>
      <c r="G75" s="46">
        <f>'Direct Expense'!G52</f>
        <v>700</v>
      </c>
      <c r="H75" s="46">
        <f>'Direct Expense'!H52</f>
        <v>700</v>
      </c>
      <c r="I75" s="46">
        <f>'Direct Expense'!I52</f>
        <v>700</v>
      </c>
      <c r="J75" s="46">
        <f>'Direct Expense'!J52</f>
        <v>700</v>
      </c>
      <c r="K75" s="46">
        <f>'Direct Expense'!K52</f>
        <v>700</v>
      </c>
      <c r="L75" s="46">
        <f>'Direct Expense'!L52</f>
        <v>700</v>
      </c>
      <c r="M75" s="46">
        <f>'Direct Expense'!M52</f>
        <v>700</v>
      </c>
      <c r="N75" s="46">
        <f>'Direct Expense'!N52</f>
        <v>700</v>
      </c>
      <c r="O75" s="46">
        <f>'Direct Expense'!O52</f>
        <v>700</v>
      </c>
      <c r="P75" s="47">
        <f t="shared" si="11"/>
        <v>8400</v>
      </c>
    </row>
    <row r="76" spans="1:16">
      <c r="A76" s="45"/>
      <c r="B76" s="248" t="s">
        <v>42</v>
      </c>
      <c r="C76" s="237"/>
      <c r="D76" s="44">
        <f t="shared" ref="D76:O76" si="13">SUM(D74:D75)</f>
        <v>700</v>
      </c>
      <c r="E76" s="44">
        <f t="shared" si="13"/>
        <v>700</v>
      </c>
      <c r="F76" s="44">
        <f t="shared" si="13"/>
        <v>700</v>
      </c>
      <c r="G76" s="44">
        <f t="shared" si="13"/>
        <v>700</v>
      </c>
      <c r="H76" s="44">
        <f t="shared" si="13"/>
        <v>700</v>
      </c>
      <c r="I76" s="44">
        <f t="shared" si="13"/>
        <v>700</v>
      </c>
      <c r="J76" s="44">
        <f t="shared" si="13"/>
        <v>700</v>
      </c>
      <c r="K76" s="44">
        <f t="shared" si="13"/>
        <v>700</v>
      </c>
      <c r="L76" s="44">
        <f t="shared" si="13"/>
        <v>700</v>
      </c>
      <c r="M76" s="44">
        <f t="shared" si="13"/>
        <v>700</v>
      </c>
      <c r="N76" s="44">
        <f t="shared" si="13"/>
        <v>700</v>
      </c>
      <c r="O76" s="44">
        <f t="shared" si="13"/>
        <v>700</v>
      </c>
      <c r="P76" s="49">
        <f t="shared" si="11"/>
        <v>8400</v>
      </c>
    </row>
    <row r="77" spans="1:16">
      <c r="A77" s="45" t="s">
        <v>117</v>
      </c>
      <c r="B77" s="237" t="s">
        <v>307</v>
      </c>
      <c r="C77" s="245"/>
      <c r="D77" s="46">
        <f>'Direct Expense'!D54</f>
        <v>3500</v>
      </c>
      <c r="E77" s="46">
        <f>'Direct Expense'!E54</f>
        <v>7000</v>
      </c>
      <c r="F77" s="46">
        <f>'Direct Expense'!F54</f>
        <v>3500</v>
      </c>
      <c r="G77" s="46">
        <f>'Direct Expense'!G54</f>
        <v>3500</v>
      </c>
      <c r="H77" s="46">
        <f>'Direct Expense'!H54</f>
        <v>7000</v>
      </c>
      <c r="I77" s="46">
        <f>'Direct Expense'!I54</f>
        <v>3500</v>
      </c>
      <c r="J77" s="46">
        <f>'Direct Expense'!J54</f>
        <v>3500</v>
      </c>
      <c r="K77" s="46">
        <f>'Direct Expense'!K54</f>
        <v>7000</v>
      </c>
      <c r="L77" s="46">
        <f>'Direct Expense'!L54</f>
        <v>3500</v>
      </c>
      <c r="M77" s="46">
        <f>'Direct Expense'!M54</f>
        <v>3500</v>
      </c>
      <c r="N77" s="46">
        <f>'Direct Expense'!N54</f>
        <v>3500</v>
      </c>
      <c r="O77" s="46">
        <f>'Direct Expense'!O54</f>
        <v>3500</v>
      </c>
      <c r="P77" s="47">
        <f t="shared" si="11"/>
        <v>52500</v>
      </c>
    </row>
    <row r="78" spans="1:16">
      <c r="A78" s="45" t="s">
        <v>118</v>
      </c>
      <c r="B78" s="237" t="s">
        <v>43</v>
      </c>
      <c r="C78" s="245"/>
      <c r="D78" s="46">
        <f>'Direct Expense'!D55</f>
        <v>0</v>
      </c>
      <c r="E78" s="46">
        <f>'Direct Expense'!E55</f>
        <v>0</v>
      </c>
      <c r="F78" s="46">
        <f>'Direct Expense'!F55</f>
        <v>0</v>
      </c>
      <c r="G78" s="46">
        <f>'Direct Expense'!G55</f>
        <v>0</v>
      </c>
      <c r="H78" s="46">
        <f>'Direct Expense'!H55</f>
        <v>0</v>
      </c>
      <c r="I78" s="46">
        <f>'Direct Expense'!I55</f>
        <v>0</v>
      </c>
      <c r="J78" s="46">
        <f>'Direct Expense'!J55</f>
        <v>0</v>
      </c>
      <c r="K78" s="46">
        <f>'Direct Expense'!K55</f>
        <v>0</v>
      </c>
      <c r="L78" s="46">
        <f>'Direct Expense'!L55</f>
        <v>0</v>
      </c>
      <c r="M78" s="46">
        <f>'Direct Expense'!M55</f>
        <v>0</v>
      </c>
      <c r="N78" s="46">
        <f>'Direct Expense'!N55</f>
        <v>0</v>
      </c>
      <c r="O78" s="46">
        <f>'Direct Expense'!O55</f>
        <v>0</v>
      </c>
      <c r="P78" s="47">
        <f t="shared" si="11"/>
        <v>0</v>
      </c>
    </row>
    <row r="79" spans="1:16">
      <c r="A79" s="45" t="s">
        <v>119</v>
      </c>
      <c r="B79" s="237" t="s">
        <v>49</v>
      </c>
      <c r="C79" s="245"/>
      <c r="D79" s="46">
        <f>'Direct Expense'!D56</f>
        <v>12586.840824037812</v>
      </c>
      <c r="E79" s="46">
        <f>'Direct Expense'!E56</f>
        <v>12586.840824037812</v>
      </c>
      <c r="F79" s="46">
        <f>'Direct Expense'!F56</f>
        <v>12586.840824037812</v>
      </c>
      <c r="G79" s="46">
        <f>'Direct Expense'!G56</f>
        <v>12586.840824037812</v>
      </c>
      <c r="H79" s="46">
        <f>'Direct Expense'!H56</f>
        <v>12586.840824037812</v>
      </c>
      <c r="I79" s="46">
        <f>'Direct Expense'!I56</f>
        <v>12586.840824037812</v>
      </c>
      <c r="J79" s="46">
        <f>'Direct Expense'!J56</f>
        <v>12586.840824037812</v>
      </c>
      <c r="K79" s="46">
        <f>'Direct Expense'!K56</f>
        <v>12586.840824037812</v>
      </c>
      <c r="L79" s="46">
        <f>'Direct Expense'!L56</f>
        <v>12586.840824037812</v>
      </c>
      <c r="M79" s="46">
        <f>'Direct Expense'!M56</f>
        <v>12586.840824037812</v>
      </c>
      <c r="N79" s="46">
        <f>'Direct Expense'!N56</f>
        <v>12586.840824037812</v>
      </c>
      <c r="O79" s="46">
        <f>'Direct Expense'!O56</f>
        <v>12586.840824037812</v>
      </c>
      <c r="P79" s="47">
        <f t="shared" si="11"/>
        <v>151042.08988845377</v>
      </c>
    </row>
    <row r="80" spans="1:16">
      <c r="A80" s="45" t="s">
        <v>120</v>
      </c>
      <c r="B80" s="237" t="s">
        <v>50</v>
      </c>
      <c r="C80" s="245"/>
      <c r="D80" s="46">
        <f>'Direct Expense'!D57</f>
        <v>12000</v>
      </c>
      <c r="E80" s="46">
        <f>'Direct Expense'!E57</f>
        <v>12000</v>
      </c>
      <c r="F80" s="46">
        <f>'Direct Expense'!F57</f>
        <v>12000</v>
      </c>
      <c r="G80" s="46">
        <f>'Direct Expense'!G57</f>
        <v>12000</v>
      </c>
      <c r="H80" s="46">
        <f>'Direct Expense'!H57</f>
        <v>12000</v>
      </c>
      <c r="I80" s="46">
        <f>'Direct Expense'!I57</f>
        <v>12000</v>
      </c>
      <c r="J80" s="46">
        <f>'Direct Expense'!J57</f>
        <v>12000</v>
      </c>
      <c r="K80" s="46">
        <f>'Direct Expense'!K57</f>
        <v>12000</v>
      </c>
      <c r="L80" s="46">
        <f>'Direct Expense'!L57</f>
        <v>12000</v>
      </c>
      <c r="M80" s="46">
        <f>'Direct Expense'!M57</f>
        <v>12000</v>
      </c>
      <c r="N80" s="46">
        <f>'Direct Expense'!N57</f>
        <v>12000</v>
      </c>
      <c r="O80" s="46">
        <f>'Direct Expense'!O57</f>
        <v>12000</v>
      </c>
      <c r="P80" s="47">
        <f t="shared" si="11"/>
        <v>144000</v>
      </c>
    </row>
    <row r="81" spans="1:16">
      <c r="A81" s="45" t="s">
        <v>105</v>
      </c>
      <c r="B81" s="237" t="s">
        <v>94</v>
      </c>
      <c r="C81" s="245"/>
      <c r="D81" s="46">
        <f>'Direct Expense'!D58</f>
        <v>44000</v>
      </c>
      <c r="E81" s="46">
        <f>'Direct Expense'!E58</f>
        <v>44000</v>
      </c>
      <c r="F81" s="46">
        <f>'Direct Expense'!F58</f>
        <v>44000</v>
      </c>
      <c r="G81" s="46">
        <f>'Direct Expense'!G58</f>
        <v>44000</v>
      </c>
      <c r="H81" s="46">
        <f>'Direct Expense'!H58</f>
        <v>44000</v>
      </c>
      <c r="I81" s="46">
        <f>'Direct Expense'!I58</f>
        <v>44000</v>
      </c>
      <c r="J81" s="46">
        <f>'Direct Expense'!J58</f>
        <v>44000</v>
      </c>
      <c r="K81" s="46">
        <f>'Direct Expense'!K58</f>
        <v>44000</v>
      </c>
      <c r="L81" s="46">
        <f>'Direct Expense'!L58</f>
        <v>44000</v>
      </c>
      <c r="M81" s="46">
        <f>'Direct Expense'!M58</f>
        <v>44000</v>
      </c>
      <c r="N81" s="46">
        <f>'Direct Expense'!N58</f>
        <v>44000</v>
      </c>
      <c r="O81" s="46">
        <f>'Direct Expense'!O58</f>
        <v>44000</v>
      </c>
      <c r="P81" s="47">
        <f t="shared" si="11"/>
        <v>528000</v>
      </c>
    </row>
    <row r="82" spans="1:16">
      <c r="A82" s="45" t="s">
        <v>105</v>
      </c>
      <c r="B82" s="237" t="s">
        <v>44</v>
      </c>
      <c r="C82" s="245"/>
      <c r="D82" s="46">
        <f>'Direct Expense'!D59</f>
        <v>0</v>
      </c>
      <c r="E82" s="46">
        <f>'Direct Expense'!E59</f>
        <v>0</v>
      </c>
      <c r="F82" s="46">
        <f>'Direct Expense'!F59</f>
        <v>0</v>
      </c>
      <c r="G82" s="46">
        <f>'Direct Expense'!G59</f>
        <v>0</v>
      </c>
      <c r="H82" s="46">
        <f>'Direct Expense'!H59</f>
        <v>0</v>
      </c>
      <c r="I82" s="46">
        <f>'Direct Expense'!I59</f>
        <v>0</v>
      </c>
      <c r="J82" s="46">
        <f>'Direct Expense'!J59</f>
        <v>0</v>
      </c>
      <c r="K82" s="46">
        <f>'Direct Expense'!K59</f>
        <v>0</v>
      </c>
      <c r="L82" s="46">
        <f>'Direct Expense'!L59</f>
        <v>0</v>
      </c>
      <c r="M82" s="46">
        <f>'Direct Expense'!M59</f>
        <v>0</v>
      </c>
      <c r="N82" s="46">
        <f>'Direct Expense'!N59</f>
        <v>0</v>
      </c>
      <c r="O82" s="46">
        <f>'Direct Expense'!O59</f>
        <v>0</v>
      </c>
      <c r="P82" s="47">
        <f t="shared" si="11"/>
        <v>0</v>
      </c>
    </row>
    <row r="83" spans="1:16">
      <c r="A83" s="45" t="s">
        <v>123</v>
      </c>
      <c r="B83" s="247" t="s">
        <v>95</v>
      </c>
      <c r="C83" s="245"/>
      <c r="D83" s="46">
        <f>'Direct Expense'!D64</f>
        <v>0</v>
      </c>
      <c r="E83" s="46">
        <f>'Direct Expense'!E64</f>
        <v>0</v>
      </c>
      <c r="F83" s="46">
        <f>'Direct Expense'!F64</f>
        <v>0</v>
      </c>
      <c r="G83" s="46">
        <f>'Direct Expense'!G64</f>
        <v>0</v>
      </c>
      <c r="H83" s="46">
        <f>'Direct Expense'!H64</f>
        <v>0</v>
      </c>
      <c r="I83" s="46">
        <f>'Direct Expense'!I64</f>
        <v>0</v>
      </c>
      <c r="J83" s="46">
        <f>'Direct Expense'!J64</f>
        <v>0</v>
      </c>
      <c r="K83" s="46">
        <f>'Direct Expense'!K64</f>
        <v>0</v>
      </c>
      <c r="L83" s="46">
        <f>'Direct Expense'!L64</f>
        <v>0</v>
      </c>
      <c r="M83" s="46">
        <f>'Direct Expense'!M64</f>
        <v>0</v>
      </c>
      <c r="N83" s="46">
        <f>'Direct Expense'!N64</f>
        <v>0</v>
      </c>
      <c r="O83" s="46">
        <f>'Direct Expense'!O64</f>
        <v>0</v>
      </c>
      <c r="P83" s="47">
        <f t="shared" si="11"/>
        <v>0</v>
      </c>
    </row>
    <row r="84" spans="1:16">
      <c r="A84" s="45"/>
      <c r="B84" s="249" t="s">
        <v>417</v>
      </c>
      <c r="C84" s="245"/>
      <c r="D84" s="44">
        <f t="shared" ref="D84:P84" si="14">D37+D40+D48+D55+D59+D67+D72+D73+D76+SUM(D77:D83)</f>
        <v>333703.38249070453</v>
      </c>
      <c r="E84" s="44">
        <f t="shared" si="14"/>
        <v>349205.21131014894</v>
      </c>
      <c r="F84" s="44">
        <f t="shared" si="14"/>
        <v>345705.21131014894</v>
      </c>
      <c r="G84" s="44">
        <f t="shared" si="14"/>
        <v>345705.21131014894</v>
      </c>
      <c r="H84" s="44">
        <f t="shared" si="14"/>
        <v>349205.21131014894</v>
      </c>
      <c r="I84" s="44">
        <f t="shared" si="14"/>
        <v>345705.21131014894</v>
      </c>
      <c r="J84" s="44">
        <f t="shared" si="14"/>
        <v>345705.21131014894</v>
      </c>
      <c r="K84" s="44">
        <f t="shared" si="14"/>
        <v>349205.21131014894</v>
      </c>
      <c r="L84" s="44">
        <f t="shared" si="14"/>
        <v>345705.21131014894</v>
      </c>
      <c r="M84" s="44">
        <f t="shared" si="14"/>
        <v>345705.21131014894</v>
      </c>
      <c r="N84" s="44">
        <f t="shared" si="14"/>
        <v>345705.21131014894</v>
      </c>
      <c r="O84" s="44">
        <f t="shared" si="14"/>
        <v>345705.21131014894</v>
      </c>
      <c r="P84" s="49">
        <f t="shared" si="14"/>
        <v>4146960.7069023419</v>
      </c>
    </row>
    <row r="85" spans="1:16">
      <c r="A85" s="45"/>
      <c r="B85" s="237" t="s">
        <v>418</v>
      </c>
      <c r="C85" s="245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7">
        <f>SUM(D85:O85)</f>
        <v>0</v>
      </c>
    </row>
    <row r="86" spans="1:16">
      <c r="A86" s="45"/>
      <c r="B86" s="237" t="s">
        <v>419</v>
      </c>
      <c r="C86" s="245"/>
      <c r="D86" s="46">
        <f>'Capital Charge'!D17*1000-D100</f>
        <v>47690.719861895799</v>
      </c>
      <c r="E86" s="46">
        <f>'Capital Charge'!E17*1000-E100</f>
        <v>22698.338735159683</v>
      </c>
      <c r="F86" s="46">
        <f>'Capital Charge'!F17*1000-F100</f>
        <v>26570.735526182907</v>
      </c>
      <c r="G86" s="46">
        <f>'Capital Charge'!G17*1000-G100</f>
        <v>26946.230752945059</v>
      </c>
      <c r="H86" s="46">
        <f>'Capital Charge'!H17*1000-H100</f>
        <v>27360.436544361572</v>
      </c>
      <c r="I86" s="46">
        <f>'Capital Charge'!I17*1000-I100</f>
        <v>28027.343734101112</v>
      </c>
      <c r="J86" s="46">
        <f>'Capital Charge'!J17*1000-J100</f>
        <v>28054.267110543184</v>
      </c>
      <c r="K86" s="46">
        <f>'Capital Charge'!K17*1000-K100</f>
        <v>28260.116077876253</v>
      </c>
      <c r="L86" s="46">
        <f>'Capital Charge'!L17*1000-L100</f>
        <v>28034.366097344991</v>
      </c>
      <c r="M86" s="46">
        <f>'Capital Charge'!M17*1000-M100</f>
        <v>28047.746280221636</v>
      </c>
      <c r="N86" s="46">
        <f>'Capital Charge'!N17*1000-N100</f>
        <v>28033.072531487109</v>
      </c>
      <c r="O86" s="46">
        <f>'Capital Charge'!O17*1000-O100</f>
        <v>28033.942243374087</v>
      </c>
      <c r="P86" s="47">
        <f>SUM(D86:O86)</f>
        <v>347757.31549549336</v>
      </c>
    </row>
    <row r="87" spans="1:16">
      <c r="A87" s="45"/>
      <c r="B87" s="248" t="s">
        <v>45</v>
      </c>
      <c r="C87" s="245"/>
      <c r="D87" s="44">
        <f t="shared" ref="D87:P87" si="15">+D84+D85+D86</f>
        <v>381394.10235260031</v>
      </c>
      <c r="E87" s="44">
        <f t="shared" si="15"/>
        <v>371903.5500453086</v>
      </c>
      <c r="F87" s="44">
        <f t="shared" si="15"/>
        <v>372275.94683633186</v>
      </c>
      <c r="G87" s="44">
        <f t="shared" si="15"/>
        <v>372651.442063094</v>
      </c>
      <c r="H87" s="44">
        <f t="shared" si="15"/>
        <v>376565.64785451052</v>
      </c>
      <c r="I87" s="44">
        <f t="shared" si="15"/>
        <v>373732.55504425004</v>
      </c>
      <c r="J87" s="44">
        <f t="shared" si="15"/>
        <v>373759.47842069215</v>
      </c>
      <c r="K87" s="44">
        <f t="shared" si="15"/>
        <v>377465.32738802518</v>
      </c>
      <c r="L87" s="44">
        <f t="shared" si="15"/>
        <v>373739.57740749395</v>
      </c>
      <c r="M87" s="44">
        <f t="shared" si="15"/>
        <v>373752.95759037056</v>
      </c>
      <c r="N87" s="44">
        <f t="shared" si="15"/>
        <v>373738.28384163603</v>
      </c>
      <c r="O87" s="44">
        <f t="shared" si="15"/>
        <v>373739.15355352301</v>
      </c>
      <c r="P87" s="49">
        <f t="shared" si="15"/>
        <v>4494718.0223978348</v>
      </c>
    </row>
    <row r="88" spans="1:16">
      <c r="A88" s="45" t="s">
        <v>121</v>
      </c>
      <c r="B88" s="237" t="s">
        <v>46</v>
      </c>
      <c r="C88" s="245"/>
      <c r="D88" s="46">
        <f>'Direct Expense'!D61</f>
        <v>0</v>
      </c>
      <c r="E88" s="46">
        <f>'Direct Expense'!E61</f>
        <v>0</v>
      </c>
      <c r="F88" s="46">
        <f>'Direct Expense'!F61</f>
        <v>0</v>
      </c>
      <c r="G88" s="46">
        <f>'Direct Expense'!G61</f>
        <v>0</v>
      </c>
      <c r="H88" s="46">
        <f>'Direct Expense'!H61</f>
        <v>0</v>
      </c>
      <c r="I88" s="46">
        <f>'Direct Expense'!I61</f>
        <v>0</v>
      </c>
      <c r="J88" s="46">
        <f>'Direct Expense'!J61</f>
        <v>0</v>
      </c>
      <c r="K88" s="46">
        <f>'Direct Expense'!K61</f>
        <v>0</v>
      </c>
      <c r="L88" s="46">
        <f>'Direct Expense'!L61</f>
        <v>0</v>
      </c>
      <c r="M88" s="46">
        <f>'Direct Expense'!M61</f>
        <v>0</v>
      </c>
      <c r="N88" s="46">
        <f>'Direct Expense'!N61</f>
        <v>0</v>
      </c>
      <c r="O88" s="46">
        <f>'Direct Expense'!O61</f>
        <v>0</v>
      </c>
      <c r="P88" s="47">
        <f>SUM(D88:O88)</f>
        <v>0</v>
      </c>
    </row>
    <row r="89" spans="1:16">
      <c r="A89" s="45" t="s">
        <v>122</v>
      </c>
      <c r="B89" s="237" t="s">
        <v>47</v>
      </c>
      <c r="C89" s="245"/>
      <c r="D89" s="46">
        <f>'Direct Expense'!D62</f>
        <v>0</v>
      </c>
      <c r="E89" s="46">
        <f>'Direct Expense'!E62</f>
        <v>0</v>
      </c>
      <c r="F89" s="46">
        <f>'Direct Expense'!F62</f>
        <v>0</v>
      </c>
      <c r="G89" s="46">
        <f>'Direct Expense'!G62</f>
        <v>0</v>
      </c>
      <c r="H89" s="46">
        <f>'Direct Expense'!H62</f>
        <v>0</v>
      </c>
      <c r="I89" s="46">
        <f>'Direct Expense'!I62</f>
        <v>0</v>
      </c>
      <c r="J89" s="46">
        <f>'Direct Expense'!J62</f>
        <v>0</v>
      </c>
      <c r="K89" s="46">
        <f>'Direct Expense'!K62</f>
        <v>0</v>
      </c>
      <c r="L89" s="46">
        <f>'Direct Expense'!L62</f>
        <v>0</v>
      </c>
      <c r="M89" s="46">
        <f>'Direct Expense'!M62</f>
        <v>0</v>
      </c>
      <c r="N89" s="46">
        <f>'Direct Expense'!N62</f>
        <v>0</v>
      </c>
      <c r="O89" s="46">
        <f>'Direct Expense'!O62</f>
        <v>0</v>
      </c>
      <c r="P89" s="47">
        <f>SUM(D89:O89)</f>
        <v>0</v>
      </c>
    </row>
    <row r="90" spans="1:16">
      <c r="A90" s="52"/>
      <c r="B90" s="248" t="s">
        <v>137</v>
      </c>
      <c r="C90" s="245"/>
      <c r="D90" s="44">
        <f t="shared" ref="D90:O90" si="16">SUM(D88:D89)</f>
        <v>0</v>
      </c>
      <c r="E90" s="44">
        <f t="shared" si="16"/>
        <v>0</v>
      </c>
      <c r="F90" s="44">
        <f t="shared" si="16"/>
        <v>0</v>
      </c>
      <c r="G90" s="44">
        <f t="shared" si="16"/>
        <v>0</v>
      </c>
      <c r="H90" s="44">
        <f t="shared" si="16"/>
        <v>0</v>
      </c>
      <c r="I90" s="44">
        <f t="shared" si="16"/>
        <v>0</v>
      </c>
      <c r="J90" s="44">
        <f t="shared" si="16"/>
        <v>0</v>
      </c>
      <c r="K90" s="44">
        <f t="shared" si="16"/>
        <v>0</v>
      </c>
      <c r="L90" s="44">
        <f t="shared" si="16"/>
        <v>0</v>
      </c>
      <c r="M90" s="44">
        <f t="shared" si="16"/>
        <v>0</v>
      </c>
      <c r="N90" s="44">
        <f t="shared" si="16"/>
        <v>0</v>
      </c>
      <c r="O90" s="44">
        <f t="shared" si="16"/>
        <v>0</v>
      </c>
      <c r="P90" s="49">
        <f>SUM(D90:O90)</f>
        <v>0</v>
      </c>
    </row>
    <row r="91" spans="1:16">
      <c r="A91" s="250"/>
      <c r="B91" s="244" t="s">
        <v>420</v>
      </c>
      <c r="C91" s="251"/>
      <c r="D91" s="56">
        <f t="shared" ref="D91:P91" si="17">D87+D90</f>
        <v>381394.10235260031</v>
      </c>
      <c r="E91" s="56">
        <f t="shared" si="17"/>
        <v>371903.5500453086</v>
      </c>
      <c r="F91" s="56">
        <f t="shared" si="17"/>
        <v>372275.94683633186</v>
      </c>
      <c r="G91" s="56">
        <f t="shared" si="17"/>
        <v>372651.442063094</v>
      </c>
      <c r="H91" s="56">
        <f t="shared" si="17"/>
        <v>376565.64785451052</v>
      </c>
      <c r="I91" s="56">
        <f t="shared" si="17"/>
        <v>373732.55504425004</v>
      </c>
      <c r="J91" s="56">
        <f t="shared" si="17"/>
        <v>373759.47842069215</v>
      </c>
      <c r="K91" s="56">
        <f t="shared" si="17"/>
        <v>377465.32738802518</v>
      </c>
      <c r="L91" s="56">
        <f t="shared" si="17"/>
        <v>373739.57740749395</v>
      </c>
      <c r="M91" s="56">
        <f t="shared" si="17"/>
        <v>373752.95759037056</v>
      </c>
      <c r="N91" s="56">
        <f t="shared" si="17"/>
        <v>373738.28384163603</v>
      </c>
      <c r="O91" s="56">
        <f t="shared" si="17"/>
        <v>373739.15355352301</v>
      </c>
      <c r="P91" s="56">
        <f t="shared" si="17"/>
        <v>4494718.0223978348</v>
      </c>
    </row>
    <row r="93" spans="1:16" s="256" customFormat="1" ht="15.6">
      <c r="A93" s="252"/>
      <c r="B93" s="253" t="s">
        <v>421</v>
      </c>
      <c r="C93" s="254"/>
      <c r="D93" s="255">
        <f t="shared" ref="D93:P93" si="18">D32-D91</f>
        <v>-381394.10235260031</v>
      </c>
      <c r="E93" s="255">
        <f t="shared" si="18"/>
        <v>-371903.5500453086</v>
      </c>
      <c r="F93" s="255">
        <f t="shared" si="18"/>
        <v>-372275.94683633186</v>
      </c>
      <c r="G93" s="255">
        <f t="shared" si="18"/>
        <v>-372651.442063094</v>
      </c>
      <c r="H93" s="255">
        <f t="shared" si="18"/>
        <v>-376565.64785451052</v>
      </c>
      <c r="I93" s="255">
        <f t="shared" si="18"/>
        <v>-373732.55504425004</v>
      </c>
      <c r="J93" s="255">
        <f t="shared" si="18"/>
        <v>-373759.47842069215</v>
      </c>
      <c r="K93" s="255">
        <f t="shared" si="18"/>
        <v>-377465.32738802518</v>
      </c>
      <c r="L93" s="255">
        <f t="shared" si="18"/>
        <v>-373739.57740749395</v>
      </c>
      <c r="M93" s="255">
        <f t="shared" si="18"/>
        <v>-373752.95759037056</v>
      </c>
      <c r="N93" s="255">
        <f t="shared" si="18"/>
        <v>-373738.28384163603</v>
      </c>
      <c r="O93" s="255">
        <f t="shared" si="18"/>
        <v>-373739.15355352301</v>
      </c>
      <c r="P93" s="255">
        <f t="shared" si="18"/>
        <v>-4494718.0223978348</v>
      </c>
    </row>
    <row r="97" spans="1:16">
      <c r="A97" s="215" t="str">
        <f ca="1">CELL("filename")</f>
        <v>O:\Enron Net Works\Accounting\2001 Plan\Deal Bench\[Deal Bench 2001 Plan.xls]Cash and Non-Cash</v>
      </c>
    </row>
    <row r="98" spans="1:16">
      <c r="A98" s="392">
        <f ca="1">NOW()</f>
        <v>36838.463314351851</v>
      </c>
      <c r="B98" s="392"/>
    </row>
    <row r="99" spans="1:16">
      <c r="B99" s="200" t="s">
        <v>614</v>
      </c>
      <c r="D99" s="390">
        <f>D32-D84</f>
        <v>-333703.38249070453</v>
      </c>
      <c r="E99" s="390">
        <f t="shared" ref="E99:O99" si="19">E32-E84</f>
        <v>-349205.21131014894</v>
      </c>
      <c r="F99" s="390">
        <f t="shared" si="19"/>
        <v>-345705.21131014894</v>
      </c>
      <c r="G99" s="390">
        <f t="shared" si="19"/>
        <v>-345705.21131014894</v>
      </c>
      <c r="H99" s="390">
        <f t="shared" si="19"/>
        <v>-349205.21131014894</v>
      </c>
      <c r="I99" s="390">
        <f t="shared" si="19"/>
        <v>-345705.21131014894</v>
      </c>
      <c r="J99" s="390">
        <f t="shared" si="19"/>
        <v>-345705.21131014894</v>
      </c>
      <c r="K99" s="390">
        <f t="shared" si="19"/>
        <v>-349205.21131014894</v>
      </c>
      <c r="L99" s="390">
        <f t="shared" si="19"/>
        <v>-345705.21131014894</v>
      </c>
      <c r="M99" s="390">
        <f t="shared" si="19"/>
        <v>-345705.21131014894</v>
      </c>
      <c r="N99" s="390">
        <f t="shared" si="19"/>
        <v>-345705.21131014894</v>
      </c>
      <c r="O99" s="390">
        <f t="shared" si="19"/>
        <v>-345705.21131014894</v>
      </c>
      <c r="P99" s="390">
        <f>SUM(D99:O99)</f>
        <v>-4146960.7069023438</v>
      </c>
    </row>
    <row r="100" spans="1:16">
      <c r="B100" s="84">
        <v>-400000</v>
      </c>
      <c r="D100" s="84">
        <f>(B100+D99)*0.065</f>
        <v>-47690.719861895799</v>
      </c>
      <c r="E100" s="84">
        <f t="shared" ref="E100:O100" si="20">(C100+E99)*0.065</f>
        <v>-22698.338735159683</v>
      </c>
      <c r="F100" s="84">
        <f t="shared" si="20"/>
        <v>-25570.735526182907</v>
      </c>
      <c r="G100" s="84">
        <f t="shared" si="20"/>
        <v>-23946.230752945059</v>
      </c>
      <c r="H100" s="84">
        <f t="shared" si="20"/>
        <v>-24360.436544361572</v>
      </c>
      <c r="I100" s="84">
        <f t="shared" si="20"/>
        <v>-24027.343734101112</v>
      </c>
      <c r="J100" s="84">
        <f t="shared" si="20"/>
        <v>-24054.267110543184</v>
      </c>
      <c r="K100" s="84">
        <f t="shared" si="20"/>
        <v>-24260.116077876253</v>
      </c>
      <c r="L100" s="84">
        <f t="shared" si="20"/>
        <v>-24034.366097344991</v>
      </c>
      <c r="M100" s="84">
        <f t="shared" si="20"/>
        <v>-24047.746280221636</v>
      </c>
      <c r="N100" s="84">
        <f t="shared" si="20"/>
        <v>-24033.072531487109</v>
      </c>
      <c r="O100" s="84">
        <f t="shared" si="20"/>
        <v>-24033.942243374087</v>
      </c>
      <c r="P100" s="390">
        <f>SUM(D100:O100)</f>
        <v>-312757.31549549336</v>
      </c>
    </row>
  </sheetData>
  <mergeCells count="2">
    <mergeCell ref="A5:B5"/>
    <mergeCell ref="A98:B98"/>
  </mergeCells>
  <pageMargins left="0.5" right="0.5" top="0.25" bottom="0.25" header="0.5" footer="0.5"/>
  <pageSetup scale="4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6</vt:i4>
      </vt:variant>
    </vt:vector>
  </HeadingPairs>
  <TitlesOfParts>
    <vt:vector size="24" baseType="lpstr">
      <vt:lpstr>Assumptions</vt:lpstr>
      <vt:lpstr>Summary</vt:lpstr>
      <vt:lpstr>Headcount</vt:lpstr>
      <vt:lpstr>Direct Expense</vt:lpstr>
      <vt:lpstr>Margin</vt:lpstr>
      <vt:lpstr>Assumption</vt:lpstr>
      <vt:lpstr>Capital</vt:lpstr>
      <vt:lpstr>Income Statement</vt:lpstr>
      <vt:lpstr>Cash and Non-Cash</vt:lpstr>
      <vt:lpstr>INDIRECT</vt:lpstr>
      <vt:lpstr>DIRECT</vt:lpstr>
      <vt:lpstr>Schedule A - Capital Exp Detail</vt:lpstr>
      <vt:lpstr>Schedule B - Investing</vt:lpstr>
      <vt:lpstr>Schedule C - Asset Sales</vt:lpstr>
      <vt:lpstr>Schedule D - PRM Detail</vt:lpstr>
      <vt:lpstr>Schedule E - Other</vt:lpstr>
      <vt:lpstr>Capital Charge</vt:lpstr>
      <vt:lpstr>Upload</vt:lpstr>
      <vt:lpstr>Assumption!Print_Area</vt:lpstr>
      <vt:lpstr>DIRECT!Print_Area</vt:lpstr>
      <vt:lpstr>'Direct Expense'!Print_Area</vt:lpstr>
      <vt:lpstr>Headcount!Print_Area</vt:lpstr>
      <vt:lpstr>INDIRECT!Print_Area</vt:lpstr>
      <vt:lpstr>Margin!Print_Area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2000-11-03T18:04:03Z</cp:lastPrinted>
  <dcterms:created xsi:type="dcterms:W3CDTF">1998-07-08T19:32:38Z</dcterms:created>
  <dcterms:modified xsi:type="dcterms:W3CDTF">2023-09-10T11:18:24Z</dcterms:modified>
</cp:coreProperties>
</file>