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412"/>
  </bookViews>
  <sheets>
    <sheet name="Consolidated Power Trad" sheetId="10" r:id="rId1"/>
    <sheet name="Midwest Power Trading" sheetId="1" r:id="rId2"/>
    <sheet name="Northeast Power Trading" sheetId="6" r:id="rId3"/>
    <sheet name="Southeast Power Trading" sheetId="5" r:id="rId4"/>
    <sheet name="Ercot Trading" sheetId="4" r:id="rId5"/>
    <sheet name="Options" sheetId="3" r:id="rId6"/>
    <sheet name="Services Desk" sheetId="7" r:id="rId7"/>
    <sheet name="Fundamentals" sheetId="2" r:id="rId8"/>
    <sheet name="Genco Control Area" sheetId="8" r:id="rId9"/>
    <sheet name="Management Book" sheetId="9" r:id="rId10"/>
    <sheet name="TAC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0">'Consolidated Power Trad'!$B:$B</definedName>
  </definedNames>
  <calcPr calcId="92512" fullCalcOnLoad="1"/>
</workbook>
</file>

<file path=xl/calcChain.xml><?xml version="1.0" encoding="utf-8"?>
<calcChain xmlns="http://schemas.openxmlformats.org/spreadsheetml/2006/main">
  <c r="C12" i="10" l="1"/>
  <c r="D12" i="10"/>
  <c r="E12" i="10"/>
  <c r="G12" i="10"/>
  <c r="H12" i="10"/>
  <c r="I12" i="10"/>
  <c r="K12" i="10"/>
  <c r="L12" i="10"/>
  <c r="M12" i="10"/>
  <c r="O12" i="10"/>
  <c r="P12" i="10"/>
  <c r="Q12" i="10"/>
  <c r="S12" i="10"/>
  <c r="T12" i="10"/>
  <c r="U12" i="10"/>
  <c r="X12" i="10"/>
  <c r="Y12" i="10"/>
  <c r="AB12" i="10"/>
  <c r="AC12" i="10"/>
  <c r="AE12" i="10"/>
  <c r="AF12" i="10"/>
  <c r="AG12" i="10"/>
  <c r="AI12" i="10"/>
  <c r="AJ12" i="10"/>
  <c r="AK12" i="10"/>
  <c r="AN12" i="10"/>
  <c r="AU12" i="10"/>
  <c r="AV12" i="10"/>
  <c r="AW12" i="10"/>
  <c r="AZ12" i="10"/>
  <c r="BA12" i="10"/>
  <c r="C13" i="10"/>
  <c r="D13" i="10"/>
  <c r="E13" i="10"/>
  <c r="G13" i="10"/>
  <c r="H13" i="10"/>
  <c r="I13" i="10"/>
  <c r="L13" i="10"/>
  <c r="M13" i="10"/>
  <c r="P13" i="10"/>
  <c r="Q13" i="10"/>
  <c r="T13" i="10"/>
  <c r="U13" i="10"/>
  <c r="X13" i="10"/>
  <c r="Y13" i="10"/>
  <c r="AB13" i="10"/>
  <c r="AC13" i="10"/>
  <c r="AF13" i="10"/>
  <c r="AG13" i="10"/>
  <c r="AI13" i="10"/>
  <c r="AJ13" i="10"/>
  <c r="AK13" i="10"/>
  <c r="AN13" i="10"/>
  <c r="AU13" i="10"/>
  <c r="AV13" i="10"/>
  <c r="AW13" i="10"/>
  <c r="AY13" i="10"/>
  <c r="AZ13" i="10"/>
  <c r="BA13" i="10"/>
  <c r="C14" i="10"/>
  <c r="D14" i="10"/>
  <c r="E14" i="10"/>
  <c r="G14" i="10"/>
  <c r="H14" i="10"/>
  <c r="I14" i="10"/>
  <c r="L14" i="10"/>
  <c r="M14" i="10"/>
  <c r="P14" i="10"/>
  <c r="Q14" i="10"/>
  <c r="T14" i="10"/>
  <c r="U14" i="10"/>
  <c r="X14" i="10"/>
  <c r="Y14" i="10"/>
  <c r="AB14" i="10"/>
  <c r="AC14" i="10"/>
  <c r="AF14" i="10"/>
  <c r="AG14" i="10"/>
  <c r="AI14" i="10"/>
  <c r="AJ14" i="10"/>
  <c r="AK14" i="10"/>
  <c r="AN14" i="10"/>
  <c r="AU14" i="10"/>
  <c r="AV14" i="10"/>
  <c r="AW14" i="10"/>
  <c r="AZ14" i="10"/>
  <c r="BA14" i="10"/>
  <c r="C15" i="10"/>
  <c r="D15" i="10"/>
  <c r="E15" i="10"/>
  <c r="H15" i="10"/>
  <c r="I15" i="10"/>
  <c r="L15" i="10"/>
  <c r="M15" i="10"/>
  <c r="P15" i="10"/>
  <c r="Q15" i="10"/>
  <c r="S15" i="10"/>
  <c r="T15" i="10"/>
  <c r="U15" i="10"/>
  <c r="X15" i="10"/>
  <c r="Y15" i="10"/>
  <c r="AB15" i="10"/>
  <c r="AC15" i="10"/>
  <c r="AF15" i="10"/>
  <c r="AG15" i="10"/>
  <c r="AJ15" i="10"/>
  <c r="AK15" i="10"/>
  <c r="AN15" i="10"/>
  <c r="AU15" i="10"/>
  <c r="AV15" i="10"/>
  <c r="AW15" i="10"/>
  <c r="AY15" i="10"/>
  <c r="AZ15" i="10"/>
  <c r="BA15" i="10"/>
  <c r="C16" i="10"/>
  <c r="D16" i="10"/>
  <c r="E16" i="10"/>
  <c r="G16" i="10"/>
  <c r="H16" i="10"/>
  <c r="I16" i="10"/>
  <c r="K16" i="10"/>
  <c r="L16" i="10"/>
  <c r="M16" i="10"/>
  <c r="O16" i="10"/>
  <c r="P16" i="10"/>
  <c r="Q16" i="10"/>
  <c r="S16" i="10"/>
  <c r="T16" i="10"/>
  <c r="U16" i="10"/>
  <c r="X16" i="10"/>
  <c r="Y16" i="10"/>
  <c r="AB16" i="10"/>
  <c r="AC16" i="10"/>
  <c r="AE16" i="10"/>
  <c r="AF16" i="10"/>
  <c r="AG16" i="10"/>
  <c r="AI16" i="10"/>
  <c r="AJ16" i="10"/>
  <c r="AK16" i="10"/>
  <c r="AM16" i="10"/>
  <c r="AN16" i="10"/>
  <c r="AU16" i="10"/>
  <c r="AV16" i="10"/>
  <c r="AW16" i="10"/>
  <c r="AY16" i="10"/>
  <c r="AZ16" i="10"/>
  <c r="BA16" i="10"/>
  <c r="C17" i="10"/>
  <c r="D17" i="10"/>
  <c r="E17" i="10"/>
  <c r="G17" i="10"/>
  <c r="H17" i="10"/>
  <c r="I17" i="10"/>
  <c r="K17" i="10"/>
  <c r="L17" i="10"/>
  <c r="M17" i="10"/>
  <c r="P17" i="10"/>
  <c r="Q17" i="10"/>
  <c r="T17" i="10"/>
  <c r="U17" i="10"/>
  <c r="X17" i="10"/>
  <c r="Y17" i="10"/>
  <c r="AB17" i="10"/>
  <c r="AC17" i="10"/>
  <c r="AF17" i="10"/>
  <c r="AG17" i="10"/>
  <c r="AJ17" i="10"/>
  <c r="AK17" i="10"/>
  <c r="AU17" i="10"/>
  <c r="AV17" i="10"/>
  <c r="AW17" i="10"/>
  <c r="C18" i="10"/>
  <c r="D18" i="10"/>
  <c r="E18" i="10"/>
  <c r="H18" i="10"/>
  <c r="I18" i="10"/>
  <c r="L18" i="10"/>
  <c r="M18" i="10"/>
  <c r="P18" i="10"/>
  <c r="Q18" i="10"/>
  <c r="T18" i="10"/>
  <c r="U18" i="10"/>
  <c r="X18" i="10"/>
  <c r="Y18" i="10"/>
  <c r="AB18" i="10"/>
  <c r="AC18" i="10"/>
  <c r="AF18" i="10"/>
  <c r="AG18" i="10"/>
  <c r="AJ18" i="10"/>
  <c r="AK18" i="10"/>
  <c r="AU18" i="10"/>
  <c r="AV18" i="10"/>
  <c r="AW18" i="10"/>
  <c r="C19" i="10"/>
  <c r="D19" i="10"/>
  <c r="E19" i="10"/>
  <c r="H19" i="10"/>
  <c r="I19" i="10"/>
  <c r="L19" i="10"/>
  <c r="M19" i="10"/>
  <c r="P19" i="10"/>
  <c r="Q19" i="10"/>
  <c r="T19" i="10"/>
  <c r="U19" i="10"/>
  <c r="X19" i="10"/>
  <c r="Y19" i="10"/>
  <c r="AB19" i="10"/>
  <c r="AC19" i="10"/>
  <c r="AF19" i="10"/>
  <c r="AG19" i="10"/>
  <c r="AI19" i="10"/>
  <c r="AJ19" i="10"/>
  <c r="AK19" i="10"/>
  <c r="AN19" i="10"/>
  <c r="AV19" i="10"/>
  <c r="C20" i="10"/>
  <c r="D20" i="10"/>
  <c r="E20" i="10"/>
  <c r="H20" i="10"/>
  <c r="I20" i="10"/>
  <c r="L20" i="10"/>
  <c r="M20" i="10"/>
  <c r="P20" i="10"/>
  <c r="Q20" i="10"/>
  <c r="T20" i="10"/>
  <c r="U20" i="10"/>
  <c r="X20" i="10"/>
  <c r="Y20" i="10"/>
  <c r="AB20" i="10"/>
  <c r="AC20" i="10"/>
  <c r="AF20" i="10"/>
  <c r="AG20" i="10"/>
  <c r="AJ20" i="10"/>
  <c r="AK20" i="10"/>
  <c r="AW20" i="10"/>
  <c r="C21" i="10"/>
  <c r="D21" i="10"/>
  <c r="E21" i="10"/>
  <c r="G21" i="10"/>
  <c r="H21" i="10"/>
  <c r="I21" i="10"/>
  <c r="K21" i="10"/>
  <c r="L21" i="10"/>
  <c r="M21" i="10"/>
  <c r="P21" i="10"/>
  <c r="Q21" i="10"/>
  <c r="T21" i="10"/>
  <c r="U21" i="10"/>
  <c r="X21" i="10"/>
  <c r="Y21" i="10"/>
  <c r="AB21" i="10"/>
  <c r="AC21" i="10"/>
  <c r="AF21" i="10"/>
  <c r="AG21" i="10"/>
  <c r="AJ21" i="10"/>
  <c r="AK21" i="10"/>
  <c r="AU21" i="10"/>
  <c r="AV21" i="10"/>
  <c r="AW21" i="10"/>
  <c r="AY21" i="10"/>
  <c r="AZ21" i="10"/>
  <c r="BA21" i="10"/>
  <c r="C22" i="10"/>
  <c r="D22" i="10"/>
  <c r="E22" i="10"/>
  <c r="H22" i="10"/>
  <c r="I22" i="10"/>
  <c r="L22" i="10"/>
  <c r="M22" i="10"/>
  <c r="P22" i="10"/>
  <c r="Q22" i="10"/>
  <c r="T22" i="10"/>
  <c r="U22" i="10"/>
  <c r="X22" i="10"/>
  <c r="Y22" i="10"/>
  <c r="AB22" i="10"/>
  <c r="AC22" i="10"/>
  <c r="AF22" i="10"/>
  <c r="AG22" i="10"/>
  <c r="AJ22" i="10"/>
  <c r="AK22" i="10"/>
  <c r="AV22" i="10"/>
  <c r="AW22" i="10"/>
  <c r="AZ22" i="10"/>
  <c r="BA22" i="10"/>
  <c r="C23" i="10"/>
  <c r="D23" i="10"/>
  <c r="E23" i="10"/>
  <c r="H23" i="10"/>
  <c r="I23" i="10"/>
  <c r="L23" i="10"/>
  <c r="M23" i="10"/>
  <c r="P23" i="10"/>
  <c r="Q23" i="10"/>
  <c r="T23" i="10"/>
  <c r="U23" i="10"/>
  <c r="X23" i="10"/>
  <c r="Y23" i="10"/>
  <c r="AB23" i="10"/>
  <c r="AC23" i="10"/>
  <c r="AF23" i="10"/>
  <c r="AG23" i="10"/>
  <c r="AJ23" i="10"/>
  <c r="AK23" i="10"/>
  <c r="C24" i="10"/>
  <c r="D24" i="10"/>
  <c r="E24" i="10"/>
  <c r="G24" i="10"/>
  <c r="H24" i="10"/>
  <c r="I24" i="10"/>
  <c r="L24" i="10"/>
  <c r="M24" i="10"/>
  <c r="P24" i="10"/>
  <c r="Q24" i="10"/>
  <c r="T24" i="10"/>
  <c r="U24" i="10"/>
  <c r="X24" i="10"/>
  <c r="Y24" i="10"/>
  <c r="AB24" i="10"/>
  <c r="AC24" i="10"/>
  <c r="AF24" i="10"/>
  <c r="AG24" i="10"/>
  <c r="AJ24" i="10"/>
  <c r="AK24" i="10"/>
  <c r="AO24" i="10"/>
  <c r="AS24" i="10"/>
  <c r="AV24" i="10"/>
  <c r="AW24" i="10"/>
  <c r="C25" i="10"/>
  <c r="D25" i="10"/>
  <c r="E25" i="10"/>
  <c r="G25" i="10"/>
  <c r="H25" i="10"/>
  <c r="I25" i="10"/>
  <c r="K25" i="10"/>
  <c r="L25" i="10"/>
  <c r="M25" i="10"/>
  <c r="O25" i="10"/>
  <c r="P25" i="10"/>
  <c r="Q25" i="10"/>
  <c r="S25" i="10"/>
  <c r="T25" i="10"/>
  <c r="U25" i="10"/>
  <c r="W25" i="10"/>
  <c r="X25" i="10"/>
  <c r="Y25" i="10"/>
  <c r="AA25" i="10"/>
  <c r="AB25" i="10"/>
  <c r="AC25" i="10"/>
  <c r="AE25" i="10"/>
  <c r="AF25" i="10"/>
  <c r="AG25" i="10"/>
  <c r="AI25" i="10"/>
  <c r="AJ25" i="10"/>
  <c r="AK25" i="10"/>
  <c r="AM25" i="10"/>
  <c r="AN25" i="10"/>
  <c r="AO25" i="10"/>
  <c r="AQ25" i="10"/>
  <c r="AR25" i="10"/>
  <c r="AS25" i="10"/>
  <c r="AU25" i="10"/>
  <c r="AV25" i="10"/>
  <c r="AW25" i="10"/>
  <c r="AY25" i="10"/>
  <c r="AZ25" i="10"/>
  <c r="BA25" i="10"/>
  <c r="C30" i="10"/>
  <c r="D30" i="10"/>
  <c r="E30" i="10"/>
  <c r="H30" i="10"/>
  <c r="I30" i="10"/>
  <c r="L30" i="10"/>
  <c r="M30" i="10"/>
  <c r="P30" i="10"/>
  <c r="Q30" i="10"/>
  <c r="T30" i="10"/>
  <c r="U30" i="10"/>
  <c r="X30" i="10"/>
  <c r="Y30" i="10"/>
  <c r="AB30" i="10"/>
  <c r="AC30" i="10"/>
  <c r="AF30" i="10"/>
  <c r="AG30" i="10"/>
  <c r="AJ30" i="10"/>
  <c r="AK30" i="10"/>
  <c r="AV30" i="10"/>
  <c r="AW30" i="10"/>
  <c r="C31" i="10"/>
  <c r="D31" i="10"/>
  <c r="E31" i="10"/>
  <c r="H31" i="10"/>
  <c r="I31" i="10"/>
  <c r="L31" i="10"/>
  <c r="M31" i="10"/>
  <c r="P31" i="10"/>
  <c r="Q31" i="10"/>
  <c r="T31" i="10"/>
  <c r="U31" i="10"/>
  <c r="X31" i="10"/>
  <c r="Y31" i="10"/>
  <c r="AB31" i="10"/>
  <c r="AC31" i="10"/>
  <c r="AF31" i="10"/>
  <c r="AG31" i="10"/>
  <c r="AJ31" i="10"/>
  <c r="AK31" i="10"/>
  <c r="AV31" i="10"/>
  <c r="AW31" i="10"/>
  <c r="C32" i="10"/>
  <c r="D32" i="10"/>
  <c r="E32" i="10"/>
  <c r="H32" i="10"/>
  <c r="I32" i="10"/>
  <c r="L32" i="10"/>
  <c r="M32" i="10"/>
  <c r="P32" i="10"/>
  <c r="Q32" i="10"/>
  <c r="T32" i="10"/>
  <c r="U32" i="10"/>
  <c r="X32" i="10"/>
  <c r="Y32" i="10"/>
  <c r="AB32" i="10"/>
  <c r="AC32" i="10"/>
  <c r="AF32" i="10"/>
  <c r="AG32" i="10"/>
  <c r="AJ32" i="10"/>
  <c r="AK32" i="10"/>
  <c r="AV32" i="10"/>
  <c r="AW32" i="10"/>
  <c r="C33" i="10"/>
  <c r="D33" i="10"/>
  <c r="E33" i="10"/>
  <c r="H33" i="10"/>
  <c r="I33" i="10"/>
  <c r="L33" i="10"/>
  <c r="M33" i="10"/>
  <c r="P33" i="10"/>
  <c r="Q33" i="10"/>
  <c r="T33" i="10"/>
  <c r="U33" i="10"/>
  <c r="X33" i="10"/>
  <c r="Y33" i="10"/>
  <c r="AB33" i="10"/>
  <c r="AC33" i="10"/>
  <c r="AF33" i="10"/>
  <c r="AG33" i="10"/>
  <c r="AJ33" i="10"/>
  <c r="AK33" i="10"/>
  <c r="AV33" i="10"/>
  <c r="AW33" i="10"/>
  <c r="C34" i="10"/>
  <c r="D34" i="10"/>
  <c r="E34" i="10"/>
  <c r="H34" i="10"/>
  <c r="I34" i="10"/>
  <c r="L34" i="10"/>
  <c r="M34" i="10"/>
  <c r="P34" i="10"/>
  <c r="Q34" i="10"/>
  <c r="T34" i="10"/>
  <c r="U34" i="10"/>
  <c r="X34" i="10"/>
  <c r="Y34" i="10"/>
  <c r="AB34" i="10"/>
  <c r="AC34" i="10"/>
  <c r="AF34" i="10"/>
  <c r="AG34" i="10"/>
  <c r="AJ34" i="10"/>
  <c r="AK34" i="10"/>
  <c r="AV34" i="10"/>
  <c r="AW34" i="10"/>
  <c r="C36" i="10"/>
  <c r="D36" i="10"/>
  <c r="E36" i="10"/>
  <c r="G36" i="10"/>
  <c r="H36" i="10"/>
  <c r="I36" i="10"/>
  <c r="K36" i="10"/>
  <c r="L36" i="10"/>
  <c r="M36" i="10"/>
  <c r="O36" i="10"/>
  <c r="P36" i="10"/>
  <c r="Q36" i="10"/>
  <c r="S36" i="10"/>
  <c r="T36" i="10"/>
  <c r="U36" i="10"/>
  <c r="W36" i="10"/>
  <c r="X36" i="10"/>
  <c r="Y36" i="10"/>
  <c r="AA36" i="10"/>
  <c r="AB36" i="10"/>
  <c r="AC36" i="10"/>
  <c r="AE36" i="10"/>
  <c r="AF36" i="10"/>
  <c r="AG36" i="10"/>
  <c r="AI36" i="10"/>
  <c r="AJ36" i="10"/>
  <c r="AK36" i="10"/>
  <c r="AM36" i="10"/>
  <c r="AN36" i="10"/>
  <c r="AO36" i="10"/>
  <c r="AQ36" i="10"/>
  <c r="AR36" i="10"/>
  <c r="AS36" i="10"/>
  <c r="AU36" i="10"/>
  <c r="AV36" i="10"/>
  <c r="AW36" i="10"/>
  <c r="AY36" i="10"/>
  <c r="AZ36" i="10"/>
  <c r="BA36" i="10"/>
  <c r="H6" i="4"/>
  <c r="H7" i="4"/>
  <c r="H8" i="4"/>
  <c r="H9" i="4"/>
  <c r="H10" i="4"/>
  <c r="H11" i="4"/>
  <c r="D13" i="4"/>
  <c r="F13" i="4"/>
  <c r="H13" i="4"/>
  <c r="H15" i="4"/>
  <c r="D17" i="4"/>
  <c r="F17" i="4"/>
  <c r="H17" i="4"/>
  <c r="D19" i="4"/>
  <c r="F19" i="4"/>
  <c r="H19" i="4"/>
  <c r="D20" i="4"/>
  <c r="F20" i="4"/>
  <c r="H20" i="4"/>
  <c r="D21" i="4"/>
  <c r="F21" i="4"/>
  <c r="H21" i="4"/>
  <c r="F22" i="4"/>
  <c r="H22" i="4"/>
  <c r="D23" i="4"/>
  <c r="F23" i="4"/>
  <c r="H23" i="4"/>
  <c r="D24" i="4"/>
  <c r="F24" i="4"/>
  <c r="H24" i="4"/>
  <c r="H25" i="4"/>
  <c r="H26" i="4"/>
  <c r="F27" i="4"/>
  <c r="H27" i="4"/>
  <c r="D28" i="4"/>
  <c r="F28" i="4"/>
  <c r="H28" i="4"/>
  <c r="H29" i="4"/>
  <c r="H30" i="4"/>
  <c r="H31" i="4"/>
  <c r="D33" i="4"/>
  <c r="F33" i="4"/>
  <c r="H33" i="4"/>
  <c r="D37" i="4"/>
  <c r="F37" i="4"/>
  <c r="H37" i="4"/>
  <c r="H41" i="4"/>
  <c r="H42" i="4"/>
  <c r="H43" i="4"/>
  <c r="H44" i="4"/>
  <c r="H45" i="4"/>
  <c r="D47" i="4"/>
  <c r="F47" i="4"/>
  <c r="H47" i="4"/>
  <c r="D50" i="4"/>
  <c r="D51" i="4"/>
  <c r="H6" i="2"/>
  <c r="H7" i="2"/>
  <c r="H8" i="2"/>
  <c r="H9" i="2"/>
  <c r="H10" i="2"/>
  <c r="H11" i="2"/>
  <c r="D13" i="2"/>
  <c r="F13" i="2"/>
  <c r="H13" i="2"/>
  <c r="H15" i="2"/>
  <c r="D17" i="2"/>
  <c r="F17" i="2"/>
  <c r="H17" i="2"/>
  <c r="D19" i="2"/>
  <c r="F19" i="2"/>
  <c r="H19" i="2"/>
  <c r="D20" i="2"/>
  <c r="F20" i="2"/>
  <c r="H20" i="2"/>
  <c r="D21" i="2"/>
  <c r="F21" i="2"/>
  <c r="H21" i="2"/>
  <c r="D22" i="2"/>
  <c r="F22" i="2"/>
  <c r="H22" i="2"/>
  <c r="D23" i="2"/>
  <c r="F23" i="2"/>
  <c r="H23" i="2"/>
  <c r="D24" i="2"/>
  <c r="F24" i="2"/>
  <c r="H24" i="2"/>
  <c r="H25" i="2"/>
  <c r="H26" i="2"/>
  <c r="F27" i="2"/>
  <c r="H27" i="2"/>
  <c r="D28" i="2"/>
  <c r="F28" i="2"/>
  <c r="H28" i="2"/>
  <c r="H29" i="2"/>
  <c r="H30" i="2"/>
  <c r="H31" i="2"/>
  <c r="D33" i="2"/>
  <c r="F33" i="2"/>
  <c r="H33" i="2"/>
  <c r="D37" i="2"/>
  <c r="F37" i="2"/>
  <c r="H37" i="2"/>
  <c r="H41" i="2"/>
  <c r="H42" i="2"/>
  <c r="H43" i="2"/>
  <c r="H44" i="2"/>
  <c r="H45" i="2"/>
  <c r="D47" i="2"/>
  <c r="F47" i="2"/>
  <c r="H47" i="2"/>
  <c r="D50" i="2"/>
  <c r="D51" i="2"/>
  <c r="H6" i="8"/>
  <c r="H7" i="8"/>
  <c r="H8" i="8"/>
  <c r="H9" i="8"/>
  <c r="H10" i="8"/>
  <c r="H11" i="8"/>
  <c r="D13" i="8"/>
  <c r="F13" i="8"/>
  <c r="H13" i="8"/>
  <c r="H15" i="8"/>
  <c r="D17" i="8"/>
  <c r="F17" i="8"/>
  <c r="H17" i="8"/>
  <c r="D19" i="8"/>
  <c r="F19" i="8"/>
  <c r="H19" i="8"/>
  <c r="F20" i="8"/>
  <c r="H20" i="8"/>
  <c r="F21" i="8"/>
  <c r="H21" i="8"/>
  <c r="D22" i="8"/>
  <c r="F22" i="8"/>
  <c r="H22" i="8"/>
  <c r="D23" i="8"/>
  <c r="F23" i="8"/>
  <c r="H23" i="8"/>
  <c r="F24" i="8"/>
  <c r="H24" i="8"/>
  <c r="H25" i="8"/>
  <c r="D26" i="8"/>
  <c r="H26" i="8"/>
  <c r="F27" i="8"/>
  <c r="H27" i="8"/>
  <c r="D28" i="8"/>
  <c r="F28" i="8"/>
  <c r="H28" i="8"/>
  <c r="H29" i="8"/>
  <c r="H30" i="8"/>
  <c r="D31" i="8"/>
  <c r="F31" i="8"/>
  <c r="H31" i="8"/>
  <c r="D33" i="8"/>
  <c r="F33" i="8"/>
  <c r="H33" i="8"/>
  <c r="D37" i="8"/>
  <c r="F37" i="8"/>
  <c r="H37" i="8"/>
  <c r="H41" i="8"/>
  <c r="H42" i="8"/>
  <c r="H43" i="8"/>
  <c r="H44" i="8"/>
  <c r="H45" i="8"/>
  <c r="D47" i="8"/>
  <c r="F47" i="8"/>
  <c r="H47" i="8"/>
  <c r="D50" i="8"/>
  <c r="D51" i="8"/>
  <c r="H6" i="9"/>
  <c r="H7" i="9"/>
  <c r="H8" i="9"/>
  <c r="H9" i="9"/>
  <c r="H10" i="9"/>
  <c r="H11" i="9"/>
  <c r="D13" i="9"/>
  <c r="F13" i="9"/>
  <c r="H13" i="9"/>
  <c r="H15" i="9"/>
  <c r="D17" i="9"/>
  <c r="F17" i="9"/>
  <c r="H17" i="9"/>
  <c r="D19" i="9"/>
  <c r="F19" i="9"/>
  <c r="H19" i="9"/>
  <c r="D20" i="9"/>
  <c r="F20" i="9"/>
  <c r="H20" i="9"/>
  <c r="D21" i="9"/>
  <c r="F21" i="9"/>
  <c r="H21" i="9"/>
  <c r="D22" i="9"/>
  <c r="F22" i="9"/>
  <c r="H22" i="9"/>
  <c r="D23" i="9"/>
  <c r="F23" i="9"/>
  <c r="H23" i="9"/>
  <c r="D24" i="9"/>
  <c r="F24" i="9"/>
  <c r="H24" i="9"/>
  <c r="D25" i="9"/>
  <c r="F25" i="9"/>
  <c r="H25" i="9"/>
  <c r="D26" i="9"/>
  <c r="F26" i="9"/>
  <c r="H26" i="9"/>
  <c r="D27" i="9"/>
  <c r="F27" i="9"/>
  <c r="H27" i="9"/>
  <c r="D28" i="9"/>
  <c r="F28" i="9"/>
  <c r="H28" i="9"/>
  <c r="D29" i="9"/>
  <c r="F29" i="9"/>
  <c r="H29" i="9"/>
  <c r="D30" i="9"/>
  <c r="F30" i="9"/>
  <c r="H30" i="9"/>
  <c r="D31" i="9"/>
  <c r="F31" i="9"/>
  <c r="H31" i="9"/>
  <c r="D33" i="9"/>
  <c r="F33" i="9"/>
  <c r="H33" i="9"/>
  <c r="D37" i="9"/>
  <c r="F37" i="9"/>
  <c r="H37" i="9"/>
  <c r="H41" i="9"/>
  <c r="H42" i="9"/>
  <c r="H43" i="9"/>
  <c r="H44" i="9"/>
  <c r="H45" i="9"/>
  <c r="D47" i="9"/>
  <c r="F47" i="9"/>
  <c r="H47" i="9"/>
  <c r="D50" i="9"/>
  <c r="D51" i="9"/>
  <c r="H6" i="1"/>
  <c r="H7" i="1"/>
  <c r="H8" i="1"/>
  <c r="H9" i="1"/>
  <c r="H10" i="1"/>
  <c r="H11" i="1"/>
  <c r="D13" i="1"/>
  <c r="F13" i="1"/>
  <c r="H13" i="1"/>
  <c r="H15" i="1"/>
  <c r="D17" i="1"/>
  <c r="F17" i="1"/>
  <c r="H17" i="1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H25" i="1"/>
  <c r="H26" i="1"/>
  <c r="F27" i="1"/>
  <c r="H27" i="1"/>
  <c r="D28" i="1"/>
  <c r="F28" i="1"/>
  <c r="H28" i="1"/>
  <c r="H29" i="1"/>
  <c r="H30" i="1"/>
  <c r="H31" i="1"/>
  <c r="D33" i="1"/>
  <c r="F33" i="1"/>
  <c r="H33" i="1"/>
  <c r="D37" i="1"/>
  <c r="F37" i="1"/>
  <c r="H37" i="1"/>
  <c r="H41" i="1"/>
  <c r="H42" i="1"/>
  <c r="H43" i="1"/>
  <c r="H44" i="1"/>
  <c r="H45" i="1"/>
  <c r="D47" i="1"/>
  <c r="F47" i="1"/>
  <c r="H47" i="1"/>
  <c r="D50" i="1"/>
  <c r="D51" i="1"/>
  <c r="H6" i="6"/>
  <c r="H7" i="6"/>
  <c r="H8" i="6"/>
  <c r="H9" i="6"/>
  <c r="H10" i="6"/>
  <c r="H11" i="6"/>
  <c r="D13" i="6"/>
  <c r="F13" i="6"/>
  <c r="H13" i="6"/>
  <c r="H15" i="6"/>
  <c r="D17" i="6"/>
  <c r="F17" i="6"/>
  <c r="H17" i="6"/>
  <c r="D19" i="6"/>
  <c r="F19" i="6"/>
  <c r="H19" i="6"/>
  <c r="D20" i="6"/>
  <c r="F20" i="6"/>
  <c r="H20" i="6"/>
  <c r="D21" i="6"/>
  <c r="F21" i="6"/>
  <c r="H21" i="6"/>
  <c r="F22" i="6"/>
  <c r="H22" i="6"/>
  <c r="D23" i="6"/>
  <c r="F23" i="6"/>
  <c r="H23" i="6"/>
  <c r="D24" i="6"/>
  <c r="F24" i="6"/>
  <c r="H24" i="6"/>
  <c r="H25" i="6"/>
  <c r="H26" i="6"/>
  <c r="F27" i="6"/>
  <c r="H27" i="6"/>
  <c r="D28" i="6"/>
  <c r="F28" i="6"/>
  <c r="H28" i="6"/>
  <c r="F29" i="6"/>
  <c r="H29" i="6"/>
  <c r="H30" i="6"/>
  <c r="H31" i="6"/>
  <c r="D33" i="6"/>
  <c r="F33" i="6"/>
  <c r="H33" i="6"/>
  <c r="D37" i="6"/>
  <c r="F37" i="6"/>
  <c r="H37" i="6"/>
  <c r="H41" i="6"/>
  <c r="H42" i="6"/>
  <c r="H43" i="6"/>
  <c r="H44" i="6"/>
  <c r="H45" i="6"/>
  <c r="D47" i="6"/>
  <c r="F47" i="6"/>
  <c r="H47" i="6"/>
  <c r="D50" i="6"/>
  <c r="D51" i="6"/>
  <c r="H6" i="3"/>
  <c r="H7" i="3"/>
  <c r="H8" i="3"/>
  <c r="H9" i="3"/>
  <c r="H10" i="3"/>
  <c r="H11" i="3"/>
  <c r="D13" i="3"/>
  <c r="F13" i="3"/>
  <c r="H13" i="3"/>
  <c r="H15" i="3"/>
  <c r="D17" i="3"/>
  <c r="F17" i="3"/>
  <c r="H17" i="3"/>
  <c r="D19" i="3"/>
  <c r="F19" i="3"/>
  <c r="H19" i="3"/>
  <c r="D20" i="3"/>
  <c r="F20" i="3"/>
  <c r="H20" i="3"/>
  <c r="D21" i="3"/>
  <c r="F21" i="3"/>
  <c r="H21" i="3"/>
  <c r="F22" i="3"/>
  <c r="H22" i="3"/>
  <c r="D23" i="3"/>
  <c r="F23" i="3"/>
  <c r="H23" i="3"/>
  <c r="F24" i="3"/>
  <c r="H24" i="3"/>
  <c r="H25" i="3"/>
  <c r="H26" i="3"/>
  <c r="F27" i="3"/>
  <c r="H27" i="3"/>
  <c r="D28" i="3"/>
  <c r="F28" i="3"/>
  <c r="H28" i="3"/>
  <c r="F29" i="3"/>
  <c r="H29" i="3"/>
  <c r="H30" i="3"/>
  <c r="H31" i="3"/>
  <c r="D33" i="3"/>
  <c r="F33" i="3"/>
  <c r="H33" i="3"/>
  <c r="D37" i="3"/>
  <c r="F37" i="3"/>
  <c r="H37" i="3"/>
  <c r="H41" i="3"/>
  <c r="H42" i="3"/>
  <c r="H43" i="3"/>
  <c r="H44" i="3"/>
  <c r="H45" i="3"/>
  <c r="D47" i="3"/>
  <c r="F47" i="3"/>
  <c r="H47" i="3"/>
  <c r="D50" i="3"/>
  <c r="D51" i="3"/>
  <c r="H6" i="7"/>
  <c r="H7" i="7"/>
  <c r="H8" i="7"/>
  <c r="H9" i="7"/>
  <c r="H10" i="7"/>
  <c r="H11" i="7"/>
  <c r="D13" i="7"/>
  <c r="F13" i="7"/>
  <c r="H13" i="7"/>
  <c r="H15" i="7"/>
  <c r="D17" i="7"/>
  <c r="F17" i="7"/>
  <c r="H17" i="7"/>
  <c r="D19" i="7"/>
  <c r="F19" i="7"/>
  <c r="H19" i="7"/>
  <c r="D20" i="7"/>
  <c r="F20" i="7"/>
  <c r="H20" i="7"/>
  <c r="D21" i="7"/>
  <c r="F21" i="7"/>
  <c r="H21" i="7"/>
  <c r="D22" i="7"/>
  <c r="F22" i="7"/>
  <c r="H22" i="7"/>
  <c r="D23" i="7"/>
  <c r="F23" i="7"/>
  <c r="H23" i="7"/>
  <c r="D24" i="7"/>
  <c r="F24" i="7"/>
  <c r="H24" i="7"/>
  <c r="H25" i="7"/>
  <c r="H26" i="7"/>
  <c r="F27" i="7"/>
  <c r="H27" i="7"/>
  <c r="F28" i="7"/>
  <c r="H28" i="7"/>
  <c r="D29" i="7"/>
  <c r="H29" i="7"/>
  <c r="H30" i="7"/>
  <c r="H31" i="7"/>
  <c r="D33" i="7"/>
  <c r="F33" i="7"/>
  <c r="H33" i="7"/>
  <c r="D37" i="7"/>
  <c r="F37" i="7"/>
  <c r="H37" i="7"/>
  <c r="H41" i="7"/>
  <c r="H42" i="7"/>
  <c r="H43" i="7"/>
  <c r="H44" i="7"/>
  <c r="H45" i="7"/>
  <c r="D47" i="7"/>
  <c r="F47" i="7"/>
  <c r="H47" i="7"/>
  <c r="D50" i="7"/>
  <c r="D51" i="7"/>
  <c r="H6" i="5"/>
  <c r="H7" i="5"/>
  <c r="H8" i="5"/>
  <c r="H9" i="5"/>
  <c r="H10" i="5"/>
  <c r="H11" i="5"/>
  <c r="D13" i="5"/>
  <c r="F13" i="5"/>
  <c r="H13" i="5"/>
  <c r="H15" i="5"/>
  <c r="D17" i="5"/>
  <c r="F17" i="5"/>
  <c r="H17" i="5"/>
  <c r="F19" i="5"/>
  <c r="H19" i="5"/>
  <c r="D20" i="5"/>
  <c r="F20" i="5"/>
  <c r="H20" i="5"/>
  <c r="D21" i="5"/>
  <c r="F21" i="5"/>
  <c r="H21" i="5"/>
  <c r="D22" i="5"/>
  <c r="F22" i="5"/>
  <c r="H22" i="5"/>
  <c r="D23" i="5"/>
  <c r="F23" i="5"/>
  <c r="H23" i="5"/>
  <c r="D24" i="5"/>
  <c r="F24" i="5"/>
  <c r="H24" i="5"/>
  <c r="F25" i="5"/>
  <c r="H25" i="5"/>
  <c r="F26" i="5"/>
  <c r="H26" i="5"/>
  <c r="D27" i="5"/>
  <c r="F27" i="5"/>
  <c r="H27" i="5"/>
  <c r="D28" i="5"/>
  <c r="F28" i="5"/>
  <c r="H28" i="5"/>
  <c r="H29" i="5"/>
  <c r="F30" i="5"/>
  <c r="H30" i="5"/>
  <c r="F31" i="5"/>
  <c r="H31" i="5"/>
  <c r="D33" i="5"/>
  <c r="F33" i="5"/>
  <c r="H33" i="5"/>
  <c r="D37" i="5"/>
  <c r="F37" i="5"/>
  <c r="H37" i="5"/>
  <c r="F41" i="5"/>
  <c r="H41" i="5"/>
  <c r="F42" i="5"/>
  <c r="H42" i="5"/>
  <c r="H43" i="5"/>
  <c r="F44" i="5"/>
  <c r="H44" i="5"/>
  <c r="F45" i="5"/>
  <c r="H45" i="5"/>
  <c r="D47" i="5"/>
  <c r="F47" i="5"/>
  <c r="H47" i="5"/>
  <c r="D50" i="5"/>
  <c r="D51" i="5"/>
  <c r="H6" i="11"/>
  <c r="H7" i="11"/>
  <c r="H8" i="11"/>
  <c r="H9" i="11"/>
  <c r="H10" i="11"/>
  <c r="H11" i="11"/>
  <c r="D13" i="11"/>
  <c r="F13" i="11"/>
  <c r="H13" i="11"/>
  <c r="H15" i="11"/>
  <c r="D17" i="11"/>
  <c r="F17" i="11"/>
  <c r="H17" i="11"/>
  <c r="D19" i="11"/>
  <c r="F19" i="11"/>
  <c r="H19" i="11"/>
  <c r="D20" i="11"/>
  <c r="F20" i="11"/>
  <c r="H20" i="11"/>
  <c r="D21" i="11"/>
  <c r="F21" i="11"/>
  <c r="H21" i="11"/>
  <c r="D22" i="11"/>
  <c r="F22" i="11"/>
  <c r="H22" i="11"/>
  <c r="D23" i="11"/>
  <c r="F23" i="11"/>
  <c r="H23" i="11"/>
  <c r="D24" i="11"/>
  <c r="F24" i="11"/>
  <c r="H24" i="11"/>
  <c r="D25" i="11"/>
  <c r="F25" i="11"/>
  <c r="H25" i="11"/>
  <c r="D26" i="11"/>
  <c r="F26" i="11"/>
  <c r="H26" i="11"/>
  <c r="D27" i="11"/>
  <c r="F27" i="11"/>
  <c r="H27" i="11"/>
  <c r="D28" i="11"/>
  <c r="F28" i="11"/>
  <c r="H28" i="11"/>
  <c r="D29" i="11"/>
  <c r="F29" i="11"/>
  <c r="H29" i="11"/>
  <c r="D30" i="11"/>
  <c r="F30" i="11"/>
  <c r="H30" i="11"/>
  <c r="D31" i="11"/>
  <c r="F31" i="11"/>
  <c r="H31" i="11"/>
  <c r="D33" i="11"/>
  <c r="F33" i="11"/>
  <c r="H33" i="11"/>
  <c r="D37" i="11"/>
  <c r="F37" i="11"/>
  <c r="H37" i="11"/>
  <c r="D41" i="11"/>
  <c r="F41" i="11"/>
  <c r="H41" i="11"/>
  <c r="D42" i="11"/>
  <c r="F42" i="11"/>
  <c r="H42" i="11"/>
  <c r="D43" i="11"/>
  <c r="F43" i="11"/>
  <c r="H43" i="11"/>
  <c r="D44" i="11"/>
  <c r="F44" i="11"/>
  <c r="H44" i="11"/>
  <c r="D45" i="11"/>
  <c r="F45" i="11"/>
  <c r="H45" i="11"/>
  <c r="D47" i="11"/>
  <c r="F47" i="11"/>
  <c r="H47" i="11"/>
  <c r="D50" i="11"/>
  <c r="D51" i="11"/>
</calcChain>
</file>

<file path=xl/sharedStrings.xml><?xml version="1.0" encoding="utf-8"?>
<sst xmlns="http://schemas.openxmlformats.org/spreadsheetml/2006/main" count="730" uniqueCount="82">
  <si>
    <t>2001 Forecast</t>
  </si>
  <si>
    <t>2002 Plan</t>
  </si>
  <si>
    <t>Variance</t>
  </si>
  <si>
    <t>Originations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</si>
  <si>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</si>
  <si>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</si>
  <si>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</si>
  <si>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</si>
  <si>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</si>
  <si>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</si>
  <si>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</si>
  <si>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</si>
  <si>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</si>
  <si>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</si>
  <si>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</si>
  <si>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</si>
  <si>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</si>
  <si>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</si>
  <si>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</si>
  <si>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</si>
  <si>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</si>
  <si>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</si>
  <si>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</si>
  <si>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</si>
  <si>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</si>
  <si>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</si>
  <si>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</si>
  <si>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</si>
  <si>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</si>
  <si>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</si>
  <si>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</si>
  <si>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</si>
  <si>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</si>
  <si>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</si>
  <si>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</si>
  <si>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</si>
  <si>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</si>
  <si>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</si>
  <si>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$</t>
  </si>
  <si>
    <t>Income Statement - ($000s)</t>
  </si>
  <si>
    <t>2002 Plan (in thousands)</t>
  </si>
  <si>
    <t>Direct Expense Headcount Ratio</t>
  </si>
  <si>
    <t>Other Allocated Expenses</t>
  </si>
  <si>
    <t>Enron North America</t>
  </si>
  <si>
    <t>Expense Analysis</t>
  </si>
  <si>
    <t>Management Book</t>
  </si>
  <si>
    <t>Plan</t>
  </si>
  <si>
    <t>Forecast</t>
  </si>
  <si>
    <t>ENAEMPEX</t>
  </si>
  <si>
    <t>ENAT&amp;EEX</t>
  </si>
  <si>
    <t>Travel &amp; Entertainment Expense</t>
  </si>
  <si>
    <t>ENAOUTLG</t>
  </si>
  <si>
    <t>ENAOUTTX</t>
  </si>
  <si>
    <t>ENAINSUR</t>
  </si>
  <si>
    <t>ENAOUTSV</t>
  </si>
  <si>
    <t>ENASUPP</t>
  </si>
  <si>
    <t>ENAMKTEX</t>
  </si>
  <si>
    <t>Analyst Associates(Inc. Comp, Taxes &amp; other)</t>
  </si>
  <si>
    <t>ENARENT</t>
  </si>
  <si>
    <t>Other Expenses</t>
  </si>
  <si>
    <t>ENATECH</t>
  </si>
  <si>
    <t>ENATRANS</t>
  </si>
  <si>
    <t>ENASYSDV</t>
  </si>
  <si>
    <t>ENATOTDR</t>
  </si>
  <si>
    <t>Headcount:</t>
  </si>
  <si>
    <t>Director</t>
  </si>
  <si>
    <t>Analyst &amp; Associate</t>
  </si>
  <si>
    <t>Support</t>
  </si>
  <si>
    <t>Total</t>
  </si>
  <si>
    <t>Management Book-TAC</t>
  </si>
  <si>
    <t>Total East Power Trading</t>
  </si>
  <si>
    <t>East Power Trading</t>
  </si>
  <si>
    <t>Midwest Trading</t>
  </si>
  <si>
    <t>Northeast Trading</t>
  </si>
  <si>
    <t>Southeast Trading</t>
  </si>
  <si>
    <t>Ercot Trading</t>
  </si>
  <si>
    <t>Options</t>
  </si>
  <si>
    <t>Services Desk</t>
  </si>
  <si>
    <t>Fundamentals</t>
  </si>
  <si>
    <t>Genco Controls</t>
  </si>
  <si>
    <t>New Albany</t>
  </si>
  <si>
    <t>EES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</si>
</sst>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_);\(0\)"/>
    <numFmt numFmtId="167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"/>
    </font>
    <font>
      <b/>
      <sz val="10"/>
      <name val="Arial Narrow"/>
      <family val="2"/>
    </font>
    <font>
      <sz val="11"/>
      <name val="Arial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41" fontId="0" fillId="0" borderId="0" xfId="0" applyNumberFormat="1"/>
    <xf numFmtId="4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0" fillId="0" borderId="0" xfId="0" applyNumberFormat="1" applyBorder="1"/>
    <xf numFmtId="41" fontId="0" fillId="0" borderId="2" xfId="0" applyNumberFormat="1" applyBorder="1"/>
    <xf numFmtId="41" fontId="2" fillId="0" borderId="0" xfId="0" applyNumberFormat="1" applyFont="1"/>
    <xf numFmtId="42" fontId="2" fillId="0" borderId="0" xfId="0" applyNumberFormat="1" applyFont="1"/>
    <xf numFmtId="41" fontId="2" fillId="0" borderId="0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3" fillId="0" borderId="2" xfId="0" applyNumberFormat="1" applyFont="1" applyFill="1" applyBorder="1"/>
    <xf numFmtId="41" fontId="0" fillId="0" borderId="0" xfId="0" applyNumberFormat="1" applyFill="1"/>
    <xf numFmtId="41" fontId="0" fillId="0" borderId="0" xfId="0" applyNumberFormat="1" applyFill="1" applyBorder="1"/>
    <xf numFmtId="41" fontId="0" fillId="0" borderId="0" xfId="0" applyNumberFormat="1" applyAlignment="1">
      <alignment horizontal="left"/>
    </xf>
    <xf numFmtId="41" fontId="5" fillId="0" borderId="0" xfId="0" applyNumberFormat="1" applyFont="1" applyAlignment="1">
      <alignment horizontal="left"/>
    </xf>
    <xf numFmtId="41" fontId="5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1" fontId="2" fillId="0" borderId="2" xfId="0" applyNumberFormat="1" applyFont="1" applyBorder="1"/>
    <xf numFmtId="41" fontId="2" fillId="0" borderId="3" xfId="0" applyNumberFormat="1" applyFont="1" applyBorder="1"/>
    <xf numFmtId="41" fontId="2" fillId="0" borderId="0" xfId="0" applyNumberFormat="1" applyFont="1" applyFill="1"/>
    <xf numFmtId="0" fontId="2" fillId="0" borderId="0" xfId="0" applyFont="1" applyBorder="1"/>
    <xf numFmtId="164" fontId="0" fillId="0" borderId="0" xfId="0" applyNumberFormat="1" applyBorder="1" applyAlignment="1">
      <alignment horizontal="right"/>
    </xf>
    <xf numFmtId="41" fontId="2" fillId="0" borderId="3" xfId="0" applyNumberFormat="1" applyFont="1" applyBorder="1" applyAlignment="1">
      <alignment horizontal="right"/>
    </xf>
    <xf numFmtId="41" fontId="0" fillId="0" borderId="2" xfId="0" applyNumberFormat="1" applyFill="1" applyBorder="1"/>
    <xf numFmtId="167" fontId="0" fillId="0" borderId="0" xfId="3" applyNumberFormat="1" applyFont="1"/>
    <xf numFmtId="167" fontId="3" fillId="0" borderId="0" xfId="3" applyNumberFormat="1" applyFont="1" applyBorder="1" applyAlignment="1">
      <alignment horizontal="right"/>
    </xf>
    <xf numFmtId="167" fontId="2" fillId="0" borderId="0" xfId="3" applyNumberFormat="1" applyFont="1" applyBorder="1" applyAlignment="1">
      <alignment horizontal="right"/>
    </xf>
    <xf numFmtId="167" fontId="0" fillId="0" borderId="0" xfId="3" applyNumberFormat="1" applyFont="1" applyAlignment="1">
      <alignment horizontal="right"/>
    </xf>
    <xf numFmtId="167" fontId="0" fillId="0" borderId="2" xfId="3" applyNumberFormat="1" applyFont="1" applyBorder="1"/>
    <xf numFmtId="167" fontId="2" fillId="0" borderId="0" xfId="3" applyNumberFormat="1" applyFont="1"/>
    <xf numFmtId="167" fontId="2" fillId="0" borderId="2" xfId="3" applyNumberFormat="1" applyFont="1" applyBorder="1"/>
    <xf numFmtId="167" fontId="2" fillId="0" borderId="0" xfId="3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7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8" fillId="0" borderId="6" xfId="0" applyFont="1" applyBorder="1"/>
    <xf numFmtId="0" fontId="8" fillId="0" borderId="0" xfId="0" applyFont="1" applyBorder="1"/>
    <xf numFmtId="0" fontId="8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49" fontId="8" fillId="0" borderId="0" xfId="2" applyNumberFormat="1" applyFont="1" applyProtection="1"/>
    <xf numFmtId="0" fontId="8" fillId="0" borderId="0" xfId="2" applyNumberFormat="1" applyFont="1" applyProtection="1"/>
    <xf numFmtId="167" fontId="8" fillId="0" borderId="6" xfId="3" applyNumberFormat="1" applyFont="1" applyBorder="1"/>
    <xf numFmtId="167" fontId="8" fillId="0" borderId="0" xfId="3" applyNumberFormat="1" applyFont="1" applyBorder="1"/>
    <xf numFmtId="167" fontId="8" fillId="0" borderId="7" xfId="3" applyNumberFormat="1" applyFont="1" applyBorder="1"/>
    <xf numFmtId="167" fontId="8" fillId="0" borderId="0" xfId="3" applyNumberFormat="1" applyFont="1"/>
    <xf numFmtId="167" fontId="8" fillId="0" borderId="0" xfId="0" applyNumberFormat="1" applyFont="1"/>
    <xf numFmtId="0" fontId="9" fillId="0" borderId="0" xfId="0" applyFont="1"/>
    <xf numFmtId="49" fontId="10" fillId="0" borderId="0" xfId="1" applyNumberFormat="1" applyFont="1" applyProtection="1"/>
    <xf numFmtId="0" fontId="10" fillId="0" borderId="0" xfId="1" applyNumberFormat="1" applyFont="1" applyProtection="1"/>
    <xf numFmtId="167" fontId="10" fillId="0" borderId="4" xfId="3" applyNumberFormat="1" applyFont="1" applyBorder="1"/>
    <xf numFmtId="167" fontId="10" fillId="0" borderId="1" xfId="3" applyNumberFormat="1" applyFont="1" applyBorder="1"/>
    <xf numFmtId="167" fontId="10" fillId="0" borderId="5" xfId="3" applyNumberFormat="1" applyFont="1" applyBorder="1"/>
    <xf numFmtId="167" fontId="10" fillId="0" borderId="1" xfId="0" applyNumberFormat="1" applyFont="1" applyBorder="1"/>
    <xf numFmtId="0" fontId="10" fillId="0" borderId="0" xfId="0" applyFont="1"/>
    <xf numFmtId="167" fontId="8" fillId="0" borderId="4" xfId="3" applyNumberFormat="1" applyFont="1" applyBorder="1"/>
    <xf numFmtId="167" fontId="8" fillId="0" borderId="1" xfId="3" applyNumberFormat="1" applyFont="1" applyBorder="1"/>
    <xf numFmtId="167" fontId="8" fillId="0" borderId="5" xfId="3" applyNumberFormat="1" applyFont="1" applyBorder="1"/>
    <xf numFmtId="0" fontId="0" fillId="0" borderId="8" xfId="0" applyBorder="1"/>
    <xf numFmtId="0" fontId="11" fillId="0" borderId="0" xfId="0" applyFont="1"/>
    <xf numFmtId="0" fontId="12" fillId="0" borderId="0" xfId="0" applyFont="1"/>
    <xf numFmtId="167" fontId="12" fillId="0" borderId="4" xfId="3" applyNumberFormat="1" applyFont="1" applyBorder="1"/>
    <xf numFmtId="167" fontId="12" fillId="0" borderId="1" xfId="3" applyNumberFormat="1" applyFont="1" applyBorder="1"/>
    <xf numFmtId="167" fontId="12" fillId="0" borderId="5" xfId="3" applyNumberFormat="1" applyFont="1" applyBorder="1"/>
    <xf numFmtId="167" fontId="12" fillId="0" borderId="0" xfId="3" applyNumberFormat="1" applyFont="1"/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4">
    <cellStyle name="Comma" xfId="3" builtinId="3"/>
    <cellStyle name="Normal" xfId="0" builtinId="0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Midwest%20Trading%20Plan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Genco%20Control%20%20Pla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Northeast%20Trading%20Plan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Ercot%20Trading%20Plan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Options%20Plan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Fundamentals%20Plan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Services%20Plan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an_IncomeSheets_Dur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TAC%20Plan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Management%20Book%20Pla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1092311.75</v>
          </cell>
        </row>
        <row r="34">
          <cell r="P34">
            <v>203376.38962500004</v>
          </cell>
        </row>
        <row r="43">
          <cell r="P43">
            <v>166056</v>
          </cell>
        </row>
        <row r="50">
          <cell r="P50">
            <v>184016</v>
          </cell>
        </row>
        <row r="53">
          <cell r="P53">
            <v>5400</v>
          </cell>
        </row>
        <row r="62">
          <cell r="P62">
            <v>11052</v>
          </cell>
        </row>
        <row r="66">
          <cell r="P66">
            <v>9400</v>
          </cell>
        </row>
        <row r="71">
          <cell r="P71">
            <v>0</v>
          </cell>
        </row>
        <row r="73">
          <cell r="P73">
            <v>80604</v>
          </cell>
        </row>
        <row r="74">
          <cell r="P74">
            <v>561600</v>
          </cell>
        </row>
        <row r="78">
          <cell r="P78">
            <v>69060</v>
          </cell>
        </row>
        <row r="80">
          <cell r="P80">
            <v>33096</v>
          </cell>
        </row>
        <row r="85">
          <cell r="P85">
            <v>12000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EPSC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754283.75</v>
          </cell>
        </row>
        <row r="34">
          <cell r="P34">
            <v>150086.93562499998</v>
          </cell>
        </row>
        <row r="43">
          <cell r="P43">
            <v>94214</v>
          </cell>
        </row>
        <row r="50">
          <cell r="P50">
            <v>27996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17196</v>
          </cell>
        </row>
        <row r="73">
          <cell r="P73">
            <v>59124</v>
          </cell>
        </row>
        <row r="74">
          <cell r="P74">
            <v>313200</v>
          </cell>
        </row>
        <row r="78">
          <cell r="P78">
            <v>228000</v>
          </cell>
        </row>
        <row r="80">
          <cell r="P80">
            <v>0</v>
          </cell>
        </row>
        <row r="86">
          <cell r="P86">
            <v>818832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1425690.75</v>
          </cell>
        </row>
        <row r="34">
          <cell r="P34">
            <v>256175.37412499994</v>
          </cell>
        </row>
        <row r="43">
          <cell r="P43">
            <v>205876</v>
          </cell>
        </row>
        <row r="50">
          <cell r="P50">
            <v>273976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22896</v>
          </cell>
        </row>
        <row r="69">
          <cell r="P69">
            <v>0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105384</v>
          </cell>
        </row>
        <row r="74">
          <cell r="P74">
            <v>1386000</v>
          </cell>
        </row>
        <row r="75">
          <cell r="P75">
            <v>197760</v>
          </cell>
        </row>
        <row r="78">
          <cell r="P78">
            <v>84300</v>
          </cell>
        </row>
        <row r="80">
          <cell r="P80">
            <v>90024</v>
          </cell>
        </row>
        <row r="85">
          <cell r="P85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940228.75</v>
          </cell>
        </row>
        <row r="34">
          <cell r="P34">
            <v>178517.88312500002</v>
          </cell>
        </row>
        <row r="43">
          <cell r="P43">
            <v>57504</v>
          </cell>
        </row>
        <row r="50">
          <cell r="P50">
            <v>57000</v>
          </cell>
        </row>
        <row r="53">
          <cell r="P53">
            <v>0</v>
          </cell>
        </row>
        <row r="62">
          <cell r="P62">
            <v>500004</v>
          </cell>
        </row>
        <row r="66">
          <cell r="P66">
            <v>30996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82452</v>
          </cell>
        </row>
        <row r="74">
          <cell r="P74">
            <v>810000</v>
          </cell>
        </row>
        <row r="78">
          <cell r="P78">
            <v>150000</v>
          </cell>
        </row>
        <row r="79">
          <cell r="P79">
            <v>0</v>
          </cell>
        </row>
        <row r="80">
          <cell r="P80">
            <v>15888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696938.75</v>
          </cell>
        </row>
        <row r="34">
          <cell r="P34">
            <v>126409.53812500002</v>
          </cell>
        </row>
        <row r="43">
          <cell r="P43">
            <v>38500</v>
          </cell>
        </row>
        <row r="50">
          <cell r="P50">
            <v>82020</v>
          </cell>
        </row>
        <row r="62">
          <cell r="P62">
            <v>0</v>
          </cell>
        </row>
        <row r="66">
          <cell r="P66">
            <v>12204</v>
          </cell>
        </row>
        <row r="71">
          <cell r="P71">
            <v>0</v>
          </cell>
        </row>
        <row r="73">
          <cell r="P73">
            <v>45600</v>
          </cell>
        </row>
        <row r="74">
          <cell r="P74">
            <v>104400</v>
          </cell>
        </row>
        <row r="75">
          <cell r="P75">
            <v>0</v>
          </cell>
        </row>
        <row r="78">
          <cell r="P78">
            <v>18000</v>
          </cell>
        </row>
        <row r="79">
          <cell r="P79">
            <v>0</v>
          </cell>
        </row>
        <row r="80">
          <cell r="P80">
            <v>36000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856574.75</v>
          </cell>
        </row>
        <row r="34">
          <cell r="P34">
            <v>178127.99654166668</v>
          </cell>
        </row>
        <row r="43">
          <cell r="P43">
            <v>180612</v>
          </cell>
        </row>
        <row r="50">
          <cell r="P50">
            <v>63996</v>
          </cell>
        </row>
        <row r="53">
          <cell r="P53">
            <v>0</v>
          </cell>
        </row>
        <row r="62">
          <cell r="P62">
            <v>1060008</v>
          </cell>
        </row>
        <row r="66">
          <cell r="P66">
            <v>31800</v>
          </cell>
        </row>
        <row r="73">
          <cell r="P73">
            <v>147888</v>
          </cell>
        </row>
        <row r="74">
          <cell r="P74">
            <v>1202400</v>
          </cell>
        </row>
        <row r="78">
          <cell r="P78">
            <v>600000</v>
          </cell>
        </row>
        <row r="80">
          <cell r="P80">
            <v>272856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Epsc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792311</v>
          </cell>
        </row>
        <row r="34">
          <cell r="P34">
            <v>154098.81050000002</v>
          </cell>
        </row>
        <row r="43">
          <cell r="P43">
            <v>31750</v>
          </cell>
        </row>
        <row r="50">
          <cell r="P50">
            <v>419892</v>
          </cell>
        </row>
        <row r="62">
          <cell r="P62">
            <v>0</v>
          </cell>
        </row>
        <row r="66">
          <cell r="P66">
            <v>6900</v>
          </cell>
        </row>
        <row r="73">
          <cell r="P73">
            <v>61200</v>
          </cell>
        </row>
        <row r="74">
          <cell r="P74">
            <v>248400</v>
          </cell>
        </row>
        <row r="78">
          <cell r="P78">
            <v>24000</v>
          </cell>
        </row>
        <row r="80">
          <cell r="P80">
            <v>13200</v>
          </cell>
        </row>
        <row r="85">
          <cell r="P85">
            <v>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Duran"/>
      <sheetName val="Midwest Power Origination"/>
      <sheetName val="Northeast Power Origination"/>
      <sheetName val="Southeast Power Origination"/>
      <sheetName val="Ercot Origination"/>
      <sheetName val="Generation Development"/>
      <sheetName val="Commodity Structur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1075380</v>
          </cell>
        </row>
        <row r="34">
          <cell r="P34">
            <v>219217.59000000005</v>
          </cell>
        </row>
        <row r="43">
          <cell r="P43">
            <v>21600</v>
          </cell>
        </row>
        <row r="50">
          <cell r="P50">
            <v>340000</v>
          </cell>
        </row>
        <row r="62">
          <cell r="P62">
            <v>1130000</v>
          </cell>
        </row>
        <row r="66">
          <cell r="P66">
            <v>113800</v>
          </cell>
        </row>
        <row r="69">
          <cell r="P69">
            <v>204000</v>
          </cell>
        </row>
        <row r="70">
          <cell r="P70">
            <v>13200</v>
          </cell>
        </row>
        <row r="73">
          <cell r="P73">
            <v>12000</v>
          </cell>
        </row>
        <row r="75">
          <cell r="P75">
            <v>86496</v>
          </cell>
        </row>
        <row r="78">
          <cell r="P78">
            <v>100000</v>
          </cell>
        </row>
        <row r="83">
          <cell r="P83">
            <v>250000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940699.5</v>
          </cell>
        </row>
        <row r="34">
          <cell r="P34">
            <v>152126.29724999997</v>
          </cell>
        </row>
        <row r="43">
          <cell r="P43">
            <v>318852</v>
          </cell>
        </row>
        <row r="50">
          <cell r="P50">
            <v>368004</v>
          </cell>
        </row>
        <row r="53">
          <cell r="P53">
            <v>104004</v>
          </cell>
        </row>
        <row r="62">
          <cell r="P62">
            <v>265000</v>
          </cell>
        </row>
        <row r="66">
          <cell r="P66">
            <v>192000</v>
          </cell>
        </row>
        <row r="69">
          <cell r="P69">
            <v>0</v>
          </cell>
        </row>
        <row r="70">
          <cell r="P70">
            <v>0</v>
          </cell>
        </row>
        <row r="73">
          <cell r="P73">
            <v>264000</v>
          </cell>
        </row>
        <row r="74">
          <cell r="P74">
            <v>144000</v>
          </cell>
        </row>
        <row r="75">
          <cell r="P75">
            <v>97512</v>
          </cell>
        </row>
        <row r="78">
          <cell r="P78">
            <v>120000</v>
          </cell>
        </row>
        <row r="79">
          <cell r="P79">
            <v>7752000</v>
          </cell>
        </row>
        <row r="80">
          <cell r="P80">
            <v>1395996</v>
          </cell>
        </row>
        <row r="84">
          <cell r="P84">
            <v>766212</v>
          </cell>
        </row>
        <row r="86">
          <cell r="P86">
            <v>35940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68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B1" sqref="B1"/>
    </sheetView>
  </sheetViews>
  <sheetFormatPr defaultColWidth="11.44140625" defaultRowHeight="13.8" x14ac:dyDescent="0.3"/>
  <cols>
    <col min="1" max="1" width="9.88671875" hidden="1" customWidth="1"/>
    <col min="2" max="2" width="32.44140625" bestFit="1" customWidth="1"/>
    <col min="3" max="5" width="13.33203125" bestFit="1" customWidth="1"/>
    <col min="6" max="6" width="2.33203125" customWidth="1"/>
    <col min="7" max="8" width="11.44140625" customWidth="1"/>
    <col min="9" max="9" width="12.33203125" style="41" bestFit="1" customWidth="1"/>
    <col min="10" max="10" width="2.33203125" customWidth="1"/>
    <col min="11" max="12" width="12" bestFit="1" customWidth="1"/>
    <col min="13" max="13" width="11.44140625" customWidth="1"/>
    <col min="14" max="14" width="2.33203125" customWidth="1"/>
    <col min="15" max="16" width="12.33203125" bestFit="1" customWidth="1"/>
    <col min="17" max="17" width="11.88671875" customWidth="1"/>
    <col min="18" max="18" width="2.33203125" customWidth="1"/>
    <col min="19" max="19" width="12.33203125" bestFit="1" customWidth="1"/>
    <col min="20" max="20" width="11.44140625" customWidth="1"/>
    <col min="21" max="21" width="13" customWidth="1"/>
    <col min="22" max="22" width="2.33203125" customWidth="1"/>
    <col min="23" max="23" width="11.44140625" customWidth="1"/>
    <col min="24" max="24" width="11.88671875" customWidth="1"/>
    <col min="25" max="25" width="12.33203125" bestFit="1" customWidth="1"/>
    <col min="26" max="26" width="2.33203125" customWidth="1"/>
    <col min="27" max="27" width="12.33203125" bestFit="1" customWidth="1"/>
    <col min="28" max="29" width="11.44140625" customWidth="1"/>
    <col min="30" max="30" width="2.33203125" customWidth="1"/>
    <col min="31" max="33" width="11.44140625" customWidth="1"/>
    <col min="34" max="34" width="2.5546875" customWidth="1"/>
    <col min="35" max="37" width="11.44140625" customWidth="1"/>
    <col min="38" max="38" width="2.5546875" customWidth="1"/>
    <col min="39" max="41" width="11.44140625" customWidth="1"/>
    <col min="42" max="42" width="2.5546875" customWidth="1"/>
    <col min="43" max="45" width="11.44140625" hidden="1" customWidth="1"/>
    <col min="46" max="46" width="2.5546875" hidden="1" customWidth="1"/>
    <col min="47" max="49" width="11.44140625" customWidth="1"/>
    <col min="50" max="50" width="2.5546875" customWidth="1"/>
  </cols>
  <sheetData>
    <row r="1" spans="1:60" ht="15.6" x14ac:dyDescent="0.3">
      <c r="A1" s="39"/>
      <c r="B1" s="40" t="s">
        <v>43</v>
      </c>
    </row>
    <row r="2" spans="1:60" ht="15.6" x14ac:dyDescent="0.3">
      <c r="A2" s="39"/>
      <c r="B2" s="40" t="s">
        <v>71</v>
      </c>
    </row>
    <row r="3" spans="1:60" ht="15.6" x14ac:dyDescent="0.3">
      <c r="A3" s="39"/>
      <c r="B3" s="42" t="s">
        <v>44</v>
      </c>
    </row>
    <row r="4" spans="1:60" ht="15.6" x14ac:dyDescent="0.3">
      <c r="A4" s="39"/>
      <c r="B4" s="40" t="s">
        <v>1</v>
      </c>
    </row>
    <row r="5" spans="1:60" ht="15.6" x14ac:dyDescent="0.3">
      <c r="A5" s="39"/>
      <c r="B5" s="40"/>
    </row>
    <row r="6" spans="1:60" ht="16.2" thickBot="1" x14ac:dyDescent="0.35">
      <c r="A6" s="39"/>
      <c r="B6" s="40"/>
    </row>
    <row r="7" spans="1:60" x14ac:dyDescent="0.3">
      <c r="B7" s="41"/>
      <c r="C7" s="81" t="s">
        <v>70</v>
      </c>
      <c r="D7" s="82"/>
      <c r="E7" s="83"/>
      <c r="G7" s="80" t="s">
        <v>72</v>
      </c>
      <c r="H7" s="80"/>
      <c r="I7" s="80"/>
      <c r="J7" s="41"/>
      <c r="K7" s="80" t="s">
        <v>73</v>
      </c>
      <c r="L7" s="80"/>
      <c r="M7" s="80"/>
      <c r="N7" s="41"/>
      <c r="O7" s="80" t="s">
        <v>74</v>
      </c>
      <c r="P7" s="80"/>
      <c r="Q7" s="80"/>
      <c r="R7" s="41"/>
      <c r="S7" s="80" t="s">
        <v>75</v>
      </c>
      <c r="T7" s="80"/>
      <c r="U7" s="80"/>
      <c r="V7" s="41"/>
      <c r="W7" s="80" t="s">
        <v>76</v>
      </c>
      <c r="X7" s="80"/>
      <c r="Y7" s="80"/>
      <c r="Z7" s="41"/>
      <c r="AA7" s="80" t="s">
        <v>77</v>
      </c>
      <c r="AB7" s="80"/>
      <c r="AC7" s="80"/>
      <c r="AD7" s="41"/>
      <c r="AE7" s="80" t="s">
        <v>78</v>
      </c>
      <c r="AF7" s="80"/>
      <c r="AG7" s="80"/>
      <c r="AI7" s="80" t="s">
        <v>79</v>
      </c>
      <c r="AJ7" s="80"/>
      <c r="AK7" s="80"/>
      <c r="AM7" s="80" t="s">
        <v>80</v>
      </c>
      <c r="AN7" s="80"/>
      <c r="AO7" s="80"/>
      <c r="AQ7" s="80" t="s">
        <v>81</v>
      </c>
      <c r="AR7" s="80"/>
      <c r="AS7" s="80"/>
      <c r="AU7" s="80" t="s">
        <v>45</v>
      </c>
      <c r="AV7" s="80"/>
      <c r="AW7" s="80"/>
      <c r="AY7" s="80" t="s">
        <v>69</v>
      </c>
      <c r="AZ7" s="80"/>
      <c r="BA7" s="80"/>
    </row>
    <row r="8" spans="1:60" ht="14.4" thickBot="1" x14ac:dyDescent="0.35">
      <c r="C8" s="43">
        <v>2001</v>
      </c>
      <c r="D8" s="44">
        <v>2001</v>
      </c>
      <c r="E8" s="45">
        <v>2002</v>
      </c>
      <c r="F8" s="41"/>
      <c r="G8" s="44">
        <v>2001</v>
      </c>
      <c r="H8" s="44">
        <v>2001</v>
      </c>
      <c r="I8" s="44">
        <v>2002</v>
      </c>
      <c r="J8" s="46"/>
      <c r="K8" s="44">
        <v>2001</v>
      </c>
      <c r="L8" s="44">
        <v>2001</v>
      </c>
      <c r="M8" s="44">
        <v>2002</v>
      </c>
      <c r="N8" s="46"/>
      <c r="O8" s="44">
        <v>2001</v>
      </c>
      <c r="P8" s="44">
        <v>2001</v>
      </c>
      <c r="Q8" s="44">
        <v>2002</v>
      </c>
      <c r="R8" s="46"/>
      <c r="S8" s="44">
        <v>2001</v>
      </c>
      <c r="T8" s="44">
        <v>2001</v>
      </c>
      <c r="U8" s="44">
        <v>2002</v>
      </c>
      <c r="V8" s="46"/>
      <c r="W8" s="44">
        <v>2001</v>
      </c>
      <c r="X8" s="44">
        <v>2001</v>
      </c>
      <c r="Y8" s="44">
        <v>2002</v>
      </c>
      <c r="Z8" s="46"/>
      <c r="AA8" s="44">
        <v>2001</v>
      </c>
      <c r="AB8" s="44">
        <v>2001</v>
      </c>
      <c r="AC8" s="44">
        <v>2002</v>
      </c>
      <c r="AD8" s="46"/>
      <c r="AE8" s="44">
        <v>2001</v>
      </c>
      <c r="AF8" s="44">
        <v>2001</v>
      </c>
      <c r="AG8" s="44">
        <v>2002</v>
      </c>
      <c r="AH8" s="47"/>
      <c r="AI8" s="44">
        <v>2001</v>
      </c>
      <c r="AJ8" s="44">
        <v>2001</v>
      </c>
      <c r="AK8" s="44">
        <v>2002</v>
      </c>
      <c r="AL8" s="47"/>
      <c r="AM8" s="44">
        <v>2001</v>
      </c>
      <c r="AN8" s="44">
        <v>2001</v>
      </c>
      <c r="AO8" s="44">
        <v>2002</v>
      </c>
      <c r="AP8" s="47"/>
      <c r="AQ8" s="44">
        <v>2001</v>
      </c>
      <c r="AR8" s="44">
        <v>2001</v>
      </c>
      <c r="AS8" s="44">
        <v>2002</v>
      </c>
      <c r="AT8" s="47"/>
      <c r="AU8" s="44">
        <v>2001</v>
      </c>
      <c r="AV8" s="44">
        <v>2001</v>
      </c>
      <c r="AW8" s="44">
        <v>2002</v>
      </c>
      <c r="AX8" s="47"/>
      <c r="AY8" s="44">
        <v>2001</v>
      </c>
      <c r="AZ8" s="44">
        <v>2001</v>
      </c>
      <c r="BA8" s="44">
        <v>2002</v>
      </c>
      <c r="BB8" s="47"/>
      <c r="BC8" s="47"/>
      <c r="BD8" s="47"/>
      <c r="BE8" s="47"/>
      <c r="BF8" s="47"/>
      <c r="BG8" s="48"/>
      <c r="BH8" s="48"/>
    </row>
    <row r="9" spans="1:60" ht="14.4" thickBot="1" x14ac:dyDescent="0.35">
      <c r="C9" s="43" t="s">
        <v>46</v>
      </c>
      <c r="D9" s="44" t="s">
        <v>47</v>
      </c>
      <c r="E9" s="45" t="s">
        <v>46</v>
      </c>
      <c r="F9" s="41"/>
      <c r="G9" s="44" t="s">
        <v>46</v>
      </c>
      <c r="H9" s="44" t="s">
        <v>47</v>
      </c>
      <c r="I9" s="44" t="s">
        <v>46</v>
      </c>
      <c r="J9" s="41"/>
      <c r="K9" s="44" t="s">
        <v>46</v>
      </c>
      <c r="L9" s="44" t="s">
        <v>47</v>
      </c>
      <c r="M9" s="44" t="s">
        <v>46</v>
      </c>
      <c r="N9" s="41"/>
      <c r="O9" s="44" t="s">
        <v>46</v>
      </c>
      <c r="P9" s="44" t="s">
        <v>47</v>
      </c>
      <c r="Q9" s="44" t="s">
        <v>46</v>
      </c>
      <c r="R9" s="41"/>
      <c r="S9" s="44" t="s">
        <v>46</v>
      </c>
      <c r="T9" s="44" t="s">
        <v>47</v>
      </c>
      <c r="U9" s="44" t="s">
        <v>46</v>
      </c>
      <c r="V9" s="41"/>
      <c r="W9" s="44" t="s">
        <v>46</v>
      </c>
      <c r="X9" s="44" t="s">
        <v>47</v>
      </c>
      <c r="Y9" s="44" t="s">
        <v>46</v>
      </c>
      <c r="Z9" s="41"/>
      <c r="AA9" s="44" t="s">
        <v>46</v>
      </c>
      <c r="AB9" s="44" t="s">
        <v>47</v>
      </c>
      <c r="AC9" s="44" t="s">
        <v>46</v>
      </c>
      <c r="AD9" s="41"/>
      <c r="AE9" s="44" t="s">
        <v>46</v>
      </c>
      <c r="AF9" s="44" t="s">
        <v>47</v>
      </c>
      <c r="AG9" s="44" t="s">
        <v>46</v>
      </c>
      <c r="AI9" s="44" t="s">
        <v>46</v>
      </c>
      <c r="AJ9" s="44" t="s">
        <v>47</v>
      </c>
      <c r="AK9" s="44" t="s">
        <v>46</v>
      </c>
      <c r="AM9" s="44" t="s">
        <v>46</v>
      </c>
      <c r="AN9" s="44" t="s">
        <v>47</v>
      </c>
      <c r="AO9" s="44" t="s">
        <v>46</v>
      </c>
      <c r="AQ9" s="44" t="s">
        <v>46</v>
      </c>
      <c r="AR9" s="44" t="s">
        <v>47</v>
      </c>
      <c r="AS9" s="44" t="s">
        <v>46</v>
      </c>
      <c r="AU9" s="44" t="s">
        <v>46</v>
      </c>
      <c r="AV9" s="44" t="s">
        <v>47</v>
      </c>
      <c r="AW9" s="44" t="s">
        <v>46</v>
      </c>
      <c r="AY9" s="44" t="s">
        <v>46</v>
      </c>
      <c r="AZ9" s="44" t="s">
        <v>47</v>
      </c>
      <c r="BA9" s="44" t="s">
        <v>46</v>
      </c>
    </row>
    <row r="10" spans="1:60" x14ac:dyDescent="0.3">
      <c r="C10" s="49"/>
      <c r="D10" s="50"/>
      <c r="E10" s="51"/>
      <c r="F10" s="41"/>
      <c r="G10" s="41"/>
      <c r="H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I10" s="41"/>
      <c r="AJ10" s="41"/>
      <c r="AK10" s="41"/>
      <c r="AM10" s="41"/>
      <c r="AN10" s="41"/>
      <c r="AO10" s="41"/>
      <c r="AQ10" s="41"/>
      <c r="AR10" s="41"/>
      <c r="AS10" s="41"/>
      <c r="AU10" s="41"/>
      <c r="AV10" s="41"/>
      <c r="AW10" s="41"/>
      <c r="AY10" s="41"/>
      <c r="AZ10" s="41"/>
      <c r="BA10" s="41"/>
    </row>
    <row r="11" spans="1:60" x14ac:dyDescent="0.3">
      <c r="C11" s="52"/>
      <c r="D11" s="53"/>
      <c r="E11" s="54"/>
    </row>
    <row r="12" spans="1:60" x14ac:dyDescent="0.3">
      <c r="A12" s="55"/>
      <c r="B12" s="56" t="s">
        <v>12</v>
      </c>
      <c r="C12" s="57">
        <f>G12+K12+O12+S12+W12+AA12+AE12+AI12+AM12+AQ12+AU12+AY12</f>
        <v>11088</v>
      </c>
      <c r="D12" s="58">
        <f>H12+L12+P12+T12+X12+AB12+AF12+AJ12+AN12+AR12+AV12+AZ12</f>
        <v>9139.7909999999993</v>
      </c>
      <c r="E12" s="59">
        <f>I12+M12+Q12+U12+Y12+AC12+AG12+AK12+AO12+AS12+AW12+BA12</f>
        <v>11488.243954541666</v>
      </c>
      <c r="G12" s="60">
        <f>1273+295</f>
        <v>1568</v>
      </c>
      <c r="H12" s="61">
        <f>'Midwest Power Trading'!D19</f>
        <v>916.92499999999995</v>
      </c>
      <c r="I12" s="61">
        <f>'Midwest Power Trading'!F19</f>
        <v>1295.6881396250001</v>
      </c>
      <c r="K12" s="60">
        <f>2012+439</f>
        <v>2451</v>
      </c>
      <c r="L12" s="61">
        <f>'Northeast Power Trading'!D19</f>
        <v>2141.2559999999999</v>
      </c>
      <c r="M12" s="61">
        <f>'Northeast Power Trading'!F19</f>
        <v>1681.8661241249999</v>
      </c>
      <c r="O12" s="60">
        <f>1126+269</f>
        <v>1395</v>
      </c>
      <c r="P12" s="61">
        <f>'Southeast Power Trading'!D19</f>
        <v>916.92499999999995</v>
      </c>
      <c r="Q12" s="61">
        <f>'Southeast Power Trading'!F19</f>
        <v>1295.6881396250001</v>
      </c>
      <c r="R12" s="62"/>
      <c r="S12" s="60">
        <f>544+130</f>
        <v>674</v>
      </c>
      <c r="T12" s="61">
        <f>'Ercot Trading'!D19</f>
        <v>793.09</v>
      </c>
      <c r="U12" s="61">
        <f>'Ercot Trading'!F19</f>
        <v>1118.746633125</v>
      </c>
      <c r="V12" s="62"/>
      <c r="W12" s="60">
        <v>0</v>
      </c>
      <c r="X12" s="61">
        <f>Options!D19</f>
        <v>534.10599999999999</v>
      </c>
      <c r="Y12" s="61">
        <f>Options!F19</f>
        <v>823.34828812499995</v>
      </c>
      <c r="Z12" s="62"/>
      <c r="AA12" s="60">
        <v>0</v>
      </c>
      <c r="AB12" s="61">
        <f>'Services Desk'!D19</f>
        <v>373.87099999999998</v>
      </c>
      <c r="AC12" s="61">
        <f>'Services Desk'!F19</f>
        <v>946.40981050000005</v>
      </c>
      <c r="AD12" s="62"/>
      <c r="AE12" s="60">
        <f>1464+355</f>
        <v>1819</v>
      </c>
      <c r="AF12" s="61">
        <f>Fundamentals!D19</f>
        <v>737.74</v>
      </c>
      <c r="AG12" s="61">
        <f>Fundamentals!F19</f>
        <v>1034.7027465416668</v>
      </c>
      <c r="AI12" s="60">
        <f>797+150</f>
        <v>947</v>
      </c>
      <c r="AJ12" s="61">
        <f>'Genco Control Area'!D19</f>
        <v>631.87800000000004</v>
      </c>
      <c r="AK12" s="61">
        <f>'Genco Control Area'!F19</f>
        <v>904.37068562499996</v>
      </c>
      <c r="AM12" s="60">
        <v>125</v>
      </c>
      <c r="AN12" s="61">
        <f>49+11+43</f>
        <v>103</v>
      </c>
      <c r="AO12" s="61">
        <v>0</v>
      </c>
      <c r="AQ12" s="60">
        <v>0</v>
      </c>
      <c r="AR12" s="61">
        <v>0</v>
      </c>
      <c r="AS12" s="61">
        <v>0</v>
      </c>
      <c r="AU12" s="60">
        <f>1826+367-67-17-AY12</f>
        <v>1301</v>
      </c>
      <c r="AV12" s="60">
        <f>1002+223-AZ12+631+135</f>
        <v>1084</v>
      </c>
      <c r="AW12" s="61">
        <f>([9]Data!$P$31+[9]Data!$P$34)/1000</f>
        <v>1092.8257972500001</v>
      </c>
      <c r="AY12" s="60">
        <v>808</v>
      </c>
      <c r="AZ12" s="60">
        <f>477+59+34+1+336</f>
        <v>907</v>
      </c>
      <c r="BA12" s="61">
        <f>([8]Data!$P$31+[8]Data!$P$34)/1000</f>
        <v>1294.5975900000001</v>
      </c>
    </row>
    <row r="13" spans="1:60" x14ac:dyDescent="0.3">
      <c r="A13" s="55" t="s">
        <v>48</v>
      </c>
      <c r="B13" s="56" t="s">
        <v>13</v>
      </c>
      <c r="C13" s="57">
        <f t="shared" ref="C13:C24" si="0">G13+K13+O13+S13+W13+AA13+AE13+AI13+AM13+AQ13+AU13+AY13</f>
        <v>793</v>
      </c>
      <c r="D13" s="58">
        <f t="shared" ref="D13:D24" si="1">H13+L13+P13+T13+X13+AB13+AF13+AJ13+AN13+AR13+AV13+AZ13</f>
        <v>837.11199999999997</v>
      </c>
      <c r="E13" s="59">
        <f t="shared" ref="E13:E24" si="2">I13+M13+Q13+U13+Y13+AC13+AG13+AK13+AO13+AS13+AW13+BA13</f>
        <v>1281.02</v>
      </c>
      <c r="G13" s="60">
        <f>133</f>
        <v>133</v>
      </c>
      <c r="H13" s="61">
        <f>'Midwest Power Trading'!D20</f>
        <v>73.802000000000007</v>
      </c>
      <c r="I13" s="61">
        <f>'Midwest Power Trading'!F20</f>
        <v>166.05600000000001</v>
      </c>
      <c r="K13" s="60">
        <v>165</v>
      </c>
      <c r="L13" s="61">
        <f>'Northeast Power Trading'!D20</f>
        <v>94.176000000000002</v>
      </c>
      <c r="M13" s="61">
        <f>'Northeast Power Trading'!F20</f>
        <v>205.876</v>
      </c>
      <c r="O13" s="60">
        <v>71</v>
      </c>
      <c r="P13" s="61">
        <f>'Southeast Power Trading'!D20</f>
        <v>80.242000000000004</v>
      </c>
      <c r="Q13" s="61">
        <f>'Southeast Power Trading'!F20</f>
        <v>166.05600000000001</v>
      </c>
      <c r="R13" s="62"/>
      <c r="S13" s="60">
        <v>30</v>
      </c>
      <c r="T13" s="61">
        <f>'Ercot Trading'!D20</f>
        <v>35.084000000000003</v>
      </c>
      <c r="U13" s="61">
        <f>'Ercot Trading'!F20</f>
        <v>57.503999999999998</v>
      </c>
      <c r="V13" s="62"/>
      <c r="W13" s="60">
        <v>0</v>
      </c>
      <c r="X13" s="61">
        <f>Options!D20</f>
        <v>0.628</v>
      </c>
      <c r="Y13" s="61">
        <f>Options!F20</f>
        <v>38.5</v>
      </c>
      <c r="Z13" s="62"/>
      <c r="AA13" s="60">
        <v>0</v>
      </c>
      <c r="AB13" s="61">
        <f>'Services Desk'!D20</f>
        <v>21.27</v>
      </c>
      <c r="AC13" s="61">
        <f>'Services Desk'!F20</f>
        <v>31.75</v>
      </c>
      <c r="AD13" s="62"/>
      <c r="AE13" s="60">
        <v>170</v>
      </c>
      <c r="AF13" s="61">
        <f>Fundamentals!D20</f>
        <v>152.91</v>
      </c>
      <c r="AG13" s="61">
        <f>Fundamentals!F20</f>
        <v>180.61199999999999</v>
      </c>
      <c r="AI13" s="60">
        <f>68</f>
        <v>68</v>
      </c>
      <c r="AJ13" s="61">
        <f>'Genco Control Area'!D20</f>
        <v>95</v>
      </c>
      <c r="AK13" s="61">
        <f>'Genco Control Area'!F20</f>
        <v>94.213999999999999</v>
      </c>
      <c r="AM13" s="60">
        <v>20</v>
      </c>
      <c r="AN13" s="61">
        <f>15+8</f>
        <v>23</v>
      </c>
      <c r="AO13" s="61">
        <v>0</v>
      </c>
      <c r="AQ13" s="60">
        <v>0</v>
      </c>
      <c r="AR13" s="61">
        <v>0</v>
      </c>
      <c r="AS13" s="61">
        <v>0</v>
      </c>
      <c r="AU13" s="60">
        <f>141-5-AY13</f>
        <v>111</v>
      </c>
      <c r="AV13" s="60">
        <f>204-AZ13+57</f>
        <v>137</v>
      </c>
      <c r="AW13" s="61">
        <f>[9]Data!$P$43/1000</f>
        <v>318.85199999999998</v>
      </c>
      <c r="AY13" s="60">
        <f>565-540</f>
        <v>25</v>
      </c>
      <c r="AZ13" s="60">
        <f>1+7+8+1+94+13</f>
        <v>124</v>
      </c>
      <c r="BA13" s="61">
        <f>[8]Data!$P$43/1000</f>
        <v>21.6</v>
      </c>
    </row>
    <row r="14" spans="1:60" x14ac:dyDescent="0.3">
      <c r="A14" s="55" t="s">
        <v>49</v>
      </c>
      <c r="B14" s="56" t="s">
        <v>50</v>
      </c>
      <c r="C14" s="57">
        <f t="shared" si="0"/>
        <v>1035</v>
      </c>
      <c r="D14" s="58">
        <f t="shared" si="1"/>
        <v>1013.96</v>
      </c>
      <c r="E14" s="59">
        <f t="shared" si="2"/>
        <v>2000.9160000000002</v>
      </c>
      <c r="G14" s="60">
        <f>113</f>
        <v>113</v>
      </c>
      <c r="H14" s="61">
        <f>'Midwest Power Trading'!D21</f>
        <v>71.552000000000007</v>
      </c>
      <c r="I14" s="61">
        <f>'Midwest Power Trading'!F21</f>
        <v>184.01599999999999</v>
      </c>
      <c r="K14" s="60">
        <v>174</v>
      </c>
      <c r="L14" s="61">
        <f>'Northeast Power Trading'!D21</f>
        <v>126.886</v>
      </c>
      <c r="M14" s="61">
        <f>'Northeast Power Trading'!F21</f>
        <v>273.976</v>
      </c>
      <c r="O14" s="60">
        <v>106</v>
      </c>
      <c r="P14" s="61">
        <f>'Southeast Power Trading'!D21</f>
        <v>91.906000000000006</v>
      </c>
      <c r="Q14" s="61">
        <f>'Southeast Power Trading'!F21</f>
        <v>184.01599999999999</v>
      </c>
      <c r="R14" s="62"/>
      <c r="S14" s="60">
        <v>37</v>
      </c>
      <c r="T14" s="61">
        <f>'Ercot Trading'!D21</f>
        <v>32.311999999999998</v>
      </c>
      <c r="U14" s="61">
        <f>'Ercot Trading'!F21</f>
        <v>57</v>
      </c>
      <c r="V14" s="62"/>
      <c r="W14" s="60">
        <v>0</v>
      </c>
      <c r="X14" s="61">
        <f>Options!D21</f>
        <v>33.185000000000002</v>
      </c>
      <c r="Y14" s="61">
        <f>Options!F21</f>
        <v>82.02</v>
      </c>
      <c r="Z14" s="62"/>
      <c r="AA14" s="60">
        <v>0</v>
      </c>
      <c r="AB14" s="61">
        <f>'Services Desk'!D21</f>
        <v>19.805</v>
      </c>
      <c r="AC14" s="61">
        <f>'Services Desk'!F21</f>
        <v>419.892</v>
      </c>
      <c r="AD14" s="62"/>
      <c r="AE14" s="60">
        <v>40</v>
      </c>
      <c r="AF14" s="61">
        <f>Fundamentals!D21</f>
        <v>49.637999999999998</v>
      </c>
      <c r="AG14" s="61">
        <f>Fundamentals!F21</f>
        <v>63.996000000000002</v>
      </c>
      <c r="AI14" s="60">
        <f>28</f>
        <v>28</v>
      </c>
      <c r="AJ14" s="61">
        <f>'Genco Control Area'!D21</f>
        <v>87.676000000000002</v>
      </c>
      <c r="AK14" s="61">
        <f>'Genco Control Area'!F21</f>
        <v>27.995999999999999</v>
      </c>
      <c r="AM14" s="60">
        <v>1</v>
      </c>
      <c r="AN14" s="61">
        <f>9+2</f>
        <v>11</v>
      </c>
      <c r="AO14" s="61">
        <v>0</v>
      </c>
      <c r="AQ14" s="60">
        <v>0</v>
      </c>
      <c r="AR14" s="61">
        <v>0</v>
      </c>
      <c r="AS14" s="61">
        <v>0</v>
      </c>
      <c r="AU14" s="60">
        <f>560-24-AY14</f>
        <v>-4</v>
      </c>
      <c r="AV14" s="60">
        <f>267-AZ14+223</f>
        <v>134</v>
      </c>
      <c r="AW14" s="61">
        <f>[9]Data!$P$50/1000</f>
        <v>368.00400000000002</v>
      </c>
      <c r="AY14" s="60">
        <v>540</v>
      </c>
      <c r="AZ14" s="60">
        <f>131+225</f>
        <v>356</v>
      </c>
      <c r="BA14" s="61">
        <f>[8]Data!$P$50/1000</f>
        <v>340</v>
      </c>
    </row>
    <row r="15" spans="1:60" x14ac:dyDescent="0.3">
      <c r="A15" s="55" t="s">
        <v>51</v>
      </c>
      <c r="B15" s="56" t="s">
        <v>15</v>
      </c>
      <c r="C15" s="57">
        <f t="shared" si="0"/>
        <v>1339</v>
      </c>
      <c r="D15" s="58">
        <f t="shared" si="1"/>
        <v>3422.3650000000002</v>
      </c>
      <c r="E15" s="59">
        <f t="shared" si="2"/>
        <v>2990.3159999999998</v>
      </c>
      <c r="G15" s="60">
        <v>6</v>
      </c>
      <c r="H15" s="61">
        <f>'Midwest Power Trading'!D22</f>
        <v>3</v>
      </c>
      <c r="I15" s="61">
        <f>'Midwest Power Trading'!F22</f>
        <v>11.052</v>
      </c>
      <c r="K15" s="60">
        <v>10</v>
      </c>
      <c r="L15" s="61">
        <f>'Northeast Power Trading'!D22</f>
        <v>4.9980000000000002</v>
      </c>
      <c r="M15" s="61">
        <f>'Northeast Power Trading'!F22</f>
        <v>0</v>
      </c>
      <c r="O15" s="60">
        <v>6</v>
      </c>
      <c r="P15" s="61">
        <f>'Southeast Power Trading'!D22</f>
        <v>31.75</v>
      </c>
      <c r="Q15" s="61">
        <f>'Southeast Power Trading'!F22</f>
        <v>11.052</v>
      </c>
      <c r="R15" s="62"/>
      <c r="S15" s="60">
        <f>0</f>
        <v>0</v>
      </c>
      <c r="T15" s="61">
        <f>'Ercot Trading'!D22</f>
        <v>0</v>
      </c>
      <c r="U15" s="61">
        <f>'Ercot Trading'!F22</f>
        <v>500.00400000000002</v>
      </c>
      <c r="V15" s="62"/>
      <c r="W15" s="60">
        <v>0</v>
      </c>
      <c r="X15" s="61">
        <f>Options!D22</f>
        <v>0</v>
      </c>
      <c r="Y15" s="61">
        <f>Options!F22</f>
        <v>0</v>
      </c>
      <c r="Z15" s="62"/>
      <c r="AA15" s="60">
        <v>0</v>
      </c>
      <c r="AB15" s="61">
        <f>'Services Desk'!D22</f>
        <v>7.6999999999999999E-2</v>
      </c>
      <c r="AC15" s="61">
        <f>'Services Desk'!F22</f>
        <v>0</v>
      </c>
      <c r="AD15" s="62"/>
      <c r="AE15" s="60">
        <v>460</v>
      </c>
      <c r="AF15" s="61">
        <f>Fundamentals!D22</f>
        <v>978.32600000000002</v>
      </c>
      <c r="AG15" s="61">
        <f>Fundamentals!F22</f>
        <v>1060.008</v>
      </c>
      <c r="AI15" s="60">
        <v>0</v>
      </c>
      <c r="AJ15" s="61">
        <f>'Genco Control Area'!D22</f>
        <v>0.214</v>
      </c>
      <c r="AK15" s="61">
        <f>'Genco Control Area'!F22</f>
        <v>0</v>
      </c>
      <c r="AM15" s="60">
        <v>0</v>
      </c>
      <c r="AN15" s="61">
        <f>514+300</f>
        <v>814</v>
      </c>
      <c r="AO15" s="61">
        <v>0</v>
      </c>
      <c r="AQ15" s="60">
        <v>0</v>
      </c>
      <c r="AR15" s="61">
        <v>0</v>
      </c>
      <c r="AS15" s="61">
        <v>0</v>
      </c>
      <c r="AU15" s="60">
        <f>864-7-AY15</f>
        <v>244</v>
      </c>
      <c r="AV15" s="60">
        <f>1233-AZ15+357</f>
        <v>649</v>
      </c>
      <c r="AW15" s="61">
        <f>([9]Data!$P$62+[9]Data!$P$70)/1000</f>
        <v>265</v>
      </c>
      <c r="AY15" s="60">
        <f>600+13</f>
        <v>613</v>
      </c>
      <c r="AZ15" s="60">
        <f>1+15+669+250+6</f>
        <v>941</v>
      </c>
      <c r="BA15" s="61">
        <f>([8]Data!$P$62+[8]Data!$P$70)/1000</f>
        <v>1143.2</v>
      </c>
    </row>
    <row r="16" spans="1:60" x14ac:dyDescent="0.3">
      <c r="A16" s="55" t="s">
        <v>52</v>
      </c>
      <c r="B16" s="56" t="s">
        <v>16</v>
      </c>
      <c r="C16" s="57">
        <f t="shared" si="0"/>
        <v>1976</v>
      </c>
      <c r="D16" s="58">
        <f t="shared" si="1"/>
        <v>2452.0459999999998</v>
      </c>
      <c r="E16" s="59">
        <f t="shared" si="2"/>
        <v>3051.8680000000004</v>
      </c>
      <c r="G16" s="60">
        <f>9+42+72</f>
        <v>123</v>
      </c>
      <c r="H16" s="61">
        <f>'Midwest Power Trading'!D23</f>
        <v>122.42400000000001</v>
      </c>
      <c r="I16" s="61">
        <f>'Midwest Power Trading'!F23</f>
        <v>159.06399999999999</v>
      </c>
      <c r="K16" s="60">
        <f>17+83+119</f>
        <v>219</v>
      </c>
      <c r="L16" s="61">
        <f>'Northeast Power Trading'!D23</f>
        <v>180.631</v>
      </c>
      <c r="M16" s="61">
        <f>'Northeast Power Trading'!F23</f>
        <v>212.58</v>
      </c>
      <c r="O16" s="60">
        <f>11+53+83</f>
        <v>147</v>
      </c>
      <c r="P16" s="61">
        <f>'Southeast Power Trading'!D23</f>
        <v>142.41800000000001</v>
      </c>
      <c r="Q16" s="61">
        <f>'Southeast Power Trading'!F23</f>
        <v>159.06399999999999</v>
      </c>
      <c r="R16" s="62"/>
      <c r="S16" s="60">
        <f>4+18+35</f>
        <v>57</v>
      </c>
      <c r="T16" s="61">
        <f>'Ercot Trading'!D23</f>
        <v>123.33499999999999</v>
      </c>
      <c r="U16" s="61">
        <f>'Ercot Trading'!F23</f>
        <v>263.44799999999998</v>
      </c>
      <c r="V16" s="62"/>
      <c r="W16" s="60">
        <v>0</v>
      </c>
      <c r="X16" s="61">
        <f>Options!D23</f>
        <v>9.2330000000000005</v>
      </c>
      <c r="Y16" s="61">
        <f>Options!F23</f>
        <v>75.804000000000002</v>
      </c>
      <c r="Z16" s="62"/>
      <c r="AA16" s="60">
        <v>0</v>
      </c>
      <c r="AB16" s="61">
        <f>'Services Desk'!D23</f>
        <v>6.6319999999999997</v>
      </c>
      <c r="AC16" s="61">
        <f>'Services Desk'!F23</f>
        <v>92.1</v>
      </c>
      <c r="AD16" s="62"/>
      <c r="AE16" s="60">
        <f>27+146+140</f>
        <v>313</v>
      </c>
      <c r="AF16" s="61">
        <f>Fundamentals!D23</f>
        <v>485.73399999999998</v>
      </c>
      <c r="AG16" s="61">
        <f>Fundamentals!F23</f>
        <v>779.68799999999999</v>
      </c>
      <c r="AI16" s="60">
        <f>17+60+36</f>
        <v>113</v>
      </c>
      <c r="AJ16" s="61">
        <f>'Genco Control Area'!D23</f>
        <v>329.63900000000001</v>
      </c>
      <c r="AK16" s="61">
        <f>'Genco Control Area'!F23</f>
        <v>304.32</v>
      </c>
      <c r="AM16" s="60">
        <f>10+6</f>
        <v>16</v>
      </c>
      <c r="AN16" s="61">
        <f>9+48+3+4+2</f>
        <v>66</v>
      </c>
      <c r="AO16" s="61">
        <v>0</v>
      </c>
      <c r="AQ16" s="60">
        <v>0</v>
      </c>
      <c r="AR16" s="61">
        <v>0</v>
      </c>
      <c r="AS16" s="61">
        <v>0</v>
      </c>
      <c r="AU16" s="60">
        <f>189+202+417+190-1-1-8-AY16</f>
        <v>74</v>
      </c>
      <c r="AV16" s="60">
        <f>53+50+138+334-AZ16+411</f>
        <v>459</v>
      </c>
      <c r="AW16" s="61">
        <f>([9]Data!$P$66+[9]Data!$P$69+[9]Data!$P$73+[9]Data!$P$78)/1000</f>
        <v>576</v>
      </c>
      <c r="AY16" s="60">
        <f>194+200+400+120</f>
        <v>914</v>
      </c>
      <c r="AZ16" s="60">
        <f>3+29+5+3+1+45+12+48+381</f>
        <v>527</v>
      </c>
      <c r="BA16" s="61">
        <f>([8]Data!$P$66+[8]Data!$P$69+[8]Data!$P$73+[8]Data!$P$78)/1000</f>
        <v>429.8</v>
      </c>
    </row>
    <row r="17" spans="1:53" x14ac:dyDescent="0.3">
      <c r="A17" s="55" t="s">
        <v>53</v>
      </c>
      <c r="B17" s="56" t="s">
        <v>17</v>
      </c>
      <c r="C17" s="57">
        <f t="shared" si="0"/>
        <v>1983</v>
      </c>
      <c r="D17" s="58">
        <f t="shared" si="1"/>
        <v>1665.7950000000001</v>
      </c>
      <c r="E17" s="59">
        <f t="shared" si="2"/>
        <v>1890.1559999999999</v>
      </c>
      <c r="G17" s="60">
        <f>74</f>
        <v>74</v>
      </c>
      <c r="H17" s="61">
        <f>'Midwest Power Trading'!D24</f>
        <v>27.594000000000001</v>
      </c>
      <c r="I17" s="61">
        <f>'Midwest Power Trading'!F24</f>
        <v>33.095999999999997</v>
      </c>
      <c r="K17" s="60">
        <f>112</f>
        <v>112</v>
      </c>
      <c r="L17" s="61">
        <f>'Northeast Power Trading'!D24</f>
        <v>94.186000000000007</v>
      </c>
      <c r="M17" s="61">
        <f>'Northeast Power Trading'!F24</f>
        <v>90.024000000000001</v>
      </c>
      <c r="O17" s="60">
        <v>67</v>
      </c>
      <c r="P17" s="61">
        <f>'Southeast Power Trading'!D24</f>
        <v>33.54</v>
      </c>
      <c r="Q17" s="61">
        <f>'Southeast Power Trading'!F24</f>
        <v>33.095999999999997</v>
      </c>
      <c r="R17" s="62"/>
      <c r="S17" s="60">
        <v>25</v>
      </c>
      <c r="T17" s="61">
        <f>'Ercot Trading'!D24</f>
        <v>11.544</v>
      </c>
      <c r="U17" s="61">
        <f>'Ercot Trading'!F24</f>
        <v>15.888</v>
      </c>
      <c r="V17" s="62"/>
      <c r="W17" s="60">
        <v>0</v>
      </c>
      <c r="X17" s="61">
        <f>Options!D24</f>
        <v>34.86</v>
      </c>
      <c r="Y17" s="61">
        <f>Options!F24</f>
        <v>36</v>
      </c>
      <c r="Z17" s="62"/>
      <c r="AA17" s="60">
        <v>0</v>
      </c>
      <c r="AB17" s="61">
        <f>'Services Desk'!D24</f>
        <v>4.4610000000000003</v>
      </c>
      <c r="AC17" s="61">
        <f>'Services Desk'!F24</f>
        <v>13.2</v>
      </c>
      <c r="AD17" s="62"/>
      <c r="AE17" s="60">
        <v>95</v>
      </c>
      <c r="AF17" s="61">
        <f>Fundamentals!D24</f>
        <v>58.32</v>
      </c>
      <c r="AG17" s="61">
        <f>Fundamentals!F24</f>
        <v>272.85599999999999</v>
      </c>
      <c r="AI17" s="60">
        <v>325</v>
      </c>
      <c r="AJ17" s="61">
        <f>'Genco Control Area'!D24</f>
        <v>3.29</v>
      </c>
      <c r="AK17" s="61">
        <f>'Genco Control Area'!F24</f>
        <v>0</v>
      </c>
      <c r="AM17" s="60">
        <v>47</v>
      </c>
      <c r="AN17" s="61">
        <v>2</v>
      </c>
      <c r="AO17" s="61">
        <v>0</v>
      </c>
      <c r="AQ17" s="60">
        <v>0</v>
      </c>
      <c r="AR17" s="61">
        <v>0</v>
      </c>
      <c r="AS17" s="61">
        <v>0</v>
      </c>
      <c r="AU17" s="60">
        <f>1238-AY17</f>
        <v>1238</v>
      </c>
      <c r="AV17" s="60">
        <f>881-AZ17+515</f>
        <v>1396</v>
      </c>
      <c r="AW17" s="61">
        <f>[9]Data!$P$80/1000</f>
        <v>1395.9960000000001</v>
      </c>
      <c r="AY17" s="60">
        <v>0</v>
      </c>
      <c r="AZ17" s="60">
        <v>0</v>
      </c>
      <c r="BA17" s="61">
        <v>0</v>
      </c>
    </row>
    <row r="18" spans="1:53" x14ac:dyDescent="0.3">
      <c r="A18" s="55" t="s">
        <v>54</v>
      </c>
      <c r="B18" s="56" t="s">
        <v>18</v>
      </c>
      <c r="C18" s="57">
        <f t="shared" si="0"/>
        <v>2584</v>
      </c>
      <c r="D18" s="58">
        <f t="shared" si="1"/>
        <v>2582</v>
      </c>
      <c r="E18" s="59">
        <f t="shared" si="2"/>
        <v>7752</v>
      </c>
      <c r="G18" s="60">
        <v>0</v>
      </c>
      <c r="H18" s="61">
        <f>'Midwest Power Trading'!D25</f>
        <v>0</v>
      </c>
      <c r="I18" s="61">
        <f>'Midwest Power Trading'!F25</f>
        <v>0</v>
      </c>
      <c r="K18" s="60">
        <v>0</v>
      </c>
      <c r="L18" s="61">
        <f>'Northeast Power Trading'!D25</f>
        <v>0</v>
      </c>
      <c r="M18" s="61">
        <f>'Northeast Power Trading'!F25</f>
        <v>0</v>
      </c>
      <c r="O18" s="60">
        <v>0</v>
      </c>
      <c r="P18" s="61">
        <f>'Southeast Power Trading'!D25</f>
        <v>0</v>
      </c>
      <c r="Q18" s="61">
        <f>'Southeast Power Trading'!F25</f>
        <v>0</v>
      </c>
      <c r="R18" s="62"/>
      <c r="S18" s="60">
        <v>0</v>
      </c>
      <c r="T18" s="61">
        <f>'Ercot Trading'!D25</f>
        <v>0</v>
      </c>
      <c r="U18" s="61">
        <f>'Ercot Trading'!F25</f>
        <v>0</v>
      </c>
      <c r="V18" s="62"/>
      <c r="W18" s="60">
        <v>0</v>
      </c>
      <c r="X18" s="61">
        <f>Options!D25</f>
        <v>0</v>
      </c>
      <c r="Y18" s="61">
        <f>Options!F25</f>
        <v>0</v>
      </c>
      <c r="Z18" s="62"/>
      <c r="AA18" s="60">
        <v>0</v>
      </c>
      <c r="AB18" s="61">
        <f>'Services Desk'!D25</f>
        <v>0</v>
      </c>
      <c r="AC18" s="61">
        <f>'Services Desk'!F25</f>
        <v>0</v>
      </c>
      <c r="AD18" s="62"/>
      <c r="AE18" s="60">
        <v>0</v>
      </c>
      <c r="AF18" s="61">
        <f>Fundamentals!D25</f>
        <v>0</v>
      </c>
      <c r="AG18" s="61">
        <f>Fundamentals!F25</f>
        <v>0</v>
      </c>
      <c r="AI18" s="60">
        <v>0</v>
      </c>
      <c r="AJ18" s="61">
        <f>'Genco Control Area'!D25</f>
        <v>0</v>
      </c>
      <c r="AK18" s="61">
        <f>'Genco Control Area'!F25</f>
        <v>0</v>
      </c>
      <c r="AM18" s="60">
        <v>0</v>
      </c>
      <c r="AN18" s="61">
        <v>0</v>
      </c>
      <c r="AO18" s="61">
        <v>0</v>
      </c>
      <c r="AQ18" s="60">
        <v>0</v>
      </c>
      <c r="AR18" s="61">
        <v>0</v>
      </c>
      <c r="AS18" s="61">
        <v>0</v>
      </c>
      <c r="AU18" s="60">
        <f>2584-AY18</f>
        <v>2584</v>
      </c>
      <c r="AV18" s="60">
        <f>1507-AZ18+1075</f>
        <v>2582</v>
      </c>
      <c r="AW18" s="61">
        <f>[9]Data!$P$79/1000</f>
        <v>7752</v>
      </c>
      <c r="AY18" s="60">
        <v>0</v>
      </c>
      <c r="AZ18" s="60">
        <v>0</v>
      </c>
      <c r="BA18" s="61">
        <v>0</v>
      </c>
    </row>
    <row r="19" spans="1:53" x14ac:dyDescent="0.3">
      <c r="A19" s="55" t="s">
        <v>55</v>
      </c>
      <c r="B19" s="56" t="s">
        <v>19</v>
      </c>
      <c r="C19" s="57">
        <f t="shared" si="0"/>
        <v>2099</v>
      </c>
      <c r="D19" s="58">
        <f t="shared" si="1"/>
        <v>2100.6019999999999</v>
      </c>
      <c r="E19" s="59">
        <f t="shared" si="2"/>
        <v>0</v>
      </c>
      <c r="G19" s="60">
        <v>0</v>
      </c>
      <c r="H19" s="61">
        <f>'Midwest Power Trading'!D26</f>
        <v>0</v>
      </c>
      <c r="I19" s="61">
        <f>'Midwest Power Trading'!F26</f>
        <v>0</v>
      </c>
      <c r="K19" s="60">
        <v>0</v>
      </c>
      <c r="L19" s="61">
        <f>'Northeast Power Trading'!D26</f>
        <v>0</v>
      </c>
      <c r="M19" s="61">
        <f>'Northeast Power Trading'!F26</f>
        <v>0</v>
      </c>
      <c r="O19" s="60">
        <v>0</v>
      </c>
      <c r="P19" s="61">
        <f>'Southeast Power Trading'!D26</f>
        <v>0</v>
      </c>
      <c r="Q19" s="61">
        <f>'Southeast Power Trading'!F26</f>
        <v>0</v>
      </c>
      <c r="R19" s="62"/>
      <c r="S19" s="60">
        <v>0</v>
      </c>
      <c r="T19" s="61">
        <f>'Ercot Trading'!D26</f>
        <v>0</v>
      </c>
      <c r="U19" s="61">
        <f>'Ercot Trading'!F26</f>
        <v>0</v>
      </c>
      <c r="V19" s="62"/>
      <c r="W19" s="60">
        <v>0</v>
      </c>
      <c r="X19" s="61">
        <f>Options!D26</f>
        <v>0</v>
      </c>
      <c r="Y19" s="61">
        <f>Options!F26</f>
        <v>0</v>
      </c>
      <c r="Z19" s="62"/>
      <c r="AA19" s="60">
        <v>0</v>
      </c>
      <c r="AB19" s="61">
        <f>'Services Desk'!D26</f>
        <v>0</v>
      </c>
      <c r="AC19" s="61">
        <f>'Services Desk'!F26</f>
        <v>0</v>
      </c>
      <c r="AD19" s="62"/>
      <c r="AE19" s="60">
        <v>0</v>
      </c>
      <c r="AF19" s="61">
        <f>Fundamentals!D26</f>
        <v>0</v>
      </c>
      <c r="AG19" s="61">
        <f>Fundamentals!F26</f>
        <v>0</v>
      </c>
      <c r="AI19" s="60">
        <f>1771</f>
        <v>1771</v>
      </c>
      <c r="AJ19" s="61">
        <f>'Genco Control Area'!D26</f>
        <v>1771.6020000000001</v>
      </c>
      <c r="AK19" s="61">
        <f>'Genco Control Area'!F26</f>
        <v>0</v>
      </c>
      <c r="AM19" s="60">
        <v>328</v>
      </c>
      <c r="AN19" s="61">
        <f>192+137</f>
        <v>329</v>
      </c>
      <c r="AO19" s="61">
        <v>0</v>
      </c>
      <c r="AQ19" s="60">
        <v>0</v>
      </c>
      <c r="AR19" s="61">
        <v>0</v>
      </c>
      <c r="AS19" s="61">
        <v>0</v>
      </c>
      <c r="AU19" s="60">
        <v>0</v>
      </c>
      <c r="AV19" s="60">
        <f>0</f>
        <v>0</v>
      </c>
      <c r="AW19" s="61">
        <v>0</v>
      </c>
      <c r="AY19" s="60">
        <v>0</v>
      </c>
      <c r="AZ19" s="60">
        <v>0</v>
      </c>
      <c r="BA19" s="61">
        <v>0</v>
      </c>
    </row>
    <row r="20" spans="1:53" x14ac:dyDescent="0.3">
      <c r="A20" s="55" t="s">
        <v>56</v>
      </c>
      <c r="B20" s="56" t="s">
        <v>57</v>
      </c>
      <c r="C20" s="57">
        <f t="shared" si="0"/>
        <v>0</v>
      </c>
      <c r="D20" s="58">
        <f t="shared" si="1"/>
        <v>2289.6000000000004</v>
      </c>
      <c r="E20" s="59">
        <f t="shared" si="2"/>
        <v>5331.5999999999995</v>
      </c>
      <c r="G20" s="60">
        <v>0</v>
      </c>
      <c r="H20" s="61">
        <f>'Midwest Power Trading'!D27</f>
        <v>432</v>
      </c>
      <c r="I20" s="61">
        <f>'Midwest Power Trading'!F27</f>
        <v>561.6</v>
      </c>
      <c r="K20" s="60">
        <v>0</v>
      </c>
      <c r="L20" s="61">
        <f>'Northeast Power Trading'!D27</f>
        <v>355.2</v>
      </c>
      <c r="M20" s="61">
        <f>'Northeast Power Trading'!F27</f>
        <v>1386</v>
      </c>
      <c r="O20" s="60">
        <v>0</v>
      </c>
      <c r="P20" s="61">
        <f>'Southeast Power Trading'!D27</f>
        <v>201.6</v>
      </c>
      <c r="Q20" s="61">
        <f>'Southeast Power Trading'!F27</f>
        <v>561.6</v>
      </c>
      <c r="R20" s="62"/>
      <c r="S20" s="60">
        <v>0</v>
      </c>
      <c r="T20" s="61">
        <f>'Ercot Trading'!D27</f>
        <v>278.39999999999998</v>
      </c>
      <c r="U20" s="61">
        <f>'Ercot Trading'!F27</f>
        <v>810</v>
      </c>
      <c r="V20" s="62"/>
      <c r="W20" s="60">
        <v>0</v>
      </c>
      <c r="X20" s="61">
        <f>Options!D27</f>
        <v>62.4</v>
      </c>
      <c r="Y20" s="61">
        <f>Options!F27</f>
        <v>104.4</v>
      </c>
      <c r="Z20" s="62"/>
      <c r="AA20" s="60">
        <v>0</v>
      </c>
      <c r="AB20" s="61">
        <f>'Services Desk'!D27</f>
        <v>0</v>
      </c>
      <c r="AC20" s="61">
        <f>'Services Desk'!F27</f>
        <v>248.4</v>
      </c>
      <c r="AD20" s="62"/>
      <c r="AE20" s="60">
        <v>0</v>
      </c>
      <c r="AF20" s="61">
        <f>Fundamentals!D27</f>
        <v>960</v>
      </c>
      <c r="AG20" s="61">
        <f>Fundamentals!F27</f>
        <v>1202.4000000000001</v>
      </c>
      <c r="AI20" s="60">
        <v>0</v>
      </c>
      <c r="AJ20" s="61">
        <f>'Genco Control Area'!D27</f>
        <v>0</v>
      </c>
      <c r="AK20" s="61">
        <f>'Genco Control Area'!F27</f>
        <v>313.2</v>
      </c>
      <c r="AM20" s="60">
        <v>0</v>
      </c>
      <c r="AN20" s="61">
        <v>0</v>
      </c>
      <c r="AO20" s="61">
        <v>0</v>
      </c>
      <c r="AQ20" s="60">
        <v>0</v>
      </c>
      <c r="AR20" s="61">
        <v>0</v>
      </c>
      <c r="AS20" s="61">
        <v>0</v>
      </c>
      <c r="AU20" s="60">
        <v>0</v>
      </c>
      <c r="AV20" s="60">
        <v>0</v>
      </c>
      <c r="AW20" s="61">
        <f>[9]Data!$P$74/1000</f>
        <v>144</v>
      </c>
      <c r="AY20" s="60">
        <v>0</v>
      </c>
      <c r="AZ20" s="60">
        <v>0</v>
      </c>
      <c r="BA20" s="61">
        <v>0</v>
      </c>
    </row>
    <row r="21" spans="1:53" x14ac:dyDescent="0.3">
      <c r="A21" s="55" t="s">
        <v>58</v>
      </c>
      <c r="B21" s="56" t="s">
        <v>59</v>
      </c>
      <c r="C21" s="57">
        <f t="shared" si="0"/>
        <v>2202</v>
      </c>
      <c r="D21" s="58">
        <f t="shared" si="1"/>
        <v>1281.1770000000001</v>
      </c>
      <c r="E21" s="59">
        <f t="shared" si="2"/>
        <v>1161.0160000000001</v>
      </c>
      <c r="G21" s="60">
        <f>154</f>
        <v>154</v>
      </c>
      <c r="H21" s="61">
        <f>'Midwest Power Trading'!D28</f>
        <v>16.486999999999998</v>
      </c>
      <c r="I21" s="61">
        <f>'Midwest Power Trading'!F28</f>
        <v>17.399999999999999</v>
      </c>
      <c r="K21" s="60">
        <f>162</f>
        <v>162</v>
      </c>
      <c r="L21" s="61">
        <f>'Northeast Power Trading'!D28</f>
        <v>15.048999999999999</v>
      </c>
      <c r="M21" s="61">
        <f>'Northeast Power Trading'!F28</f>
        <v>0</v>
      </c>
      <c r="O21" s="60">
        <v>85</v>
      </c>
      <c r="P21" s="61">
        <f>'Southeast Power Trading'!D28</f>
        <v>3.2130000000000001</v>
      </c>
      <c r="Q21" s="61">
        <f>'Southeast Power Trading'!F28</f>
        <v>17.399999999999999</v>
      </c>
      <c r="R21" s="62"/>
      <c r="S21" s="60">
        <v>57</v>
      </c>
      <c r="T21" s="61">
        <f>'Ercot Trading'!D28</f>
        <v>8.5980000000000008</v>
      </c>
      <c r="U21" s="61">
        <f>'Ercot Trading'!F28</f>
        <v>0</v>
      </c>
      <c r="V21" s="62"/>
      <c r="W21" s="60">
        <v>0</v>
      </c>
      <c r="X21" s="61">
        <f>Options!D28</f>
        <v>2.968</v>
      </c>
      <c r="Y21" s="61">
        <f>Options!F28</f>
        <v>0</v>
      </c>
      <c r="Z21" s="62"/>
      <c r="AA21" s="60">
        <v>0</v>
      </c>
      <c r="AB21" s="61">
        <f>'Services Desk'!D28</f>
        <v>0</v>
      </c>
      <c r="AC21" s="61">
        <f>'Services Desk'!F28</f>
        <v>6</v>
      </c>
      <c r="AD21" s="62"/>
      <c r="AE21" s="60">
        <v>59</v>
      </c>
      <c r="AF21" s="61">
        <f>Fundamentals!D28</f>
        <v>13.558999999999999</v>
      </c>
      <c r="AG21" s="61">
        <f>Fundamentals!F28</f>
        <v>0</v>
      </c>
      <c r="AI21" s="60">
        <v>0</v>
      </c>
      <c r="AJ21" s="61">
        <f>'Genco Control Area'!D28</f>
        <v>40.302999999999997</v>
      </c>
      <c r="AK21" s="61">
        <f>'Genco Control Area'!F28</f>
        <v>0</v>
      </c>
      <c r="AM21" s="60">
        <v>5</v>
      </c>
      <c r="AN21" s="61">
        <v>-600</v>
      </c>
      <c r="AO21" s="61">
        <v>0</v>
      </c>
      <c r="AQ21" s="60">
        <v>0</v>
      </c>
      <c r="AR21" s="61">
        <v>0</v>
      </c>
      <c r="AS21" s="61">
        <v>0</v>
      </c>
      <c r="AU21" s="60">
        <f>1681-1-AY21</f>
        <v>1080</v>
      </c>
      <c r="AV21" s="60">
        <f>1075+6-AZ21+700</f>
        <v>1402</v>
      </c>
      <c r="AW21" s="61">
        <f>([9]Data!$P$84+[9]Data!$P$53)/1000</f>
        <v>870.21600000000001</v>
      </c>
      <c r="AY21" s="60">
        <f>600</f>
        <v>600</v>
      </c>
      <c r="AZ21" s="60">
        <f>129+250</f>
        <v>379</v>
      </c>
      <c r="BA21" s="61">
        <f>[8]Data!$P$83/1000</f>
        <v>250</v>
      </c>
    </row>
    <row r="22" spans="1:53" x14ac:dyDescent="0.3">
      <c r="A22" s="55" t="s">
        <v>60</v>
      </c>
      <c r="B22" s="56" t="s">
        <v>21</v>
      </c>
      <c r="C22" s="57">
        <f t="shared" si="0"/>
        <v>0</v>
      </c>
      <c r="D22" s="58">
        <f t="shared" si="1"/>
        <v>173.34700000000001</v>
      </c>
      <c r="E22" s="59">
        <f t="shared" si="2"/>
        <v>446.76799999999997</v>
      </c>
      <c r="G22" s="60">
        <v>0</v>
      </c>
      <c r="H22" s="61">
        <f>'Midwest Power Trading'!D29</f>
        <v>2.2559999999999998</v>
      </c>
      <c r="I22" s="61">
        <f>'Midwest Power Trading'!F29</f>
        <v>0</v>
      </c>
      <c r="K22" s="60">
        <v>0</v>
      </c>
      <c r="L22" s="61">
        <f>'Northeast Power Trading'!D29</f>
        <v>71.051000000000002</v>
      </c>
      <c r="M22" s="61">
        <f>'Northeast Power Trading'!F29</f>
        <v>197.76</v>
      </c>
      <c r="O22" s="60">
        <v>0</v>
      </c>
      <c r="P22" s="61">
        <f>'Southeast Power Trading'!D29</f>
        <v>0</v>
      </c>
      <c r="Q22" s="61">
        <f>'Southeast Power Trading'!F29</f>
        <v>58</v>
      </c>
      <c r="R22" s="62"/>
      <c r="S22" s="60">
        <v>0</v>
      </c>
      <c r="T22" s="61">
        <f>'Ercot Trading'!D29</f>
        <v>0</v>
      </c>
      <c r="U22" s="61">
        <f>'Ercot Trading'!F29</f>
        <v>7</v>
      </c>
      <c r="V22" s="62"/>
      <c r="W22" s="60">
        <v>0</v>
      </c>
      <c r="X22" s="61">
        <f>Options!D29</f>
        <v>0</v>
      </c>
      <c r="Y22" s="61">
        <f>Options!F29</f>
        <v>0</v>
      </c>
      <c r="Z22" s="62"/>
      <c r="AA22" s="60">
        <v>0</v>
      </c>
      <c r="AB22" s="61">
        <f>'Services Desk'!D29</f>
        <v>0.04</v>
      </c>
      <c r="AC22" s="61">
        <f>'Services Desk'!F29</f>
        <v>0</v>
      </c>
      <c r="AD22" s="62"/>
      <c r="AE22" s="60">
        <v>0</v>
      </c>
      <c r="AF22" s="61">
        <f>Fundamentals!D29</f>
        <v>0</v>
      </c>
      <c r="AG22" s="61">
        <f>Fundamentals!F29</f>
        <v>0</v>
      </c>
      <c r="AI22" s="60">
        <v>0</v>
      </c>
      <c r="AJ22" s="61">
        <f>'Genco Control Area'!D29</f>
        <v>0</v>
      </c>
      <c r="AK22" s="61">
        <f>'Genco Control Area'!F29</f>
        <v>0</v>
      </c>
      <c r="AM22" s="60">
        <v>0</v>
      </c>
      <c r="AN22" s="61">
        <v>0</v>
      </c>
      <c r="AO22" s="61">
        <v>0</v>
      </c>
      <c r="AQ22" s="60">
        <v>0</v>
      </c>
      <c r="AR22" s="61">
        <v>0</v>
      </c>
      <c r="AS22" s="61">
        <v>0</v>
      </c>
      <c r="AU22" s="60">
        <v>0</v>
      </c>
      <c r="AV22" s="60">
        <f>100-AZ22</f>
        <v>60</v>
      </c>
      <c r="AW22" s="61">
        <f>[9]Data!$P$75/1000</f>
        <v>97.512</v>
      </c>
      <c r="AY22" s="60">
        <v>0</v>
      </c>
      <c r="AZ22" s="60">
        <f>40</f>
        <v>40</v>
      </c>
      <c r="BA22" s="61">
        <f>[8]Data!$P$75/1000</f>
        <v>86.495999999999995</v>
      </c>
    </row>
    <row r="23" spans="1:53" x14ac:dyDescent="0.3">
      <c r="A23" s="55" t="s">
        <v>61</v>
      </c>
      <c r="B23" s="56" t="s">
        <v>22</v>
      </c>
      <c r="C23" s="57">
        <f t="shared" si="0"/>
        <v>16</v>
      </c>
      <c r="D23" s="58">
        <f t="shared" si="1"/>
        <v>0</v>
      </c>
      <c r="E23" s="59">
        <f t="shared" si="2"/>
        <v>0</v>
      </c>
      <c r="G23" s="60">
        <v>0</v>
      </c>
      <c r="H23" s="61">
        <f>'Midwest Power Trading'!D30</f>
        <v>0</v>
      </c>
      <c r="I23" s="61">
        <f>'Midwest Power Trading'!F30</f>
        <v>0</v>
      </c>
      <c r="K23" s="60">
        <v>0</v>
      </c>
      <c r="L23" s="61">
        <f>'Northeast Power Trading'!D30</f>
        <v>0</v>
      </c>
      <c r="M23" s="61">
        <f>'Northeast Power Trading'!F30</f>
        <v>0</v>
      </c>
      <c r="O23" s="60">
        <v>0</v>
      </c>
      <c r="P23" s="61">
        <f>'Southeast Power Trading'!D30</f>
        <v>0</v>
      </c>
      <c r="Q23" s="61">
        <f>'Southeast Power Trading'!F30</f>
        <v>0</v>
      </c>
      <c r="R23" s="62"/>
      <c r="S23" s="60">
        <v>0</v>
      </c>
      <c r="T23" s="61">
        <f>'Ercot Trading'!D30</f>
        <v>0</v>
      </c>
      <c r="U23" s="61">
        <f>'Ercot Trading'!F30</f>
        <v>0</v>
      </c>
      <c r="V23" s="62"/>
      <c r="W23" s="60">
        <v>0</v>
      </c>
      <c r="X23" s="61">
        <f>Options!D30</f>
        <v>0</v>
      </c>
      <c r="Y23" s="61">
        <f>Options!F30</f>
        <v>0</v>
      </c>
      <c r="Z23" s="62"/>
      <c r="AA23" s="60">
        <v>0</v>
      </c>
      <c r="AB23" s="61">
        <f>'Services Desk'!D30</f>
        <v>0</v>
      </c>
      <c r="AC23" s="61">
        <f>'Services Desk'!F30</f>
        <v>0</v>
      </c>
      <c r="AD23" s="62"/>
      <c r="AE23" s="60">
        <v>0</v>
      </c>
      <c r="AF23" s="61">
        <f>Fundamentals!D30</f>
        <v>0</v>
      </c>
      <c r="AG23" s="61">
        <f>Fundamentals!F30</f>
        <v>0</v>
      </c>
      <c r="AI23" s="60">
        <v>0</v>
      </c>
      <c r="AJ23" s="61">
        <f>'Genco Control Area'!D30</f>
        <v>0</v>
      </c>
      <c r="AK23" s="61">
        <f>'Genco Control Area'!F30</f>
        <v>0</v>
      </c>
      <c r="AM23" s="60">
        <v>0</v>
      </c>
      <c r="AN23" s="61">
        <v>0</v>
      </c>
      <c r="AO23" s="61">
        <v>0</v>
      </c>
      <c r="AQ23" s="60">
        <v>0</v>
      </c>
      <c r="AR23" s="61">
        <v>0</v>
      </c>
      <c r="AS23" s="61">
        <v>0</v>
      </c>
      <c r="AU23" s="60">
        <v>16</v>
      </c>
      <c r="AV23" s="60">
        <v>0</v>
      </c>
      <c r="AW23" s="61">
        <v>0</v>
      </c>
      <c r="AY23" s="60">
        <v>0</v>
      </c>
      <c r="AZ23" s="60">
        <v>0</v>
      </c>
      <c r="BA23" s="61">
        <v>0</v>
      </c>
    </row>
    <row r="24" spans="1:53" x14ac:dyDescent="0.3">
      <c r="A24" s="55" t="s">
        <v>62</v>
      </c>
      <c r="B24" s="56" t="s">
        <v>23</v>
      </c>
      <c r="C24" s="57">
        <f t="shared" si="0"/>
        <v>857</v>
      </c>
      <c r="D24" s="58">
        <f t="shared" si="1"/>
        <v>432.38099999999997</v>
      </c>
      <c r="E24" s="59">
        <f t="shared" si="2"/>
        <v>854.77199999999993</v>
      </c>
      <c r="G24" s="60">
        <f>9</f>
        <v>9</v>
      </c>
      <c r="H24" s="61">
        <f>'Midwest Power Trading'!D31</f>
        <v>4.5060000000000002</v>
      </c>
      <c r="I24" s="61">
        <f>'Midwest Power Trading'!F31</f>
        <v>0</v>
      </c>
      <c r="K24" s="60">
        <v>15</v>
      </c>
      <c r="L24" s="61">
        <f>'Northeast Power Trading'!D31</f>
        <v>0</v>
      </c>
      <c r="M24" s="61">
        <f>'Northeast Power Trading'!F31</f>
        <v>0</v>
      </c>
      <c r="O24" s="60">
        <v>10</v>
      </c>
      <c r="P24" s="61">
        <f>'Southeast Power Trading'!D31</f>
        <v>0</v>
      </c>
      <c r="Q24" s="61">
        <f>'Southeast Power Trading'!F31</f>
        <v>0</v>
      </c>
      <c r="R24" s="62"/>
      <c r="S24" s="60">
        <v>0</v>
      </c>
      <c r="T24" s="61">
        <f>'Ercot Trading'!D31</f>
        <v>0</v>
      </c>
      <c r="U24" s="61">
        <f>'Ercot Trading'!F31</f>
        <v>0</v>
      </c>
      <c r="V24" s="62"/>
      <c r="W24" s="60">
        <v>0</v>
      </c>
      <c r="X24" s="61">
        <f>Options!D31</f>
        <v>0</v>
      </c>
      <c r="Y24" s="61">
        <f>Options!F31</f>
        <v>0</v>
      </c>
      <c r="Z24" s="62"/>
      <c r="AA24" s="60">
        <v>0</v>
      </c>
      <c r="AB24" s="61">
        <f>'Services Desk'!D31</f>
        <v>0</v>
      </c>
      <c r="AC24" s="61">
        <f>'Services Desk'!F31</f>
        <v>0</v>
      </c>
      <c r="AD24" s="62"/>
      <c r="AE24" s="60">
        <v>0</v>
      </c>
      <c r="AF24" s="61">
        <f>Fundamentals!D31</f>
        <v>0</v>
      </c>
      <c r="AG24" s="61">
        <f>Fundamentals!F31</f>
        <v>0</v>
      </c>
      <c r="AI24" s="60">
        <v>722</v>
      </c>
      <c r="AJ24" s="61">
        <f>'Genco Control Area'!D31</f>
        <v>399.875</v>
      </c>
      <c r="AK24" s="61">
        <f>'Genco Control Area'!F31</f>
        <v>818.83199999999999</v>
      </c>
      <c r="AM24" s="60">
        <v>84</v>
      </c>
      <c r="AN24" s="61">
        <v>0</v>
      </c>
      <c r="AO24" s="61">
        <f>'[7]Midwest Power Origination'!AL31</f>
        <v>0</v>
      </c>
      <c r="AQ24" s="60">
        <v>0</v>
      </c>
      <c r="AR24" s="61">
        <v>0</v>
      </c>
      <c r="AS24" s="61">
        <f>'[7]Midwest Power Origination'!AP31</f>
        <v>0</v>
      </c>
      <c r="AU24" s="60">
        <v>17</v>
      </c>
      <c r="AV24" s="60">
        <f>21-AZ24+7</f>
        <v>28</v>
      </c>
      <c r="AW24" s="61">
        <f>[9]Data!$P$86/1000</f>
        <v>35.94</v>
      </c>
      <c r="AY24" s="60">
        <v>0</v>
      </c>
      <c r="AZ24" s="60">
        <v>0</v>
      </c>
      <c r="BA24" s="61">
        <v>0</v>
      </c>
    </row>
    <row r="25" spans="1:53" s="62" customFormat="1" ht="14.4" thickBot="1" x14ac:dyDescent="0.35">
      <c r="A25" s="63" t="s">
        <v>63</v>
      </c>
      <c r="B25" s="64" t="s">
        <v>24</v>
      </c>
      <c r="C25" s="65">
        <f>SUM(C12:C24)</f>
        <v>25972</v>
      </c>
      <c r="D25" s="66">
        <f>SUM(D12:D24)</f>
        <v>27390.175999999996</v>
      </c>
      <c r="E25" s="67">
        <f>SUM(E12:E24)</f>
        <v>38248.675954541664</v>
      </c>
      <c r="G25" s="66">
        <f>SUM(G12:G24)</f>
        <v>2180</v>
      </c>
      <c r="H25" s="66">
        <f>SUM(H12:H24)</f>
        <v>1670.5460000000003</v>
      </c>
      <c r="I25" s="66">
        <f>SUM(I12:I24)</f>
        <v>2427.9721396250002</v>
      </c>
      <c r="K25" s="66">
        <f>SUM(K12:K24)</f>
        <v>3308</v>
      </c>
      <c r="L25" s="66">
        <f>SUM(L12:L24)</f>
        <v>3083.4329999999995</v>
      </c>
      <c r="M25" s="66">
        <f>SUM(M12:M24)</f>
        <v>4048.0821241249996</v>
      </c>
      <c r="O25" s="66">
        <f>SUM(O12:O24)</f>
        <v>1887</v>
      </c>
      <c r="P25" s="66">
        <f>SUM(P12:P24)</f>
        <v>1501.5939999999998</v>
      </c>
      <c r="Q25" s="66">
        <f>SUM(Q12:Q24)</f>
        <v>2485.9721396250002</v>
      </c>
      <c r="S25" s="66">
        <f>SUM(S12:S24)</f>
        <v>880</v>
      </c>
      <c r="T25" s="66">
        <f>SUM(T12:T24)</f>
        <v>1282.3629999999998</v>
      </c>
      <c r="U25" s="66">
        <f>SUM(U12:U24)</f>
        <v>2829.5906331249998</v>
      </c>
      <c r="W25" s="66">
        <f>SUM(W12:W24)</f>
        <v>0</v>
      </c>
      <c r="X25" s="66">
        <f>SUM(X12:X24)</f>
        <v>677.38</v>
      </c>
      <c r="Y25" s="66">
        <f>SUM(Y12:Y24)</f>
        <v>1160.0722881249999</v>
      </c>
      <c r="AA25" s="66">
        <f>SUM(AA12:AA24)</f>
        <v>0</v>
      </c>
      <c r="AB25" s="66">
        <f>SUM(AB12:AB24)</f>
        <v>426.15600000000001</v>
      </c>
      <c r="AC25" s="66">
        <f>SUM(AC12:AC24)</f>
        <v>1757.7518105000001</v>
      </c>
      <c r="AE25" s="66">
        <f>SUM(AE12:AE24)</f>
        <v>2956</v>
      </c>
      <c r="AF25" s="66">
        <f>SUM(AF12:AF24)</f>
        <v>3436.2270000000003</v>
      </c>
      <c r="AG25" s="66">
        <f>SUM(AG12:AG24)</f>
        <v>4594.2627465416663</v>
      </c>
      <c r="AI25" s="66">
        <f>SUM(AI12:AI24)</f>
        <v>3974</v>
      </c>
      <c r="AJ25" s="66">
        <f>SUM(AJ12:AJ24)</f>
        <v>3359.4769999999999</v>
      </c>
      <c r="AK25" s="66">
        <f>SUM(AK12:AK24)</f>
        <v>2462.932685625</v>
      </c>
      <c r="AM25" s="66">
        <f>SUM(AM12:AM24)</f>
        <v>626</v>
      </c>
      <c r="AN25" s="66">
        <f>SUM(AN12:AN24)</f>
        <v>748</v>
      </c>
      <c r="AO25" s="66">
        <f>SUM(AO12:AO24)</f>
        <v>0</v>
      </c>
      <c r="AQ25" s="66">
        <f>SUM(AQ12:AQ24)</f>
        <v>0</v>
      </c>
      <c r="AR25" s="66">
        <f>SUM(AR12:AR24)</f>
        <v>0</v>
      </c>
      <c r="AS25" s="66">
        <f>SUM(AS12:AS24)</f>
        <v>0</v>
      </c>
      <c r="AU25" s="66">
        <f>SUM(AU12:AU24)</f>
        <v>6661</v>
      </c>
      <c r="AV25" s="66">
        <f>SUM(AV12:AV24)</f>
        <v>7931</v>
      </c>
      <c r="AW25" s="68">
        <f>SUM(AW12:AW24)</f>
        <v>12916.345797250002</v>
      </c>
      <c r="AY25" s="66">
        <f>SUM(AY12:AY24)</f>
        <v>3500</v>
      </c>
      <c r="AZ25" s="66">
        <f>SUM(AZ12:AZ24)</f>
        <v>3274</v>
      </c>
      <c r="BA25" s="68">
        <f>SUM(BA12:BA24)</f>
        <v>3565.6935900000003</v>
      </c>
    </row>
    <row r="26" spans="1:53" x14ac:dyDescent="0.3">
      <c r="C26" s="52"/>
      <c r="D26" s="53"/>
      <c r="E26" s="54"/>
      <c r="G26" s="41"/>
      <c r="H26" s="41"/>
    </row>
    <row r="27" spans="1:53" x14ac:dyDescent="0.3">
      <c r="C27" s="52"/>
      <c r="D27" s="53"/>
      <c r="E27" s="54"/>
      <c r="G27" s="41"/>
      <c r="H27" s="41"/>
    </row>
    <row r="28" spans="1:53" ht="15.6" x14ac:dyDescent="0.3">
      <c r="B28" s="40" t="s">
        <v>64</v>
      </c>
      <c r="C28" s="52"/>
      <c r="D28" s="53"/>
      <c r="E28" s="54"/>
      <c r="G28" s="41"/>
      <c r="H28" s="41"/>
    </row>
    <row r="29" spans="1:53" x14ac:dyDescent="0.3">
      <c r="C29" s="52"/>
      <c r="D29" s="53"/>
      <c r="E29" s="54"/>
      <c r="G29" s="41"/>
      <c r="H29" s="41"/>
    </row>
    <row r="30" spans="1:53" x14ac:dyDescent="0.3">
      <c r="B30" s="69" t="s">
        <v>27</v>
      </c>
      <c r="C30" s="57">
        <f t="shared" ref="C30:E34" si="3">G30+K30+O30+S30+W30+AA30+AE30+AI30+AM30+AQ30+AU30+AY30</f>
        <v>3</v>
      </c>
      <c r="D30" s="58">
        <f t="shared" si="3"/>
        <v>4</v>
      </c>
      <c r="E30" s="59">
        <f t="shared" si="3"/>
        <v>5</v>
      </c>
      <c r="F30" s="31"/>
      <c r="G30" s="60">
        <v>1</v>
      </c>
      <c r="H30" s="60">
        <f>'Midwest Power Trading'!D41</f>
        <v>1</v>
      </c>
      <c r="I30" s="60">
        <f>'Midwest Power Trading'!F41</f>
        <v>1</v>
      </c>
      <c r="K30" s="60">
        <v>1</v>
      </c>
      <c r="L30" s="60">
        <f>'Northeast Power Trading'!D41</f>
        <v>1</v>
      </c>
      <c r="M30" s="60">
        <f>'Northeast Power Trading'!F41</f>
        <v>1</v>
      </c>
      <c r="N30" s="60"/>
      <c r="O30" s="60">
        <v>0</v>
      </c>
      <c r="P30" s="60">
        <f>'Southeast Power Trading'!D41</f>
        <v>0</v>
      </c>
      <c r="Q30" s="60">
        <f>'Southeast Power Trading'!F41</f>
        <v>1</v>
      </c>
      <c r="R30" s="60"/>
      <c r="S30" s="60">
        <v>0</v>
      </c>
      <c r="T30" s="60">
        <f>'Ercot Trading'!D41</f>
        <v>0</v>
      </c>
      <c r="U30" s="60">
        <f>'Ercot Trading'!F41</f>
        <v>0</v>
      </c>
      <c r="V30" s="60"/>
      <c r="W30" s="60">
        <v>0</v>
      </c>
      <c r="X30" s="60">
        <f>Options!D41</f>
        <v>1</v>
      </c>
      <c r="Y30" s="60">
        <f>Options!F41</f>
        <v>1</v>
      </c>
      <c r="Z30" s="60"/>
      <c r="AA30" s="60">
        <v>0</v>
      </c>
      <c r="AB30" s="60">
        <f>'Services Desk'!E41</f>
        <v>0</v>
      </c>
      <c r="AC30" s="60">
        <f>'Services Desk'!F41</f>
        <v>0</v>
      </c>
      <c r="AD30" s="60"/>
      <c r="AE30" s="60">
        <v>0</v>
      </c>
      <c r="AF30" s="60">
        <f>Fundamentals!D41</f>
        <v>0</v>
      </c>
      <c r="AG30" s="60">
        <f>Fundamentals!F41</f>
        <v>0</v>
      </c>
      <c r="AI30" s="60">
        <v>0</v>
      </c>
      <c r="AJ30" s="60">
        <f>'Genco Control Area'!D41</f>
        <v>0</v>
      </c>
      <c r="AK30" s="60">
        <f>'Genco Control Area'!F41</f>
        <v>0</v>
      </c>
      <c r="AM30" s="60">
        <v>0</v>
      </c>
      <c r="AN30" s="60">
        <v>0</v>
      </c>
      <c r="AO30" s="60">
        <v>0</v>
      </c>
      <c r="AQ30" s="60">
        <v>0</v>
      </c>
      <c r="AR30" s="60">
        <v>0</v>
      </c>
      <c r="AS30" s="60">
        <v>0</v>
      </c>
      <c r="AU30" s="60">
        <v>1</v>
      </c>
      <c r="AV30" s="60">
        <f>'Management Book'!D41</f>
        <v>1</v>
      </c>
      <c r="AW30" s="60">
        <f>'Management Book'!F41</f>
        <v>1</v>
      </c>
      <c r="AY30" s="60">
        <v>0</v>
      </c>
      <c r="AZ30" s="60">
        <v>0</v>
      </c>
      <c r="BA30" s="60">
        <v>0</v>
      </c>
    </row>
    <row r="31" spans="1:53" x14ac:dyDescent="0.3">
      <c r="B31" s="69" t="s">
        <v>65</v>
      </c>
      <c r="C31" s="57">
        <f t="shared" si="3"/>
        <v>5</v>
      </c>
      <c r="D31" s="58">
        <f t="shared" si="3"/>
        <v>6</v>
      </c>
      <c r="E31" s="59">
        <f t="shared" si="3"/>
        <v>10</v>
      </c>
      <c r="F31" s="31"/>
      <c r="G31" s="60">
        <v>0</v>
      </c>
      <c r="H31" s="60">
        <f>'Midwest Power Trading'!D42</f>
        <v>0</v>
      </c>
      <c r="I31" s="60">
        <f>'Midwest Power Trading'!F42</f>
        <v>0</v>
      </c>
      <c r="K31" s="60">
        <v>0</v>
      </c>
      <c r="L31" s="60">
        <f>'Northeast Power Trading'!D42</f>
        <v>1</v>
      </c>
      <c r="M31" s="60">
        <f>'Northeast Power Trading'!F42</f>
        <v>1</v>
      </c>
      <c r="N31" s="60"/>
      <c r="O31" s="60">
        <v>1</v>
      </c>
      <c r="P31" s="60">
        <f>'Southeast Power Trading'!D42</f>
        <v>0</v>
      </c>
      <c r="Q31" s="60">
        <f>'Southeast Power Trading'!F42</f>
        <v>0</v>
      </c>
      <c r="R31" s="60"/>
      <c r="S31" s="60">
        <v>0</v>
      </c>
      <c r="T31" s="60">
        <f>'Ercot Trading'!D42</f>
        <v>2</v>
      </c>
      <c r="U31" s="60">
        <f>'Ercot Trading'!F42</f>
        <v>3</v>
      </c>
      <c r="V31" s="60"/>
      <c r="W31" s="60">
        <v>0</v>
      </c>
      <c r="X31" s="60">
        <f>Options!D42</f>
        <v>0</v>
      </c>
      <c r="Y31" s="60">
        <f>Options!F42</f>
        <v>1</v>
      </c>
      <c r="Z31" s="60"/>
      <c r="AA31" s="60">
        <v>0</v>
      </c>
      <c r="AB31" s="60">
        <f>'Services Desk'!D42</f>
        <v>0</v>
      </c>
      <c r="AC31" s="60">
        <f>'Services Desk'!F42</f>
        <v>1</v>
      </c>
      <c r="AD31" s="60"/>
      <c r="AE31" s="60">
        <v>3</v>
      </c>
      <c r="AF31" s="60">
        <f>Fundamentals!D42</f>
        <v>0</v>
      </c>
      <c r="AG31" s="60">
        <f>Fundamentals!F42</f>
        <v>1</v>
      </c>
      <c r="AI31" s="60">
        <v>0</v>
      </c>
      <c r="AJ31" s="60">
        <f>'Genco Control Area'!D42</f>
        <v>0</v>
      </c>
      <c r="AK31" s="60">
        <f>'Genco Control Area'!F42</f>
        <v>0</v>
      </c>
      <c r="AM31" s="60">
        <v>0</v>
      </c>
      <c r="AN31" s="60">
        <v>0</v>
      </c>
      <c r="AO31" s="60">
        <v>0</v>
      </c>
      <c r="AQ31" s="60">
        <v>0</v>
      </c>
      <c r="AR31" s="60">
        <v>0</v>
      </c>
      <c r="AS31" s="60">
        <v>0</v>
      </c>
      <c r="AU31" s="60">
        <v>0</v>
      </c>
      <c r="AV31" s="60">
        <f>'Management Book'!D42</f>
        <v>2</v>
      </c>
      <c r="AW31" s="60">
        <f>'Management Book'!F42</f>
        <v>2</v>
      </c>
      <c r="AY31" s="60">
        <v>1</v>
      </c>
      <c r="AZ31" s="60">
        <v>1</v>
      </c>
      <c r="BA31" s="60">
        <v>1</v>
      </c>
    </row>
    <row r="32" spans="1:53" x14ac:dyDescent="0.3">
      <c r="B32" s="69" t="s">
        <v>29</v>
      </c>
      <c r="C32" s="57">
        <f t="shared" si="3"/>
        <v>22</v>
      </c>
      <c r="D32" s="58">
        <f t="shared" si="3"/>
        <v>25</v>
      </c>
      <c r="E32" s="59">
        <f t="shared" si="3"/>
        <v>43</v>
      </c>
      <c r="F32" s="31"/>
      <c r="G32" s="60">
        <v>1</v>
      </c>
      <c r="H32" s="60">
        <f>'Midwest Power Trading'!D43</f>
        <v>3</v>
      </c>
      <c r="I32" s="60">
        <f>'Midwest Power Trading'!F43</f>
        <v>4</v>
      </c>
      <c r="K32" s="60">
        <v>7</v>
      </c>
      <c r="L32" s="60">
        <f>'Northeast Power Trading'!D43</f>
        <v>3</v>
      </c>
      <c r="M32" s="60">
        <f>'Northeast Power Trading'!F43</f>
        <v>6</v>
      </c>
      <c r="N32" s="60"/>
      <c r="O32" s="60">
        <v>2</v>
      </c>
      <c r="P32" s="60">
        <f>'Southeast Power Trading'!D43</f>
        <v>3</v>
      </c>
      <c r="Q32" s="60">
        <f>'Southeast Power Trading'!F43</f>
        <v>4</v>
      </c>
      <c r="R32" s="60"/>
      <c r="S32" s="60">
        <v>3</v>
      </c>
      <c r="T32" s="60">
        <f>'Ercot Trading'!D43</f>
        <v>2</v>
      </c>
      <c r="U32" s="60">
        <f>'Ercot Trading'!F43</f>
        <v>3</v>
      </c>
      <c r="V32" s="60"/>
      <c r="W32" s="60">
        <v>0</v>
      </c>
      <c r="X32" s="60">
        <f>Options!D43</f>
        <v>2</v>
      </c>
      <c r="Y32" s="60">
        <f>Options!F43</f>
        <v>4</v>
      </c>
      <c r="Z32" s="60"/>
      <c r="AA32" s="60">
        <v>0</v>
      </c>
      <c r="AB32" s="60">
        <f>'Services Desk'!D43</f>
        <v>2</v>
      </c>
      <c r="AC32" s="60">
        <f>'Services Desk'!F43</f>
        <v>7</v>
      </c>
      <c r="AD32" s="60"/>
      <c r="AE32" s="60">
        <v>1</v>
      </c>
      <c r="AF32" s="60">
        <f>Fundamentals!D43</f>
        <v>3</v>
      </c>
      <c r="AG32" s="60">
        <f>Fundamentals!F43</f>
        <v>4</v>
      </c>
      <c r="AI32" s="60">
        <v>4</v>
      </c>
      <c r="AJ32" s="60">
        <f>'Genco Control Area'!D43</f>
        <v>4</v>
      </c>
      <c r="AK32" s="60">
        <f>'Genco Control Area'!F43</f>
        <v>5</v>
      </c>
      <c r="AM32" s="60">
        <v>1</v>
      </c>
      <c r="AN32" s="60">
        <v>0</v>
      </c>
      <c r="AO32" s="60">
        <v>0</v>
      </c>
      <c r="AQ32" s="60">
        <v>0</v>
      </c>
      <c r="AR32" s="60">
        <v>0</v>
      </c>
      <c r="AS32" s="60">
        <v>0</v>
      </c>
      <c r="AU32" s="60">
        <v>2</v>
      </c>
      <c r="AV32" s="60">
        <f>'Management Book'!D43</f>
        <v>1</v>
      </c>
      <c r="AW32" s="60">
        <f>'Management Book'!F43</f>
        <v>2</v>
      </c>
      <c r="AY32" s="60">
        <v>1</v>
      </c>
      <c r="AZ32" s="60">
        <v>2</v>
      </c>
      <c r="BA32" s="60">
        <v>4</v>
      </c>
    </row>
    <row r="33" spans="2:53" x14ac:dyDescent="0.3">
      <c r="B33" s="69" t="s">
        <v>66</v>
      </c>
      <c r="C33" s="57">
        <f t="shared" si="3"/>
        <v>9</v>
      </c>
      <c r="D33" s="58">
        <f t="shared" si="3"/>
        <v>23</v>
      </c>
      <c r="E33" s="59">
        <f t="shared" si="3"/>
        <v>45</v>
      </c>
      <c r="F33" s="31"/>
      <c r="G33" s="60">
        <v>3</v>
      </c>
      <c r="H33" s="60">
        <f>'Midwest Power Trading'!D44</f>
        <v>2</v>
      </c>
      <c r="I33" s="60">
        <f>'Midwest Power Trading'!F44</f>
        <v>5</v>
      </c>
      <c r="K33" s="60">
        <v>4</v>
      </c>
      <c r="L33" s="60">
        <f>'Northeast Power Trading'!D44</f>
        <v>3</v>
      </c>
      <c r="M33" s="60">
        <f>'Northeast Power Trading'!F44</f>
        <v>11</v>
      </c>
      <c r="N33" s="60"/>
      <c r="O33" s="60">
        <v>1</v>
      </c>
      <c r="P33" s="60">
        <f>'Southeast Power Trading'!D44</f>
        <v>4</v>
      </c>
      <c r="Q33" s="60">
        <f>'Southeast Power Trading'!F44</f>
        <v>5</v>
      </c>
      <c r="R33" s="60"/>
      <c r="S33" s="60">
        <v>1</v>
      </c>
      <c r="T33" s="60">
        <f>'Ercot Trading'!D44</f>
        <v>3</v>
      </c>
      <c r="U33" s="60">
        <f>'Ercot Trading'!F44</f>
        <v>7</v>
      </c>
      <c r="V33" s="60"/>
      <c r="W33" s="60">
        <v>0</v>
      </c>
      <c r="X33" s="60">
        <f>Options!D44</f>
        <v>0</v>
      </c>
      <c r="Y33" s="60">
        <f>Options!F44</f>
        <v>1</v>
      </c>
      <c r="Z33" s="60"/>
      <c r="AA33" s="60">
        <v>0</v>
      </c>
      <c r="AB33" s="60">
        <f>'Services Desk'!D44</f>
        <v>0</v>
      </c>
      <c r="AC33" s="60">
        <f>'Services Desk'!F44</f>
        <v>2</v>
      </c>
      <c r="AD33" s="60"/>
      <c r="AE33" s="60">
        <v>0</v>
      </c>
      <c r="AF33" s="60">
        <f>Fundamentals!D44</f>
        <v>10</v>
      </c>
      <c r="AG33" s="60">
        <f>Fundamentals!F44</f>
        <v>10</v>
      </c>
      <c r="AI33" s="60">
        <v>0</v>
      </c>
      <c r="AJ33" s="60">
        <f>'Genco Control Area'!D44</f>
        <v>0</v>
      </c>
      <c r="AK33" s="60">
        <f>'Genco Control Area'!F44</f>
        <v>3</v>
      </c>
      <c r="AM33" s="60">
        <v>0</v>
      </c>
      <c r="AN33" s="60">
        <v>0</v>
      </c>
      <c r="AO33" s="60">
        <v>0</v>
      </c>
      <c r="AQ33" s="60">
        <v>0</v>
      </c>
      <c r="AR33" s="60">
        <v>0</v>
      </c>
      <c r="AS33" s="60">
        <v>0</v>
      </c>
      <c r="AU33" s="60">
        <v>0</v>
      </c>
      <c r="AV33" s="60">
        <f>'Management Book'!D44</f>
        <v>1</v>
      </c>
      <c r="AW33" s="60">
        <f>'Management Book'!F44</f>
        <v>1</v>
      </c>
      <c r="AY33" s="60">
        <v>0</v>
      </c>
      <c r="AZ33" s="60">
        <v>0</v>
      </c>
      <c r="BA33" s="60">
        <v>0</v>
      </c>
    </row>
    <row r="34" spans="2:53" ht="14.4" thickBot="1" x14ac:dyDescent="0.35">
      <c r="B34" s="69" t="s">
        <v>67</v>
      </c>
      <c r="C34" s="70">
        <f t="shared" si="3"/>
        <v>59</v>
      </c>
      <c r="D34" s="71">
        <f t="shared" si="3"/>
        <v>36</v>
      </c>
      <c r="E34" s="72">
        <f t="shared" si="3"/>
        <v>33</v>
      </c>
      <c r="F34" s="31"/>
      <c r="G34" s="71">
        <v>10</v>
      </c>
      <c r="H34" s="71">
        <f>'Midwest Power Trading'!D45</f>
        <v>4</v>
      </c>
      <c r="I34" s="71">
        <f>'Midwest Power Trading'!F45</f>
        <v>5</v>
      </c>
      <c r="K34" s="71">
        <v>9</v>
      </c>
      <c r="L34" s="60">
        <f>'Northeast Power Trading'!D45</f>
        <v>7</v>
      </c>
      <c r="M34" s="60">
        <f>'Northeast Power Trading'!F45</f>
        <v>4</v>
      </c>
      <c r="N34" s="60"/>
      <c r="O34" s="71">
        <v>10</v>
      </c>
      <c r="P34" s="71">
        <f>'Southeast Power Trading'!D45</f>
        <v>6</v>
      </c>
      <c r="Q34" s="71">
        <f>'Southeast Power Trading'!F45</f>
        <v>5</v>
      </c>
      <c r="R34" s="60"/>
      <c r="S34" s="71">
        <v>3</v>
      </c>
      <c r="T34" s="71">
        <f>'Ercot Trading'!D45</f>
        <v>2</v>
      </c>
      <c r="U34" s="71">
        <f>'Ercot Trading'!F45</f>
        <v>3</v>
      </c>
      <c r="V34" s="60"/>
      <c r="W34" s="71">
        <v>0</v>
      </c>
      <c r="X34" s="71">
        <f>Options!D45</f>
        <v>0</v>
      </c>
      <c r="Y34" s="71">
        <f>Options!F45</f>
        <v>0</v>
      </c>
      <c r="Z34" s="60"/>
      <c r="AA34" s="71">
        <v>0</v>
      </c>
      <c r="AB34" s="71">
        <f>'Services Desk'!D45</f>
        <v>3</v>
      </c>
      <c r="AC34" s="71">
        <f>'Services Desk'!F45</f>
        <v>0</v>
      </c>
      <c r="AD34" s="60"/>
      <c r="AE34" s="71">
        <v>15</v>
      </c>
      <c r="AF34" s="71">
        <f>Fundamentals!D45</f>
        <v>5</v>
      </c>
      <c r="AG34" s="71">
        <f>Fundamentals!F45</f>
        <v>5</v>
      </c>
      <c r="AI34" s="71">
        <v>2</v>
      </c>
      <c r="AJ34" s="71">
        <f>'Genco Control Area'!D45</f>
        <v>2</v>
      </c>
      <c r="AK34" s="71">
        <f>'Genco Control Area'!F45</f>
        <v>3</v>
      </c>
      <c r="AM34" s="71">
        <v>0</v>
      </c>
      <c r="AN34" s="71">
        <v>0</v>
      </c>
      <c r="AO34" s="71">
        <v>0</v>
      </c>
      <c r="AQ34" s="71">
        <v>0</v>
      </c>
      <c r="AR34" s="71">
        <v>0</v>
      </c>
      <c r="AS34" s="71">
        <v>0</v>
      </c>
      <c r="AU34" s="71">
        <v>6</v>
      </c>
      <c r="AV34" s="71">
        <f>'Management Book'!D45</f>
        <v>1</v>
      </c>
      <c r="AW34" s="71">
        <f>'Management Book'!F45</f>
        <v>1</v>
      </c>
      <c r="AY34" s="71">
        <v>4</v>
      </c>
      <c r="AZ34" s="71">
        <v>6</v>
      </c>
      <c r="BA34" s="71">
        <v>7</v>
      </c>
    </row>
    <row r="35" spans="2:53" x14ac:dyDescent="0.3">
      <c r="C35" s="52"/>
      <c r="D35" s="53"/>
      <c r="E35" s="54"/>
      <c r="G35" s="41"/>
      <c r="H35" s="41"/>
      <c r="K35" s="73"/>
      <c r="L35" s="73"/>
      <c r="M35" s="73"/>
    </row>
    <row r="36" spans="2:53" s="74" customFormat="1" ht="14.4" thickBot="1" x14ac:dyDescent="0.3">
      <c r="B36" s="75" t="s">
        <v>68</v>
      </c>
      <c r="C36" s="76">
        <f>SUM(C30:C34)</f>
        <v>98</v>
      </c>
      <c r="D36" s="77">
        <f>SUM(D30:D34)</f>
        <v>94</v>
      </c>
      <c r="E36" s="78">
        <f>SUM(E30:E34)</f>
        <v>136</v>
      </c>
      <c r="G36" s="79">
        <f>SUM(G30:G34)</f>
        <v>15</v>
      </c>
      <c r="H36" s="79">
        <f>SUM(H30:H34)</f>
        <v>10</v>
      </c>
      <c r="I36" s="79">
        <f>SUM(I30:I34)</f>
        <v>15</v>
      </c>
      <c r="K36" s="79">
        <f>SUM(K30:K34)</f>
        <v>21</v>
      </c>
      <c r="L36" s="79">
        <f>SUM(L30:L34)</f>
        <v>15</v>
      </c>
      <c r="M36" s="79">
        <f>SUM(M30:M34)</f>
        <v>23</v>
      </c>
      <c r="O36" s="79">
        <f>SUM(O30:O34)</f>
        <v>14</v>
      </c>
      <c r="P36" s="79">
        <f>SUM(P30:P34)</f>
        <v>13</v>
      </c>
      <c r="Q36" s="79">
        <f>SUM(Q30:Q34)</f>
        <v>15</v>
      </c>
      <c r="S36" s="79">
        <f>SUM(S30:S34)</f>
        <v>7</v>
      </c>
      <c r="T36" s="79">
        <f>SUM(T30:T34)</f>
        <v>9</v>
      </c>
      <c r="U36" s="79">
        <f>SUM(U30:U34)</f>
        <v>16</v>
      </c>
      <c r="W36" s="79">
        <f>SUM(W30:W34)</f>
        <v>0</v>
      </c>
      <c r="X36" s="79">
        <f>SUM(X30:X34)</f>
        <v>3</v>
      </c>
      <c r="Y36" s="79">
        <f>SUM(Y30:Y34)</f>
        <v>7</v>
      </c>
      <c r="AA36" s="79">
        <f>SUM(AA30:AA34)</f>
        <v>0</v>
      </c>
      <c r="AB36" s="79">
        <f>SUM(AB30:AB34)</f>
        <v>5</v>
      </c>
      <c r="AC36" s="79">
        <f>SUM(AC30:AC34)</f>
        <v>10</v>
      </c>
      <c r="AE36" s="79">
        <f>SUM(AE30:AE34)</f>
        <v>19</v>
      </c>
      <c r="AF36" s="79">
        <f>SUM(AF30:AF34)</f>
        <v>18</v>
      </c>
      <c r="AG36" s="79">
        <f>SUM(AG30:AG34)</f>
        <v>20</v>
      </c>
      <c r="AI36" s="79">
        <f>SUM(AI30:AI34)</f>
        <v>6</v>
      </c>
      <c r="AJ36" s="79">
        <f>SUM(AJ30:AJ34)</f>
        <v>6</v>
      </c>
      <c r="AK36" s="79">
        <f>SUM(AK30:AK34)</f>
        <v>11</v>
      </c>
      <c r="AM36" s="79">
        <f>SUM(AM30:AM34)</f>
        <v>1</v>
      </c>
      <c r="AN36" s="79">
        <f>SUM(AN30:AN34)</f>
        <v>0</v>
      </c>
      <c r="AO36" s="79">
        <f>SUM(AO30:AO34)</f>
        <v>0</v>
      </c>
      <c r="AQ36" s="79">
        <f>SUM(AQ30:AQ34)</f>
        <v>0</v>
      </c>
      <c r="AR36" s="79">
        <f>SUM(AR30:AR34)</f>
        <v>0</v>
      </c>
      <c r="AS36" s="79">
        <f>SUM(AS30:AS34)</f>
        <v>0</v>
      </c>
      <c r="AU36" s="79">
        <f>SUM(AU30:AU34)</f>
        <v>9</v>
      </c>
      <c r="AV36" s="79">
        <f>SUM(AV30:AV34)</f>
        <v>6</v>
      </c>
      <c r="AW36" s="79">
        <f>SUM(AW30:AW34)</f>
        <v>7</v>
      </c>
      <c r="AY36" s="79">
        <f>SUM(AY30:AY34)</f>
        <v>6</v>
      </c>
      <c r="AZ36" s="79">
        <f>SUM(AZ30:AZ34)</f>
        <v>9</v>
      </c>
      <c r="BA36" s="79">
        <f>SUM(BA30:BA34)</f>
        <v>12</v>
      </c>
    </row>
    <row r="37" spans="2:53" x14ac:dyDescent="0.3">
      <c r="G37" s="41"/>
      <c r="H37" s="41"/>
    </row>
    <row r="38" spans="2:53" x14ac:dyDescent="0.3">
      <c r="G38" s="41"/>
      <c r="H38" s="41"/>
    </row>
    <row r="39" spans="2:53" x14ac:dyDescent="0.3">
      <c r="G39" s="41"/>
      <c r="H39" s="41"/>
    </row>
    <row r="40" spans="2:53" x14ac:dyDescent="0.3">
      <c r="G40" s="41"/>
      <c r="H40" s="41"/>
    </row>
    <row r="41" spans="2:53" x14ac:dyDescent="0.3">
      <c r="G41" s="41"/>
      <c r="H41" s="41"/>
    </row>
    <row r="42" spans="2:53" x14ac:dyDescent="0.3">
      <c r="G42" s="41"/>
      <c r="H42" s="41"/>
    </row>
    <row r="43" spans="2:53" x14ac:dyDescent="0.3">
      <c r="G43" s="41"/>
      <c r="H43" s="41"/>
    </row>
    <row r="44" spans="2:53" x14ac:dyDescent="0.3">
      <c r="G44" s="41"/>
      <c r="H44" s="41"/>
    </row>
    <row r="45" spans="2:53" x14ac:dyDescent="0.3">
      <c r="G45" s="41"/>
      <c r="H45" s="41"/>
    </row>
    <row r="46" spans="2:53" x14ac:dyDescent="0.3">
      <c r="G46" s="41"/>
      <c r="H46" s="41"/>
    </row>
    <row r="47" spans="2:53" x14ac:dyDescent="0.3">
      <c r="G47" s="41"/>
      <c r="H47" s="41"/>
    </row>
    <row r="48" spans="2:53" x14ac:dyDescent="0.3">
      <c r="G48" s="41"/>
      <c r="H48" s="41"/>
    </row>
    <row r="49" spans="7:8" x14ac:dyDescent="0.3">
      <c r="G49" s="41"/>
      <c r="H49" s="41"/>
    </row>
    <row r="50" spans="7:8" x14ac:dyDescent="0.3">
      <c r="G50" s="41"/>
      <c r="H50" s="41"/>
    </row>
    <row r="51" spans="7:8" x14ac:dyDescent="0.3">
      <c r="G51" s="41"/>
      <c r="H51" s="41"/>
    </row>
    <row r="52" spans="7:8" x14ac:dyDescent="0.3">
      <c r="G52" s="41"/>
      <c r="H52" s="41"/>
    </row>
    <row r="53" spans="7:8" x14ac:dyDescent="0.3">
      <c r="G53" s="41"/>
      <c r="H53" s="41"/>
    </row>
    <row r="54" spans="7:8" x14ac:dyDescent="0.3">
      <c r="G54" s="41"/>
      <c r="H54" s="41"/>
    </row>
    <row r="55" spans="7:8" x14ac:dyDescent="0.3">
      <c r="G55" s="41"/>
      <c r="H55" s="41"/>
    </row>
    <row r="56" spans="7:8" x14ac:dyDescent="0.3">
      <c r="G56" s="41"/>
      <c r="H56" s="41"/>
    </row>
    <row r="57" spans="7:8" x14ac:dyDescent="0.3">
      <c r="G57" s="41"/>
      <c r="H57" s="41"/>
    </row>
    <row r="58" spans="7:8" x14ac:dyDescent="0.3">
      <c r="G58" s="41"/>
      <c r="H58" s="41"/>
    </row>
    <row r="59" spans="7:8" x14ac:dyDescent="0.3">
      <c r="G59" s="41"/>
      <c r="H59" s="41"/>
    </row>
    <row r="60" spans="7:8" x14ac:dyDescent="0.3">
      <c r="G60" s="41"/>
      <c r="H60" s="41"/>
    </row>
    <row r="61" spans="7:8" x14ac:dyDescent="0.3">
      <c r="G61" s="41"/>
      <c r="H61" s="41"/>
    </row>
    <row r="62" spans="7:8" x14ac:dyDescent="0.3">
      <c r="G62" s="41"/>
      <c r="H62" s="41"/>
    </row>
    <row r="63" spans="7:8" x14ac:dyDescent="0.3">
      <c r="G63" s="41"/>
      <c r="H63" s="41"/>
    </row>
    <row r="64" spans="7:8" x14ac:dyDescent="0.3">
      <c r="G64" s="41"/>
      <c r="H64" s="41"/>
    </row>
    <row r="65" spans="7:8" x14ac:dyDescent="0.3">
      <c r="G65" s="41"/>
      <c r="H65" s="41"/>
    </row>
    <row r="66" spans="7:8" x14ac:dyDescent="0.3">
      <c r="G66" s="41"/>
      <c r="H66" s="41"/>
    </row>
    <row r="67" spans="7:8" x14ac:dyDescent="0.3">
      <c r="G67" s="41"/>
      <c r="H67" s="41"/>
    </row>
    <row r="68" spans="7:8" x14ac:dyDescent="0.3">
      <c r="G68" s="41"/>
      <c r="H68" s="41"/>
    </row>
  </sheetData>
  <mergeCells count="13">
    <mergeCell ref="W7:Y7"/>
    <mergeCell ref="AA7:AC7"/>
    <mergeCell ref="AE7:AG7"/>
    <mergeCell ref="AM7:AO7"/>
    <mergeCell ref="AQ7:AS7"/>
    <mergeCell ref="AU7:AW7"/>
    <mergeCell ref="AY7:BA7"/>
    <mergeCell ref="C7:E7"/>
    <mergeCell ref="G7:I7"/>
    <mergeCell ref="K7:M7"/>
    <mergeCell ref="O7:Q7"/>
    <mergeCell ref="AI7:AK7"/>
    <mergeCell ref="S7:U7"/>
  </mergeCells>
  <phoneticPr fontId="0" type="noConversion"/>
  <pageMargins left="0.75" right="0.75" top="1" bottom="1" header="0.5" footer="0.5"/>
  <pageSetup scale="65" fitToWidth="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2"/>
  <sheetViews>
    <sheetView zoomScale="75" workbookViewId="0">
      <selection sqref="A1:IV65536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8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8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8" x14ac:dyDescent="0.25">
      <c r="A19" s="1" t="s">
        <v>12</v>
      </c>
      <c r="B19" s="1"/>
      <c r="C19" s="19"/>
      <c r="D19" s="12">
        <f>'Consolidated Power Trad'!AV12</f>
        <v>1084</v>
      </c>
      <c r="E19" s="19"/>
      <c r="F19" s="12">
        <f>'Consolidated Power Trad'!AW12</f>
        <v>1092.8257972500001</v>
      </c>
      <c r="G19" s="19"/>
      <c r="H19" s="8">
        <f t="shared" ref="H19:H31" si="1">F19-D19</f>
        <v>8.8257972500000506</v>
      </c>
    </row>
    <row r="20" spans="1:8" x14ac:dyDescent="0.25">
      <c r="A20" s="1" t="s">
        <v>13</v>
      </c>
      <c r="B20" s="1"/>
      <c r="C20" s="19"/>
      <c r="D20" s="12">
        <f>'Consolidated Power Trad'!AV13</f>
        <v>137</v>
      </c>
      <c r="E20" s="19"/>
      <c r="F20" s="12">
        <f>'Consolidated Power Trad'!AW13</f>
        <v>318.85199999999998</v>
      </c>
      <c r="G20" s="19"/>
      <c r="H20" s="8">
        <f t="shared" si="1"/>
        <v>181.85199999999998</v>
      </c>
    </row>
    <row r="21" spans="1:8" x14ac:dyDescent="0.25">
      <c r="A21" s="1" t="s">
        <v>14</v>
      </c>
      <c r="B21" s="1"/>
      <c r="C21" s="19"/>
      <c r="D21" s="12">
        <f>'Consolidated Power Trad'!AV14</f>
        <v>134</v>
      </c>
      <c r="E21" s="19"/>
      <c r="F21" s="12">
        <f>'Consolidated Power Trad'!AW14</f>
        <v>368.00400000000002</v>
      </c>
      <c r="G21" s="19"/>
      <c r="H21" s="8">
        <f t="shared" si="1"/>
        <v>234.00400000000002</v>
      </c>
    </row>
    <row r="22" spans="1:8" x14ac:dyDescent="0.25">
      <c r="A22" s="1" t="s">
        <v>15</v>
      </c>
      <c r="B22" s="1"/>
      <c r="C22" s="19"/>
      <c r="D22" s="12">
        <f>'Consolidated Power Trad'!AV15</f>
        <v>649</v>
      </c>
      <c r="E22" s="19"/>
      <c r="F22" s="12">
        <f>'Consolidated Power Trad'!AW15</f>
        <v>265</v>
      </c>
      <c r="G22" s="19"/>
      <c r="H22" s="8">
        <f t="shared" si="1"/>
        <v>-384</v>
      </c>
    </row>
    <row r="23" spans="1:8" x14ac:dyDescent="0.25">
      <c r="A23" s="1" t="s">
        <v>16</v>
      </c>
      <c r="B23" s="1"/>
      <c r="C23" s="20"/>
      <c r="D23" s="12">
        <f>'Consolidated Power Trad'!AV16</f>
        <v>459</v>
      </c>
      <c r="E23" s="20"/>
      <c r="F23" s="12">
        <f>'Consolidated Power Trad'!AW16</f>
        <v>576</v>
      </c>
      <c r="G23" s="20"/>
      <c r="H23" s="8">
        <f t="shared" si="1"/>
        <v>117</v>
      </c>
    </row>
    <row r="24" spans="1:8" x14ac:dyDescent="0.25">
      <c r="A24" s="1" t="s">
        <v>17</v>
      </c>
      <c r="B24" s="1"/>
      <c r="C24" s="19"/>
      <c r="D24" s="12">
        <f>'Consolidated Power Trad'!AV17</f>
        <v>1396</v>
      </c>
      <c r="E24" s="19"/>
      <c r="F24" s="12">
        <f>'Consolidated Power Trad'!AW17</f>
        <v>1395.9960000000001</v>
      </c>
      <c r="G24" s="19"/>
      <c r="H24" s="8">
        <f t="shared" si="1"/>
        <v>-3.9999999999054126E-3</v>
      </c>
    </row>
    <row r="25" spans="1:8" x14ac:dyDescent="0.25">
      <c r="A25" s="1" t="s">
        <v>18</v>
      </c>
      <c r="B25" s="1"/>
      <c r="D25" s="12">
        <f>'Consolidated Power Trad'!AV18</f>
        <v>2582</v>
      </c>
      <c r="F25" s="12">
        <f>'Consolidated Power Trad'!AW18</f>
        <v>7752</v>
      </c>
      <c r="H25" s="8">
        <f t="shared" si="1"/>
        <v>5170</v>
      </c>
    </row>
    <row r="26" spans="1:8" x14ac:dyDescent="0.25">
      <c r="A26" s="1" t="s">
        <v>19</v>
      </c>
      <c r="B26" s="1"/>
      <c r="D26" s="12">
        <f>'Consolidated Power Trad'!AV19</f>
        <v>0</v>
      </c>
      <c r="F26" s="12">
        <f>'Consolidated Power Trad'!AW19</f>
        <v>0</v>
      </c>
      <c r="H26" s="8">
        <f t="shared" si="1"/>
        <v>0</v>
      </c>
    </row>
    <row r="27" spans="1:8" x14ac:dyDescent="0.25">
      <c r="A27" s="9" t="s">
        <v>37</v>
      </c>
      <c r="B27" s="1"/>
      <c r="D27" s="12">
        <f>'Consolidated Power Trad'!AV20</f>
        <v>0</v>
      </c>
      <c r="F27" s="12">
        <f>'Consolidated Power Trad'!AW20</f>
        <v>144</v>
      </c>
      <c r="H27" s="8">
        <f t="shared" si="1"/>
        <v>144</v>
      </c>
    </row>
    <row r="28" spans="1:8" x14ac:dyDescent="0.25">
      <c r="A28" s="1" t="s">
        <v>20</v>
      </c>
      <c r="B28" s="1"/>
      <c r="D28" s="12">
        <f>'Consolidated Power Trad'!AV21</f>
        <v>1402</v>
      </c>
      <c r="F28" s="12">
        <f>'Consolidated Power Trad'!AW21</f>
        <v>870.21600000000001</v>
      </c>
      <c r="H28" s="8">
        <f t="shared" si="1"/>
        <v>-531.78399999999999</v>
      </c>
    </row>
    <row r="29" spans="1:8" x14ac:dyDescent="0.25">
      <c r="A29" s="1" t="s">
        <v>21</v>
      </c>
      <c r="B29" s="1"/>
      <c r="D29" s="12">
        <f>'Consolidated Power Trad'!AV22</f>
        <v>60</v>
      </c>
      <c r="F29" s="12">
        <f>'Consolidated Power Trad'!AW22</f>
        <v>97.512</v>
      </c>
      <c r="H29" s="8">
        <f t="shared" si="1"/>
        <v>37.512</v>
      </c>
    </row>
    <row r="30" spans="1:8" x14ac:dyDescent="0.25">
      <c r="A30" s="1" t="s">
        <v>22</v>
      </c>
      <c r="B30" s="1"/>
      <c r="D30" s="12">
        <f>'Consolidated Power Trad'!AV23</f>
        <v>0</v>
      </c>
      <c r="F30" s="12">
        <f>'Consolidated Power Trad'!AW23</f>
        <v>0</v>
      </c>
      <c r="H30" s="8">
        <f t="shared" si="1"/>
        <v>0</v>
      </c>
    </row>
    <row r="31" spans="1:8" x14ac:dyDescent="0.25">
      <c r="A31" s="1" t="s">
        <v>23</v>
      </c>
      <c r="B31" s="1"/>
      <c r="D31" s="30">
        <f>'Consolidated Power Trad'!AV24</f>
        <v>28</v>
      </c>
      <c r="F31" s="30">
        <f>'Consolidated Power Trad'!AW24</f>
        <v>35.94</v>
      </c>
      <c r="H31" s="24">
        <f t="shared" si="1"/>
        <v>7.9399999999999977</v>
      </c>
    </row>
    <row r="32" spans="1:8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7931</v>
      </c>
      <c r="E33" s="20" t="s">
        <v>38</v>
      </c>
      <c r="F33" s="24">
        <f>SUM(F17:F31)</f>
        <v>12916.345797250002</v>
      </c>
      <c r="G33" s="20" t="s">
        <v>38</v>
      </c>
      <c r="H33" s="24">
        <f>SUM(H17:H31)</f>
        <v>4985.34579725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-7931</v>
      </c>
      <c r="E37" s="20" t="s">
        <v>38</v>
      </c>
      <c r="F37" s="25">
        <f>F17-F33-F35</f>
        <v>-12916.345797250002</v>
      </c>
      <c r="G37" s="20" t="s">
        <v>38</v>
      </c>
      <c r="H37" s="25">
        <f>H17-H33-H35</f>
        <v>-4985.34579725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1</v>
      </c>
      <c r="F41" s="12">
        <v>1</v>
      </c>
      <c r="H41" s="8">
        <f>F41-D41</f>
        <v>0</v>
      </c>
    </row>
    <row r="42" spans="1:8" x14ac:dyDescent="0.25">
      <c r="A42" s="1" t="s">
        <v>28</v>
      </c>
      <c r="B42" s="1"/>
      <c r="D42" s="12">
        <v>2</v>
      </c>
      <c r="F42" s="12">
        <v>2</v>
      </c>
      <c r="H42" s="8">
        <f>F42-D42</f>
        <v>0</v>
      </c>
    </row>
    <row r="43" spans="1:8" x14ac:dyDescent="0.25">
      <c r="A43" s="1" t="s">
        <v>29</v>
      </c>
      <c r="B43" s="1"/>
      <c r="D43" s="12">
        <v>1</v>
      </c>
      <c r="F43" s="12">
        <v>2</v>
      </c>
      <c r="H43" s="8">
        <f>F43-D43</f>
        <v>1</v>
      </c>
    </row>
    <row r="44" spans="1:8" x14ac:dyDescent="0.25">
      <c r="A44" s="1" t="s">
        <v>30</v>
      </c>
      <c r="B44" s="1"/>
      <c r="D44" s="12">
        <v>1</v>
      </c>
      <c r="F44" s="12">
        <v>1</v>
      </c>
      <c r="H44" s="8">
        <f>F44-D44</f>
        <v>0</v>
      </c>
    </row>
    <row r="45" spans="1:8" x14ac:dyDescent="0.25">
      <c r="A45" s="1" t="s">
        <v>31</v>
      </c>
      <c r="B45" s="1"/>
      <c r="D45" s="30">
        <v>1</v>
      </c>
      <c r="F45" s="30">
        <v>1</v>
      </c>
      <c r="H45" s="24">
        <f>F45-D45</f>
        <v>0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7</v>
      </c>
      <c r="G47" s="22"/>
      <c r="H47" s="29">
        <f>SUM(H41:H45)</f>
        <v>1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304.52539960714284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-1845.1922567500003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75" workbookViewId="0">
      <selection activeCell="H45" sqref="H45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1" x14ac:dyDescent="0.25">
      <c r="A19" s="1" t="s">
        <v>12</v>
      </c>
      <c r="B19" s="1"/>
      <c r="C19" s="19"/>
      <c r="D19" s="12">
        <f>'Consolidated Power Trad'!AZ12</f>
        <v>907</v>
      </c>
      <c r="E19" s="19"/>
      <c r="F19" s="12">
        <f>'Consolidated Power Trad'!BA12</f>
        <v>1294.5975900000001</v>
      </c>
      <c r="G19" s="19"/>
      <c r="H19" s="36">
        <f t="shared" ref="H19:H31" si="1">(F19-D19)*-1</f>
        <v>-387.59759000000008</v>
      </c>
      <c r="K19">
        <v>-1</v>
      </c>
    </row>
    <row r="20" spans="1:11" x14ac:dyDescent="0.25">
      <c r="A20" s="1" t="s">
        <v>13</v>
      </c>
      <c r="B20" s="1"/>
      <c r="C20" s="19"/>
      <c r="D20" s="12">
        <f>'Consolidated Power Trad'!AZ13</f>
        <v>124</v>
      </c>
      <c r="E20" s="19"/>
      <c r="F20" s="12">
        <f>'Consolidated Power Trad'!BA13</f>
        <v>21.6</v>
      </c>
      <c r="G20" s="19"/>
      <c r="H20" s="36">
        <f t="shared" si="1"/>
        <v>102.4</v>
      </c>
    </row>
    <row r="21" spans="1:11" x14ac:dyDescent="0.25">
      <c r="A21" s="1" t="s">
        <v>14</v>
      </c>
      <c r="B21" s="1"/>
      <c r="C21" s="19"/>
      <c r="D21" s="12">
        <f>'Consolidated Power Trad'!AZ14</f>
        <v>356</v>
      </c>
      <c r="E21" s="19"/>
      <c r="F21" s="12">
        <f>'Consolidated Power Trad'!BA14</f>
        <v>340</v>
      </c>
      <c r="G21" s="19"/>
      <c r="H21" s="36">
        <f t="shared" si="1"/>
        <v>16</v>
      </c>
    </row>
    <row r="22" spans="1:11" x14ac:dyDescent="0.25">
      <c r="A22" s="1" t="s">
        <v>15</v>
      </c>
      <c r="B22" s="1"/>
      <c r="C22" s="19"/>
      <c r="D22" s="12">
        <f>'Consolidated Power Trad'!AZ15</f>
        <v>941</v>
      </c>
      <c r="E22" s="19"/>
      <c r="F22" s="12">
        <f>'Consolidated Power Trad'!BA15</f>
        <v>1143.2</v>
      </c>
      <c r="G22" s="19"/>
      <c r="H22" s="36">
        <f t="shared" si="1"/>
        <v>-202.20000000000005</v>
      </c>
    </row>
    <row r="23" spans="1:11" x14ac:dyDescent="0.25">
      <c r="A23" s="1" t="s">
        <v>16</v>
      </c>
      <c r="B23" s="1"/>
      <c r="C23" s="20"/>
      <c r="D23" s="12">
        <f>'Consolidated Power Trad'!AZ16</f>
        <v>527</v>
      </c>
      <c r="E23" s="19"/>
      <c r="F23" s="12">
        <f>'Consolidated Power Trad'!BA16</f>
        <v>429.8</v>
      </c>
      <c r="G23" s="20"/>
      <c r="H23" s="36">
        <f t="shared" si="1"/>
        <v>97.199999999999989</v>
      </c>
    </row>
    <row r="24" spans="1:11" x14ac:dyDescent="0.25">
      <c r="A24" s="1" t="s">
        <v>17</v>
      </c>
      <c r="B24" s="1"/>
      <c r="C24" s="19"/>
      <c r="D24" s="12">
        <f>'Consolidated Power Trad'!AZ17</f>
        <v>0</v>
      </c>
      <c r="E24" s="19"/>
      <c r="F24" s="12">
        <f>'Consolidated Power Trad'!BA17</f>
        <v>0</v>
      </c>
      <c r="G24" s="19"/>
      <c r="H24" s="36">
        <f t="shared" si="1"/>
        <v>0</v>
      </c>
    </row>
    <row r="25" spans="1:11" x14ac:dyDescent="0.25">
      <c r="A25" s="1" t="s">
        <v>18</v>
      </c>
      <c r="B25" s="1"/>
      <c r="D25" s="12">
        <f>'Consolidated Power Trad'!AZ18</f>
        <v>0</v>
      </c>
      <c r="E25" s="19"/>
      <c r="F25" s="12">
        <f>'Consolidated Power Trad'!BA18</f>
        <v>0</v>
      </c>
      <c r="H25" s="36">
        <f t="shared" si="1"/>
        <v>0</v>
      </c>
    </row>
    <row r="26" spans="1:11" x14ac:dyDescent="0.25">
      <c r="A26" s="1" t="s">
        <v>19</v>
      </c>
      <c r="B26" s="1"/>
      <c r="D26" s="12">
        <f>'Consolidated Power Trad'!AZ19</f>
        <v>0</v>
      </c>
      <c r="E26" s="19"/>
      <c r="F26" s="12">
        <f>'Consolidated Power Trad'!BA19</f>
        <v>0</v>
      </c>
      <c r="H26" s="36">
        <f t="shared" si="1"/>
        <v>0</v>
      </c>
    </row>
    <row r="27" spans="1:11" x14ac:dyDescent="0.25">
      <c r="A27" s="9" t="s">
        <v>37</v>
      </c>
      <c r="B27" s="1"/>
      <c r="D27" s="12">
        <f>'Consolidated Power Trad'!AZ20</f>
        <v>0</v>
      </c>
      <c r="E27" s="19"/>
      <c r="F27" s="12">
        <f>'Consolidated Power Trad'!BA20</f>
        <v>0</v>
      </c>
      <c r="H27" s="36">
        <f t="shared" si="1"/>
        <v>0</v>
      </c>
    </row>
    <row r="28" spans="1:11" x14ac:dyDescent="0.25">
      <c r="A28" s="1" t="s">
        <v>20</v>
      </c>
      <c r="B28" s="1"/>
      <c r="D28" s="12">
        <f>'Consolidated Power Trad'!AZ21</f>
        <v>379</v>
      </c>
      <c r="E28" s="19"/>
      <c r="F28" s="12">
        <f>'Consolidated Power Trad'!BA21</f>
        <v>250</v>
      </c>
      <c r="H28" s="36">
        <f t="shared" si="1"/>
        <v>129</v>
      </c>
    </row>
    <row r="29" spans="1:11" x14ac:dyDescent="0.25">
      <c r="A29" s="1" t="s">
        <v>21</v>
      </c>
      <c r="B29" s="1"/>
      <c r="D29" s="12">
        <f>'Consolidated Power Trad'!AZ22</f>
        <v>40</v>
      </c>
      <c r="E29" s="19"/>
      <c r="F29" s="12">
        <f>'Consolidated Power Trad'!BA22</f>
        <v>86.495999999999995</v>
      </c>
      <c r="H29" s="36">
        <f t="shared" si="1"/>
        <v>-46.495999999999995</v>
      </c>
    </row>
    <row r="30" spans="1:11" x14ac:dyDescent="0.25">
      <c r="A30" s="1" t="s">
        <v>22</v>
      </c>
      <c r="B30" s="1"/>
      <c r="D30" s="12">
        <f>'Consolidated Power Trad'!AZ23</f>
        <v>0</v>
      </c>
      <c r="E30" s="19"/>
      <c r="F30" s="12">
        <f>'Consolidated Power Trad'!BA23</f>
        <v>0</v>
      </c>
      <c r="H30" s="36">
        <f t="shared" si="1"/>
        <v>0</v>
      </c>
    </row>
    <row r="31" spans="1:11" x14ac:dyDescent="0.25">
      <c r="A31" s="1" t="s">
        <v>23</v>
      </c>
      <c r="B31" s="1"/>
      <c r="D31" s="30">
        <f>'Consolidated Power Trad'!AZ24</f>
        <v>0</v>
      </c>
      <c r="E31" s="19"/>
      <c r="F31" s="30">
        <f>'Consolidated Power Trad'!BA24</f>
        <v>0</v>
      </c>
      <c r="H31" s="37">
        <f t="shared" si="1"/>
        <v>0</v>
      </c>
    </row>
    <row r="32" spans="1:11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3274</v>
      </c>
      <c r="E33" s="20" t="s">
        <v>38</v>
      </c>
      <c r="F33" s="24">
        <f>SUM(F17:F31)</f>
        <v>3565.6935900000003</v>
      </c>
      <c r="G33" s="20" t="s">
        <v>38</v>
      </c>
      <c r="H33" s="24">
        <f>SUM(H17:H31)</f>
        <v>-291.69359000000014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-3274</v>
      </c>
      <c r="E37" s="20" t="s">
        <v>38</v>
      </c>
      <c r="F37" s="25">
        <f>F17-F33-F35</f>
        <v>-3565.6935900000003</v>
      </c>
      <c r="G37" s="20" t="s">
        <v>38</v>
      </c>
      <c r="H37" s="25">
        <f>H17-H33-H35</f>
        <v>291.69359000000014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f>'Consolidated Power Trad'!AZ30</f>
        <v>0</v>
      </c>
      <c r="E41" s="19"/>
      <c r="F41" s="12">
        <f>'Consolidated Power Trad'!BA30</f>
        <v>0</v>
      </c>
      <c r="H41" s="36">
        <f>(F41-D41)*-1</f>
        <v>0</v>
      </c>
    </row>
    <row r="42" spans="1:8" x14ac:dyDescent="0.25">
      <c r="A42" s="1" t="s">
        <v>28</v>
      </c>
      <c r="B42" s="1"/>
      <c r="D42" s="12">
        <f>'Consolidated Power Trad'!AZ31</f>
        <v>1</v>
      </c>
      <c r="E42" s="19"/>
      <c r="F42" s="12">
        <f>'Consolidated Power Trad'!BA31</f>
        <v>1</v>
      </c>
      <c r="H42" s="36">
        <f>(F42-D42)*-1</f>
        <v>0</v>
      </c>
    </row>
    <row r="43" spans="1:8" x14ac:dyDescent="0.25">
      <c r="A43" s="1" t="s">
        <v>29</v>
      </c>
      <c r="B43" s="1"/>
      <c r="D43" s="12">
        <f>'Consolidated Power Trad'!AZ32</f>
        <v>2</v>
      </c>
      <c r="E43" s="19"/>
      <c r="F43" s="12">
        <f>'Consolidated Power Trad'!BA32</f>
        <v>4</v>
      </c>
      <c r="H43" s="36">
        <f>(F43-D43)*-1</f>
        <v>-2</v>
      </c>
    </row>
    <row r="44" spans="1:8" x14ac:dyDescent="0.25">
      <c r="A44" s="1" t="s">
        <v>30</v>
      </c>
      <c r="B44" s="1"/>
      <c r="D44" s="12">
        <f>'Consolidated Power Trad'!AZ33</f>
        <v>0</v>
      </c>
      <c r="E44" s="19"/>
      <c r="F44" s="12">
        <f>'Consolidated Power Trad'!BA33</f>
        <v>0</v>
      </c>
      <c r="H44" s="36">
        <f>(F44-D44)*-1</f>
        <v>0</v>
      </c>
    </row>
    <row r="45" spans="1:8" x14ac:dyDescent="0.25">
      <c r="A45" s="1" t="s">
        <v>31</v>
      </c>
      <c r="B45" s="1"/>
      <c r="D45" s="30">
        <f>'Consolidated Power Trad'!AZ34</f>
        <v>6</v>
      </c>
      <c r="E45" s="19"/>
      <c r="F45" s="30">
        <f>'Consolidated Power Trad'!BA34</f>
        <v>7</v>
      </c>
      <c r="H45" s="37">
        <f>(F45-D45)*-1</f>
        <v>-1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12</v>
      </c>
      <c r="G47" s="22"/>
      <c r="H47" s="29">
        <f>SUM(H41:H45)</f>
        <v>-3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145.49979916666666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-297.14113250000003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topLeftCell="A11" zoomScale="75" workbookViewId="0">
      <selection activeCell="F49" sqref="F49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2" x14ac:dyDescent="0.25">
      <c r="A19" s="1" t="s">
        <v>12</v>
      </c>
      <c r="B19" s="1"/>
      <c r="C19" s="19"/>
      <c r="D19" s="31">
        <f>(1223357-246432-60000)/1000</f>
        <v>916.92499999999995</v>
      </c>
      <c r="E19" s="32"/>
      <c r="F19" s="31">
        <f>([1]Data!$P$31+[1]Data!$P$34)/1000</f>
        <v>1295.6881396250001</v>
      </c>
      <c r="G19" s="19"/>
      <c r="H19" s="36">
        <f>(F19-D19)*-1</f>
        <v>-378.76313962500012</v>
      </c>
      <c r="L19">
        <v>1000</v>
      </c>
    </row>
    <row r="20" spans="1:12" x14ac:dyDescent="0.25">
      <c r="A20" s="1" t="s">
        <v>13</v>
      </c>
      <c r="B20" s="1"/>
      <c r="C20" s="19"/>
      <c r="D20" s="31">
        <f>(10614+1128+1000+55060+6000)/1000</f>
        <v>73.802000000000007</v>
      </c>
      <c r="E20" s="32"/>
      <c r="F20" s="31">
        <f>([1]Data!$P$43)/1000</f>
        <v>166.05600000000001</v>
      </c>
      <c r="G20" s="19"/>
      <c r="H20" s="36">
        <f>(F20-D20)*-1</f>
        <v>-92.254000000000005</v>
      </c>
    </row>
    <row r="21" spans="1:12" x14ac:dyDescent="0.25">
      <c r="A21" s="1" t="s">
        <v>14</v>
      </c>
      <c r="B21" s="1"/>
      <c r="C21" s="19"/>
      <c r="D21" s="31">
        <f>(67322+4230)/1000</f>
        <v>71.552000000000007</v>
      </c>
      <c r="E21" s="32"/>
      <c r="F21" s="31">
        <f>([1]Data!$P$50)/1000</f>
        <v>184.01599999999999</v>
      </c>
      <c r="G21" s="19"/>
      <c r="H21" s="36">
        <f>(F21-D21)*-1</f>
        <v>-112.46399999999998</v>
      </c>
      <c r="L21">
        <v>-1</v>
      </c>
    </row>
    <row r="22" spans="1:12" x14ac:dyDescent="0.25">
      <c r="A22" s="1" t="s">
        <v>15</v>
      </c>
      <c r="B22" s="1"/>
      <c r="C22" s="19"/>
      <c r="D22" s="31">
        <v>3</v>
      </c>
      <c r="E22" s="32"/>
      <c r="F22" s="31">
        <f>([1]Data!$P$62)/1000</f>
        <v>11.052</v>
      </c>
      <c r="G22" s="19"/>
      <c r="H22" s="36">
        <f>(F22-D22)*-1</f>
        <v>-8.0519999999999996</v>
      </c>
    </row>
    <row r="23" spans="1:12" x14ac:dyDescent="0.25">
      <c r="A23" s="1" t="s">
        <v>16</v>
      </c>
      <c r="B23" s="1"/>
      <c r="C23" s="20"/>
      <c r="D23" s="31">
        <f>(38532+57816+26076)/1000</f>
        <v>122.42400000000001</v>
      </c>
      <c r="E23" s="33"/>
      <c r="F23" s="31">
        <f>([1]Data!$P$66+[1]Data!$P$73+[1]Data!$P$78)/1000</f>
        <v>159.06399999999999</v>
      </c>
      <c r="G23" s="20"/>
      <c r="H23" s="36">
        <f>(F23-D23)*-1</f>
        <v>-36.639999999999986</v>
      </c>
    </row>
    <row r="24" spans="1:12" x14ac:dyDescent="0.25">
      <c r="A24" s="1" t="s">
        <v>17</v>
      </c>
      <c r="B24" s="1"/>
      <c r="C24" s="19"/>
      <c r="D24" s="31">
        <f>(669+13128+669+13128)/1000</f>
        <v>27.594000000000001</v>
      </c>
      <c r="E24" s="32"/>
      <c r="F24" s="31">
        <f>([1]Data!$P$80)/1000</f>
        <v>33.095999999999997</v>
      </c>
      <c r="G24" s="19"/>
      <c r="H24" s="36">
        <f>(F24-D24-0.2)*-1</f>
        <v>-5.3019999999999952</v>
      </c>
    </row>
    <row r="25" spans="1:12" x14ac:dyDescent="0.25">
      <c r="A25" s="1" t="s">
        <v>18</v>
      </c>
      <c r="B25" s="1"/>
      <c r="D25" s="31">
        <v>0</v>
      </c>
      <c r="E25" s="34"/>
      <c r="F25" s="31">
        <v>0</v>
      </c>
      <c r="H25" s="36">
        <f t="shared" ref="H25:H31" si="1">(F25-D25)*-1</f>
        <v>0</v>
      </c>
    </row>
    <row r="26" spans="1:12" x14ac:dyDescent="0.25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5">
      <c r="A27" s="9" t="s">
        <v>37</v>
      </c>
      <c r="B27" s="1"/>
      <c r="D27" s="31">
        <v>432</v>
      </c>
      <c r="E27" s="34"/>
      <c r="F27" s="31">
        <f>([1]Data!$P$74)/1000</f>
        <v>561.6</v>
      </c>
      <c r="H27" s="36">
        <f t="shared" si="1"/>
        <v>-129.60000000000002</v>
      </c>
    </row>
    <row r="28" spans="1:12" x14ac:dyDescent="0.25">
      <c r="A28" s="1" t="s">
        <v>20</v>
      </c>
      <c r="B28" s="1"/>
      <c r="D28" s="31">
        <f>(114+79896-15558-47965)/1000</f>
        <v>16.486999999999998</v>
      </c>
      <c r="E28" s="34"/>
      <c r="F28" s="31">
        <f>([1]Data!$P$71+[1]Data!$P$53+[1]Data!$P$85)/1000</f>
        <v>17.399999999999999</v>
      </c>
      <c r="H28" s="36">
        <f t="shared" si="1"/>
        <v>-0.91300000000000026</v>
      </c>
    </row>
    <row r="29" spans="1:12" x14ac:dyDescent="0.25">
      <c r="A29" s="1" t="s">
        <v>21</v>
      </c>
      <c r="B29" s="1"/>
      <c r="D29" s="31">
        <v>2.2559999999999998</v>
      </c>
      <c r="E29" s="34"/>
      <c r="F29" s="31">
        <v>0</v>
      </c>
      <c r="H29" s="36">
        <f t="shared" si="1"/>
        <v>2.2559999999999998</v>
      </c>
    </row>
    <row r="30" spans="1:12" x14ac:dyDescent="0.25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5">
      <c r="A31" s="1" t="s">
        <v>23</v>
      </c>
      <c r="B31" s="1"/>
      <c r="D31" s="35">
        <v>4.5060000000000002</v>
      </c>
      <c r="E31" s="34"/>
      <c r="F31" s="35">
        <v>0</v>
      </c>
      <c r="H31" s="37">
        <f t="shared" si="1"/>
        <v>4.5060000000000002</v>
      </c>
    </row>
    <row r="32" spans="1:12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1670.5460000000003</v>
      </c>
      <c r="E33" s="20" t="s">
        <v>38</v>
      </c>
      <c r="F33" s="24">
        <f>SUM(F17:F31)</f>
        <v>2427.9721396250002</v>
      </c>
      <c r="G33" s="20" t="s">
        <v>38</v>
      </c>
      <c r="H33" s="24">
        <f>SUM(H17:H31)</f>
        <v>-757.2261396250002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-1670.5460000000003</v>
      </c>
      <c r="E37" s="20" t="s">
        <v>38</v>
      </c>
      <c r="F37" s="25">
        <f>F17-F33-F35</f>
        <v>-2427.9721396250002</v>
      </c>
      <c r="G37" s="20" t="s">
        <v>38</v>
      </c>
      <c r="H37" s="25">
        <f>H17-H33-H35</f>
        <v>757.2261396250002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5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5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5">
      <c r="A44" s="1" t="s">
        <v>30</v>
      </c>
      <c r="B44" s="1"/>
      <c r="D44" s="12">
        <v>2</v>
      </c>
      <c r="F44" s="12">
        <v>5</v>
      </c>
      <c r="H44" s="36">
        <f>(F44-D44)*-1</f>
        <v>-3</v>
      </c>
    </row>
    <row r="45" spans="1:8" x14ac:dyDescent="0.25">
      <c r="A45" s="1" t="s">
        <v>31</v>
      </c>
      <c r="B45" s="1"/>
      <c r="D45" s="30">
        <v>4</v>
      </c>
      <c r="F45" s="30">
        <v>5</v>
      </c>
      <c r="H45" s="37">
        <f>(F45-D45)*-1</f>
        <v>-1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SUM(D41:D46)</f>
        <v>10</v>
      </c>
      <c r="E47" s="22"/>
      <c r="F47" s="29">
        <f>SUM(F41:F46)</f>
        <v>15</v>
      </c>
      <c r="G47" s="22"/>
      <c r="H47" s="29">
        <f>SUM(H41:H46)</f>
        <v>-5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-161.86480930833335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5" right="0.5" top="0.5" bottom="0.5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2"/>
  <sheetViews>
    <sheetView topLeftCell="A14" zoomScale="75" workbookViewId="0">
      <selection activeCell="H48" sqref="H48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5">
      <c r="A18" s="1"/>
      <c r="B18" s="1"/>
      <c r="C18" s="19"/>
      <c r="D18" s="1"/>
      <c r="E18" s="19"/>
      <c r="F18" s="1"/>
      <c r="G18" s="19"/>
      <c r="H18" s="8"/>
      <c r="L18">
        <v>1000</v>
      </c>
    </row>
    <row r="19" spans="1:12" x14ac:dyDescent="0.25">
      <c r="A19" s="1" t="s">
        <v>12</v>
      </c>
      <c r="B19" s="1"/>
      <c r="C19" s="19"/>
      <c r="D19" s="31">
        <f>(2423196-281940)/1000</f>
        <v>2141.2559999999999</v>
      </c>
      <c r="E19" s="32"/>
      <c r="F19" s="31">
        <f>([2]Data!$P$31+[2]Data!$P$34)/1000</f>
        <v>1681.8661241249999</v>
      </c>
      <c r="G19" s="19"/>
      <c r="H19" s="36">
        <f t="shared" ref="H19:H31" si="1">(F19-D19)*-1</f>
        <v>459.38987587499992</v>
      </c>
    </row>
    <row r="20" spans="1:12" x14ac:dyDescent="0.25">
      <c r="A20" s="1" t="s">
        <v>13</v>
      </c>
      <c r="B20" s="1"/>
      <c r="C20" s="19"/>
      <c r="D20" s="31">
        <f>(16350+1752+2150+70924+3000)/1000</f>
        <v>94.176000000000002</v>
      </c>
      <c r="E20" s="32"/>
      <c r="F20" s="31">
        <f>([2]Data!$P$43)/1000</f>
        <v>205.876</v>
      </c>
      <c r="G20" s="19"/>
      <c r="H20" s="36">
        <f t="shared" si="1"/>
        <v>-111.7</v>
      </c>
    </row>
    <row r="21" spans="1:12" x14ac:dyDescent="0.25">
      <c r="A21" s="1" t="s">
        <v>14</v>
      </c>
      <c r="B21" s="1"/>
      <c r="C21" s="19"/>
      <c r="D21" s="31">
        <f>(123997+2889)/1000</f>
        <v>126.886</v>
      </c>
      <c r="E21" s="32"/>
      <c r="F21" s="31">
        <f>([2]Data!$P$50)/1000</f>
        <v>273.976</v>
      </c>
      <c r="G21" s="19"/>
      <c r="H21" s="36">
        <f t="shared" si="1"/>
        <v>-147.09</v>
      </c>
    </row>
    <row r="22" spans="1:12" x14ac:dyDescent="0.25">
      <c r="A22" s="1" t="s">
        <v>15</v>
      </c>
      <c r="B22" s="1"/>
      <c r="C22" s="19"/>
      <c r="D22" s="31">
        <v>4.9980000000000002</v>
      </c>
      <c r="E22" s="32"/>
      <c r="F22" s="31">
        <f>([2]Data!$P$62+[2]Data!$P$70)/1000</f>
        <v>0</v>
      </c>
      <c r="G22" s="19"/>
      <c r="H22" s="36">
        <f t="shared" si="1"/>
        <v>4.9980000000000002</v>
      </c>
      <c r="L22">
        <v>-1</v>
      </c>
    </row>
    <row r="23" spans="1:12" x14ac:dyDescent="0.25">
      <c r="A23" s="1" t="s">
        <v>16</v>
      </c>
      <c r="B23" s="1"/>
      <c r="C23" s="20"/>
      <c r="D23" s="31">
        <f>(44989+84219+51923)/1000-0.5</f>
        <v>180.631</v>
      </c>
      <c r="E23" s="33"/>
      <c r="F23" s="31">
        <f>([2]Data!$P$66+[2]Data!$P$73+[2]Data!$P$78+[2]Data!$P$69)/1000</f>
        <v>212.58</v>
      </c>
      <c r="G23" s="20"/>
      <c r="H23" s="36">
        <f t="shared" si="1"/>
        <v>-31.949000000000012</v>
      </c>
    </row>
    <row r="24" spans="1:12" x14ac:dyDescent="0.25">
      <c r="A24" s="1" t="s">
        <v>17</v>
      </c>
      <c r="B24" s="1"/>
      <c r="C24" s="19"/>
      <c r="D24" s="31">
        <f>(55998+38188)/1000</f>
        <v>94.186000000000007</v>
      </c>
      <c r="E24" s="32"/>
      <c r="F24" s="31">
        <f>([2]Data!$P$80)/1000</f>
        <v>90.024000000000001</v>
      </c>
      <c r="G24" s="19"/>
      <c r="H24" s="36">
        <f t="shared" si="1"/>
        <v>4.1620000000000061</v>
      </c>
    </row>
    <row r="25" spans="1:12" x14ac:dyDescent="0.25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5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5">
      <c r="A27" s="9" t="s">
        <v>37</v>
      </c>
      <c r="B27" s="1"/>
      <c r="D27" s="31">
        <v>355.2</v>
      </c>
      <c r="E27" s="34"/>
      <c r="F27" s="31">
        <f>([2]Data!$P$74)/1000</f>
        <v>1386</v>
      </c>
      <c r="H27" s="36">
        <f t="shared" si="1"/>
        <v>-1030.8</v>
      </c>
    </row>
    <row r="28" spans="1:12" x14ac:dyDescent="0.25">
      <c r="A28" s="1" t="s">
        <v>20</v>
      </c>
      <c r="B28" s="1"/>
      <c r="D28" s="31">
        <f>(169+85336-36630-20800-13026)/1000</f>
        <v>15.048999999999999</v>
      </c>
      <c r="E28" s="34"/>
      <c r="F28" s="31">
        <f>([2]Data!$P$53+[2]Data!$P$71+[2]Data!$P$85)/1000</f>
        <v>0</v>
      </c>
      <c r="H28" s="36">
        <f t="shared" si="1"/>
        <v>15.048999999999999</v>
      </c>
    </row>
    <row r="29" spans="1:12" x14ac:dyDescent="0.25">
      <c r="A29" s="1" t="s">
        <v>21</v>
      </c>
      <c r="B29" s="1"/>
      <c r="D29" s="31">
        <v>71.051000000000002</v>
      </c>
      <c r="E29" s="34"/>
      <c r="F29" s="31">
        <f>([2]Data!$P$75)/1000</f>
        <v>197.76</v>
      </c>
      <c r="H29" s="36">
        <f t="shared" si="1"/>
        <v>-126.70899999999999</v>
      </c>
    </row>
    <row r="30" spans="1:12" x14ac:dyDescent="0.25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5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3083.4329999999995</v>
      </c>
      <c r="E33" s="20" t="s">
        <v>38</v>
      </c>
      <c r="F33" s="24">
        <f>SUM(F17:F31)</f>
        <v>4048.0821241249996</v>
      </c>
      <c r="G33" s="20" t="s">
        <v>38</v>
      </c>
      <c r="H33" s="24">
        <f>SUM(H17:H31)-0.4</f>
        <v>-965.04912412499993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-3083.4329999999995</v>
      </c>
      <c r="E37" s="20" t="s">
        <v>38</v>
      </c>
      <c r="F37" s="25">
        <f>F17-F33-F35</f>
        <v>-4048.0821241249996</v>
      </c>
      <c r="G37" s="20" t="s">
        <v>38</v>
      </c>
      <c r="H37" s="25">
        <f>H17-H33-H35</f>
        <v>965.04912412499993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1</v>
      </c>
      <c r="F41" s="12">
        <v>1</v>
      </c>
      <c r="H41" s="38">
        <f>(F41-D41)*-1</f>
        <v>0</v>
      </c>
    </row>
    <row r="42" spans="1:8" x14ac:dyDescent="0.25">
      <c r="A42" s="1" t="s">
        <v>28</v>
      </c>
      <c r="B42" s="1"/>
      <c r="D42" s="12">
        <v>1</v>
      </c>
      <c r="F42" s="12">
        <v>1</v>
      </c>
      <c r="H42" s="38">
        <f>(F42-D42)*-1</f>
        <v>0</v>
      </c>
    </row>
    <row r="43" spans="1:8" x14ac:dyDescent="0.25">
      <c r="A43" s="1" t="s">
        <v>29</v>
      </c>
      <c r="B43" s="1"/>
      <c r="D43" s="12">
        <v>3</v>
      </c>
      <c r="F43" s="12">
        <v>6</v>
      </c>
      <c r="H43" s="38">
        <f>(F43-D43)*-1</f>
        <v>-3</v>
      </c>
    </row>
    <row r="44" spans="1:8" x14ac:dyDescent="0.25">
      <c r="A44" s="1" t="s">
        <v>30</v>
      </c>
      <c r="B44" s="1"/>
      <c r="D44" s="12">
        <v>3</v>
      </c>
      <c r="F44" s="12">
        <v>11</v>
      </c>
      <c r="H44" s="38">
        <f>(F44-D44)*-1</f>
        <v>-8</v>
      </c>
    </row>
    <row r="45" spans="1:8" x14ac:dyDescent="0.25">
      <c r="A45" s="1" t="s">
        <v>31</v>
      </c>
      <c r="B45" s="1"/>
      <c r="D45" s="30">
        <v>7</v>
      </c>
      <c r="F45" s="30">
        <v>4</v>
      </c>
      <c r="H45" s="37">
        <f>(F45-D45)*-1</f>
        <v>3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15</v>
      </c>
      <c r="E47" s="22"/>
      <c r="F47" s="29">
        <f>SUM(F41:F45)</f>
        <v>23</v>
      </c>
      <c r="G47" s="22"/>
      <c r="H47" s="29">
        <f>SUM(H41:H45)</f>
        <v>-8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151.57922278804347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-176.00357061413041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2"/>
  <sheetViews>
    <sheetView topLeftCell="A7" zoomScale="75" workbookViewId="0">
      <selection activeCell="F49" sqref="F49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1" x14ac:dyDescent="0.25">
      <c r="A19" s="1" t="s">
        <v>12</v>
      </c>
      <c r="B19" s="1"/>
      <c r="C19" s="19"/>
      <c r="D19" s="31">
        <v>916.92499999999995</v>
      </c>
      <c r="E19" s="19"/>
      <c r="F19" s="12">
        <f>'Midwest Power Trading'!F19</f>
        <v>1295.6881396250001</v>
      </c>
      <c r="G19" s="19"/>
      <c r="H19" s="36">
        <f>(F19-D19)*-1</f>
        <v>-378.76313962500012</v>
      </c>
      <c r="K19">
        <v>1000</v>
      </c>
    </row>
    <row r="20" spans="1:11" x14ac:dyDescent="0.25">
      <c r="A20" s="1" t="s">
        <v>13</v>
      </c>
      <c r="B20" s="1"/>
      <c r="C20" s="19"/>
      <c r="D20" s="31">
        <f>(9339+1002+790+31631+37480)/1000</f>
        <v>80.242000000000004</v>
      </c>
      <c r="E20" s="19"/>
      <c r="F20" s="12">
        <f>'Midwest Power Trading'!F20</f>
        <v>166.05600000000001</v>
      </c>
      <c r="G20" s="19"/>
      <c r="H20" s="36">
        <f>(F20-D20)*-1</f>
        <v>-85.814000000000007</v>
      </c>
    </row>
    <row r="21" spans="1:11" x14ac:dyDescent="0.25">
      <c r="A21" s="1" t="s">
        <v>14</v>
      </c>
      <c r="B21" s="1"/>
      <c r="C21" s="19"/>
      <c r="D21" s="31">
        <f>(82160+9746)/1000</f>
        <v>91.906000000000006</v>
      </c>
      <c r="E21" s="19"/>
      <c r="F21" s="12">
        <f>'Midwest Power Trading'!F21</f>
        <v>184.01599999999999</v>
      </c>
      <c r="G21" s="19"/>
      <c r="H21" s="36">
        <f>(F21-D21)*-1</f>
        <v>-92.109999999999985</v>
      </c>
    </row>
    <row r="22" spans="1:11" x14ac:dyDescent="0.25">
      <c r="A22" s="1" t="s">
        <v>15</v>
      </c>
      <c r="B22" s="1"/>
      <c r="C22" s="19"/>
      <c r="D22" s="31">
        <f>(31750)/1000</f>
        <v>31.75</v>
      </c>
      <c r="E22" s="19"/>
      <c r="F22" s="12">
        <f>'Midwest Power Trading'!F22</f>
        <v>11.052</v>
      </c>
      <c r="G22" s="19"/>
      <c r="H22" s="36">
        <f>(F22-D22)*-1</f>
        <v>20.698</v>
      </c>
      <c r="K22">
        <v>-1</v>
      </c>
    </row>
    <row r="23" spans="1:11" x14ac:dyDescent="0.25">
      <c r="A23" s="1" t="s">
        <v>16</v>
      </c>
      <c r="B23" s="1"/>
      <c r="C23" s="20"/>
      <c r="D23" s="31">
        <f>(39583+62167+40668)/1000</f>
        <v>142.41800000000001</v>
      </c>
      <c r="E23" s="20"/>
      <c r="F23" s="12">
        <f>'Midwest Power Trading'!F23</f>
        <v>159.06399999999999</v>
      </c>
      <c r="G23" s="20"/>
      <c r="H23" s="36">
        <f>(F23-D23)*-1</f>
        <v>-16.645999999999987</v>
      </c>
    </row>
    <row r="24" spans="1:11" x14ac:dyDescent="0.25">
      <c r="A24" s="1" t="s">
        <v>17</v>
      </c>
      <c r="B24" s="1"/>
      <c r="C24" s="19"/>
      <c r="D24" s="31">
        <f>(16791+16749)/1000</f>
        <v>33.54</v>
      </c>
      <c r="E24" s="19"/>
      <c r="F24" s="12">
        <f>'Midwest Power Trading'!F24</f>
        <v>33.095999999999997</v>
      </c>
      <c r="G24" s="19"/>
      <c r="H24" s="36">
        <f>(F24-D24-0.5)*-1</f>
        <v>0.94400000000000261</v>
      </c>
    </row>
    <row r="25" spans="1:11" x14ac:dyDescent="0.25">
      <c r="A25" s="1" t="s">
        <v>18</v>
      </c>
      <c r="B25" s="1"/>
      <c r="D25" s="31">
        <v>0</v>
      </c>
      <c r="F25" s="12">
        <f>'Midwest Power Trading'!F25</f>
        <v>0</v>
      </c>
      <c r="H25" s="36">
        <f t="shared" ref="H25:H31" si="1">(F25-D25)*-1</f>
        <v>0</v>
      </c>
    </row>
    <row r="26" spans="1:11" x14ac:dyDescent="0.25">
      <c r="A26" s="1" t="s">
        <v>19</v>
      </c>
      <c r="B26" s="1"/>
      <c r="D26" s="31">
        <v>0</v>
      </c>
      <c r="F26" s="12">
        <f>'Midwest Power Trading'!F26</f>
        <v>0</v>
      </c>
      <c r="H26" s="36">
        <f t="shared" si="1"/>
        <v>0</v>
      </c>
    </row>
    <row r="27" spans="1:11" x14ac:dyDescent="0.25">
      <c r="A27" s="9" t="s">
        <v>37</v>
      </c>
      <c r="B27" s="1"/>
      <c r="D27" s="31">
        <f>(124800+76800)/1000</f>
        <v>201.6</v>
      </c>
      <c r="F27" s="12">
        <f>'Midwest Power Trading'!F27</f>
        <v>561.6</v>
      </c>
      <c r="H27" s="36">
        <f t="shared" si="1"/>
        <v>-360</v>
      </c>
    </row>
    <row r="28" spans="1:11" x14ac:dyDescent="0.25">
      <c r="A28" s="1" t="s">
        <v>20</v>
      </c>
      <c r="B28" s="1"/>
      <c r="D28" s="31">
        <f>(111+35094-16800-15192)/1000</f>
        <v>3.2130000000000001</v>
      </c>
      <c r="F28" s="12">
        <f>'Midwest Power Trading'!F28</f>
        <v>17.399999999999999</v>
      </c>
      <c r="H28" s="36">
        <f t="shared" si="1"/>
        <v>-14.186999999999998</v>
      </c>
    </row>
    <row r="29" spans="1:11" x14ac:dyDescent="0.25">
      <c r="A29" s="1" t="s">
        <v>21</v>
      </c>
      <c r="B29" s="1"/>
      <c r="D29" s="31">
        <v>0</v>
      </c>
      <c r="F29" s="12">
        <v>58</v>
      </c>
      <c r="H29" s="36">
        <f t="shared" si="1"/>
        <v>-58</v>
      </c>
    </row>
    <row r="30" spans="1:11" x14ac:dyDescent="0.25">
      <c r="A30" s="1" t="s">
        <v>22</v>
      </c>
      <c r="B30" s="1"/>
      <c r="D30" s="31">
        <v>0</v>
      </c>
      <c r="F30" s="12">
        <f>'Midwest Power Trading'!F30</f>
        <v>0</v>
      </c>
      <c r="H30" s="36">
        <f t="shared" si="1"/>
        <v>0</v>
      </c>
    </row>
    <row r="31" spans="1:11" x14ac:dyDescent="0.25">
      <c r="A31" s="1" t="s">
        <v>23</v>
      </c>
      <c r="B31" s="1"/>
      <c r="D31" s="35">
        <v>0</v>
      </c>
      <c r="F31" s="30">
        <f>'Midwest Power Trading'!F31</f>
        <v>0</v>
      </c>
      <c r="H31" s="37">
        <f t="shared" si="1"/>
        <v>0</v>
      </c>
    </row>
    <row r="32" spans="1:11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1501.5939999999998</v>
      </c>
      <c r="E33" s="20" t="s">
        <v>38</v>
      </c>
      <c r="F33" s="24">
        <f>SUM(F17:F31)</f>
        <v>2485.9721396250002</v>
      </c>
      <c r="G33" s="20" t="s">
        <v>38</v>
      </c>
      <c r="H33" s="24">
        <f>SUM(H17:H31)</f>
        <v>-983.87813962500013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-1501.5939999999998</v>
      </c>
      <c r="E37" s="20" t="s">
        <v>38</v>
      </c>
      <c r="F37" s="25">
        <f>F17-F33-F35</f>
        <v>-2485.9721396250002</v>
      </c>
      <c r="G37" s="20" t="s">
        <v>38</v>
      </c>
      <c r="H37" s="25">
        <f>H17-H33-H35</f>
        <v>983.87813962500013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0</v>
      </c>
      <c r="F41" s="12">
        <f>'Midwest Power Trading'!F41</f>
        <v>1</v>
      </c>
      <c r="H41" s="36">
        <f>(F41-D41)*-1</f>
        <v>-1</v>
      </c>
    </row>
    <row r="42" spans="1:8" x14ac:dyDescent="0.25">
      <c r="A42" s="1" t="s">
        <v>28</v>
      </c>
      <c r="B42" s="1"/>
      <c r="D42" s="12">
        <v>0</v>
      </c>
      <c r="F42" s="12">
        <f>'Midwest Power Trading'!F42</f>
        <v>0</v>
      </c>
      <c r="H42" s="36">
        <f>(F42-D42)*-1</f>
        <v>0</v>
      </c>
    </row>
    <row r="43" spans="1:8" x14ac:dyDescent="0.25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5">
      <c r="A44" s="1" t="s">
        <v>30</v>
      </c>
      <c r="B44" s="1"/>
      <c r="D44" s="12">
        <v>4</v>
      </c>
      <c r="F44" s="12">
        <f>'Midwest Power Trading'!F44</f>
        <v>5</v>
      </c>
      <c r="H44" s="36">
        <f>(F44-D44)*-1</f>
        <v>-1</v>
      </c>
    </row>
    <row r="45" spans="1:8" x14ac:dyDescent="0.25">
      <c r="A45" s="1" t="s">
        <v>31</v>
      </c>
      <c r="B45" s="1"/>
      <c r="D45" s="30">
        <v>6</v>
      </c>
      <c r="F45" s="30">
        <f>'Midwest Power Trading'!F45</f>
        <v>5</v>
      </c>
      <c r="H45" s="36">
        <f>(F45-D45)*-1</f>
        <v>1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13</v>
      </c>
      <c r="E47" s="22"/>
      <c r="F47" s="29">
        <f>SUM(F41:F45)</f>
        <v>15</v>
      </c>
      <c r="G47" s="22"/>
      <c r="H47" s="29">
        <f>SUM(H41:H45)</f>
        <v>-2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-165.73147597500002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2"/>
  <sheetViews>
    <sheetView topLeftCell="A14" zoomScale="75" workbookViewId="0">
      <selection activeCell="F49" sqref="F49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1" x14ac:dyDescent="0.25">
      <c r="A19" s="1" t="s">
        <v>12</v>
      </c>
      <c r="B19" s="1"/>
      <c r="C19" s="19"/>
      <c r="D19" s="31">
        <f>(846430-53340)/1000</f>
        <v>793.09</v>
      </c>
      <c r="E19" s="32"/>
      <c r="F19" s="31">
        <f>([3]Data!$P$31+[3]Data!$P$34)/1000</f>
        <v>1118.746633125</v>
      </c>
      <c r="G19" s="19"/>
      <c r="H19" s="36">
        <f>(F19-D19)*-1</f>
        <v>-325.65663312499998</v>
      </c>
      <c r="K19">
        <v>1000</v>
      </c>
    </row>
    <row r="20" spans="1:11" x14ac:dyDescent="0.25">
      <c r="A20" s="1" t="s">
        <v>13</v>
      </c>
      <c r="B20" s="1"/>
      <c r="C20" s="19"/>
      <c r="D20" s="31">
        <f>(3941+498+875+12438+17332)/1000</f>
        <v>35.084000000000003</v>
      </c>
      <c r="E20" s="32"/>
      <c r="F20" s="31">
        <f>([3]Data!$P$43)/1000</f>
        <v>57.503999999999998</v>
      </c>
      <c r="G20" s="19"/>
      <c r="H20" s="36">
        <f>(F20-D20+0.53)*-1</f>
        <v>-22.949999999999996</v>
      </c>
    </row>
    <row r="21" spans="1:11" x14ac:dyDescent="0.25">
      <c r="A21" s="1" t="s">
        <v>14</v>
      </c>
      <c r="B21" s="1"/>
      <c r="C21" s="19"/>
      <c r="D21" s="31">
        <f>(28856+3456)/1000</f>
        <v>32.311999999999998</v>
      </c>
      <c r="E21" s="32"/>
      <c r="F21" s="31">
        <f>([3]Data!$P$50)/1000</f>
        <v>57</v>
      </c>
      <c r="G21" s="19"/>
      <c r="H21" s="36">
        <f t="shared" ref="H21:H31" si="1">(F21-D21)*-1</f>
        <v>-24.688000000000002</v>
      </c>
    </row>
    <row r="22" spans="1:11" x14ac:dyDescent="0.25">
      <c r="A22" s="1" t="s">
        <v>15</v>
      </c>
      <c r="B22" s="1"/>
      <c r="C22" s="19"/>
      <c r="D22" s="31">
        <v>0</v>
      </c>
      <c r="E22" s="32"/>
      <c r="F22" s="31">
        <f>([3]Data!$P$62+[3]Data!$P$70)/1000</f>
        <v>500.00400000000002</v>
      </c>
      <c r="G22" s="19"/>
      <c r="H22" s="36">
        <f t="shared" si="1"/>
        <v>-500.00400000000002</v>
      </c>
      <c r="K22">
        <v>-1</v>
      </c>
    </row>
    <row r="23" spans="1:11" x14ac:dyDescent="0.25">
      <c r="A23" s="1" t="s">
        <v>16</v>
      </c>
      <c r="B23" s="1"/>
      <c r="C23" s="20"/>
      <c r="D23" s="31">
        <f>(17528+34741+71066)/1000</f>
        <v>123.33499999999999</v>
      </c>
      <c r="E23" s="33"/>
      <c r="F23" s="31">
        <f>([3]Data!$P$66+[3]Data!$P$73+[3]Data!$P$78)/1000</f>
        <v>263.44799999999998</v>
      </c>
      <c r="G23" s="20"/>
      <c r="H23" s="36">
        <f t="shared" si="1"/>
        <v>-140.113</v>
      </c>
    </row>
    <row r="24" spans="1:11" x14ac:dyDescent="0.25">
      <c r="A24" s="1" t="s">
        <v>17</v>
      </c>
      <c r="B24" s="1"/>
      <c r="C24" s="19"/>
      <c r="D24" s="31">
        <f>(12498+5295-6249)/1000</f>
        <v>11.544</v>
      </c>
      <c r="E24" s="32"/>
      <c r="F24" s="31">
        <f>([3]Data!$P$79+[3]Data!$P$80)/1000</f>
        <v>15.888</v>
      </c>
      <c r="G24" s="19"/>
      <c r="H24" s="36">
        <f t="shared" si="1"/>
        <v>-4.3439999999999994</v>
      </c>
    </row>
    <row r="25" spans="1:11" x14ac:dyDescent="0.25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5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5">
      <c r="A27" s="9" t="s">
        <v>37</v>
      </c>
      <c r="B27" s="1"/>
      <c r="D27" s="31">
        <v>278.39999999999998</v>
      </c>
      <c r="E27" s="34"/>
      <c r="F27" s="31">
        <f>([3]Data!$P$74)/1000</f>
        <v>810</v>
      </c>
      <c r="H27" s="36">
        <f t="shared" si="1"/>
        <v>-531.6</v>
      </c>
    </row>
    <row r="28" spans="1:11" x14ac:dyDescent="0.25">
      <c r="A28" s="1" t="s">
        <v>20</v>
      </c>
      <c r="B28" s="1"/>
      <c r="D28" s="31">
        <f>(60+25876+2988-6400-7596-6330)/1000</f>
        <v>8.5980000000000008</v>
      </c>
      <c r="E28" s="34"/>
      <c r="F28" s="31">
        <f>([3]Data!$P$83+[3]Data!$P$71+[3]Data!$P$53)/1000</f>
        <v>0</v>
      </c>
      <c r="H28" s="36">
        <f t="shared" si="1"/>
        <v>8.5980000000000008</v>
      </c>
    </row>
    <row r="29" spans="1:11" x14ac:dyDescent="0.25">
      <c r="A29" s="1" t="s">
        <v>21</v>
      </c>
      <c r="B29" s="1"/>
      <c r="D29" s="31">
        <v>0</v>
      </c>
      <c r="E29" s="34"/>
      <c r="F29" s="31">
        <v>7</v>
      </c>
      <c r="H29" s="36">
        <f t="shared" si="1"/>
        <v>-7</v>
      </c>
    </row>
    <row r="30" spans="1:11" x14ac:dyDescent="0.25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5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1282.3629999999998</v>
      </c>
      <c r="E33" s="20" t="s">
        <v>38</v>
      </c>
      <c r="F33" s="24">
        <f>SUM(F17:F31)</f>
        <v>2829.5906331249998</v>
      </c>
      <c r="G33" s="20" t="s">
        <v>38</v>
      </c>
      <c r="H33" s="24">
        <f>SUM(H17:H31)</f>
        <v>-1547.7576331250002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-1282.3629999999998</v>
      </c>
      <c r="E37" s="20" t="s">
        <v>38</v>
      </c>
      <c r="F37" s="25">
        <f>F17-F33-F35</f>
        <v>-2829.5906331249998</v>
      </c>
      <c r="G37" s="20" t="s">
        <v>38</v>
      </c>
      <c r="H37" s="25">
        <f>H17-H33-H35</f>
        <v>1547.7576331250002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0</v>
      </c>
      <c r="F41" s="12"/>
      <c r="H41" s="36">
        <f>(F41-D41)*-1</f>
        <v>0</v>
      </c>
    </row>
    <row r="42" spans="1:8" x14ac:dyDescent="0.25">
      <c r="A42" s="1" t="s">
        <v>28</v>
      </c>
      <c r="B42" s="1"/>
      <c r="D42" s="12">
        <v>2</v>
      </c>
      <c r="F42" s="12">
        <v>3</v>
      </c>
      <c r="H42" s="36">
        <f>(F42-D42)*-1</f>
        <v>-1</v>
      </c>
    </row>
    <row r="43" spans="1:8" x14ac:dyDescent="0.25">
      <c r="A43" s="1" t="s">
        <v>29</v>
      </c>
      <c r="B43" s="1"/>
      <c r="D43" s="12">
        <v>2</v>
      </c>
      <c r="F43" s="12">
        <v>3</v>
      </c>
      <c r="H43" s="36">
        <f>(F43-D43)*-1</f>
        <v>-1</v>
      </c>
    </row>
    <row r="44" spans="1:8" x14ac:dyDescent="0.25">
      <c r="A44" s="1" t="s">
        <v>30</v>
      </c>
      <c r="B44" s="1"/>
      <c r="D44" s="12">
        <v>3</v>
      </c>
      <c r="F44" s="12">
        <v>7</v>
      </c>
      <c r="H44" s="36">
        <f>(F44-D44)*-1</f>
        <v>-4</v>
      </c>
    </row>
    <row r="45" spans="1:8" x14ac:dyDescent="0.25">
      <c r="A45" s="1" t="s">
        <v>31</v>
      </c>
      <c r="B45" s="1"/>
      <c r="D45" s="30">
        <v>2</v>
      </c>
      <c r="F45" s="30">
        <v>3</v>
      </c>
      <c r="H45" s="36">
        <f>(F45-D45)*-1</f>
        <v>-1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16</v>
      </c>
      <c r="G47" s="22"/>
      <c r="H47" s="29">
        <f>SUM(H41:H46)</f>
        <v>-7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140.6061645703125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-176.84941457031249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2"/>
  <sheetViews>
    <sheetView topLeftCell="A10" zoomScale="75" workbookViewId="0">
      <selection activeCell="F49" sqref="F49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2" x14ac:dyDescent="0.25">
      <c r="A19" s="1" t="s">
        <v>12</v>
      </c>
      <c r="B19" s="1"/>
      <c r="C19" s="19"/>
      <c r="D19" s="31">
        <f>(234922+299184)/1000</f>
        <v>534.10599999999999</v>
      </c>
      <c r="E19" s="19"/>
      <c r="F19" s="31">
        <f>([4]Data!$P$31+[4]Data!$P$34)/1000</f>
        <v>823.34828812499995</v>
      </c>
      <c r="G19" s="19"/>
      <c r="H19" s="36">
        <f t="shared" ref="H19:H31" si="1">(F19-D19)*-1</f>
        <v>-289.24228812499996</v>
      </c>
      <c r="L19">
        <v>1000</v>
      </c>
    </row>
    <row r="20" spans="1:12" x14ac:dyDescent="0.25">
      <c r="A20" s="1" t="s">
        <v>13</v>
      </c>
      <c r="B20" s="1"/>
      <c r="C20" s="19"/>
      <c r="D20" s="31">
        <f>(391+37)/1000+0.2</f>
        <v>0.628</v>
      </c>
      <c r="E20" s="19"/>
      <c r="F20" s="31">
        <f>([4]Data!$P$43)/1000</f>
        <v>38.5</v>
      </c>
      <c r="G20" s="19"/>
      <c r="H20" s="36">
        <f t="shared" si="1"/>
        <v>-37.872</v>
      </c>
    </row>
    <row r="21" spans="1:12" x14ac:dyDescent="0.25">
      <c r="A21" s="1" t="s">
        <v>14</v>
      </c>
      <c r="B21" s="1"/>
      <c r="C21" s="19"/>
      <c r="D21" s="31">
        <f>(2343+1196+29646)/1000</f>
        <v>33.185000000000002</v>
      </c>
      <c r="E21" s="19"/>
      <c r="F21" s="31">
        <f>([4]Data!$P$50)/1000</f>
        <v>82.02</v>
      </c>
      <c r="G21" s="19"/>
      <c r="H21" s="36">
        <f t="shared" si="1"/>
        <v>-48.834999999999994</v>
      </c>
      <c r="L21">
        <v>-1</v>
      </c>
    </row>
    <row r="22" spans="1:12" x14ac:dyDescent="0.25">
      <c r="A22" s="1" t="s">
        <v>15</v>
      </c>
      <c r="B22" s="1"/>
      <c r="C22" s="19"/>
      <c r="D22" s="31">
        <v>0</v>
      </c>
      <c r="E22" s="19"/>
      <c r="F22" s="31">
        <f>([4]Data!$P$62)/1000</f>
        <v>0</v>
      </c>
      <c r="G22" s="19"/>
      <c r="H22" s="36">
        <f t="shared" si="1"/>
        <v>0</v>
      </c>
    </row>
    <row r="23" spans="1:12" x14ac:dyDescent="0.25">
      <c r="A23" s="1" t="s">
        <v>16</v>
      </c>
      <c r="B23" s="1"/>
      <c r="C23" s="20"/>
      <c r="D23" s="31">
        <f>(45+1662+524+7002)/1000</f>
        <v>9.2330000000000005</v>
      </c>
      <c r="E23" s="20"/>
      <c r="F23" s="31">
        <f>([4]Data!$P$66+[4]Data!$P$78+[4]Data!$P$73)/1000</f>
        <v>75.804000000000002</v>
      </c>
      <c r="G23" s="20"/>
      <c r="H23" s="36">
        <f t="shared" si="1"/>
        <v>-66.570999999999998</v>
      </c>
    </row>
    <row r="24" spans="1:12" x14ac:dyDescent="0.25">
      <c r="A24" s="1" t="s">
        <v>17</v>
      </c>
      <c r="B24" s="1"/>
      <c r="C24" s="19"/>
      <c r="D24" s="31">
        <v>34.86</v>
      </c>
      <c r="E24" s="19"/>
      <c r="F24" s="31">
        <f>([4]Data!$P$79+[4]Data!$P$80)/1000</f>
        <v>36</v>
      </c>
      <c r="G24" s="19"/>
      <c r="H24" s="36">
        <f t="shared" si="1"/>
        <v>-1.1400000000000006</v>
      </c>
    </row>
    <row r="25" spans="1:12" x14ac:dyDescent="0.25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5">
      <c r="A26" s="1" t="s">
        <v>19</v>
      </c>
      <c r="B26" s="1"/>
      <c r="D26" s="31">
        <v>0</v>
      </c>
      <c r="F26" s="31">
        <v>0</v>
      </c>
      <c r="H26" s="36">
        <f t="shared" si="1"/>
        <v>0</v>
      </c>
    </row>
    <row r="27" spans="1:12" x14ac:dyDescent="0.25">
      <c r="A27" s="9" t="s">
        <v>37</v>
      </c>
      <c r="B27" s="1"/>
      <c r="D27" s="31">
        <v>62.4</v>
      </c>
      <c r="F27" s="31">
        <f>([4]Data!$P$74)/1000</f>
        <v>104.4</v>
      </c>
      <c r="H27" s="36">
        <f t="shared" si="1"/>
        <v>-42.000000000000007</v>
      </c>
    </row>
    <row r="28" spans="1:12" x14ac:dyDescent="0.25">
      <c r="A28" s="1" t="s">
        <v>20</v>
      </c>
      <c r="B28" s="1"/>
      <c r="D28" s="31">
        <f>(13368-10400)/1000</f>
        <v>2.968</v>
      </c>
      <c r="F28" s="31">
        <f>([4]Data!$P$83+[4]Data!$P$71)/1000</f>
        <v>0</v>
      </c>
      <c r="H28" s="36">
        <f t="shared" si="1"/>
        <v>2.968</v>
      </c>
    </row>
    <row r="29" spans="1:12" x14ac:dyDescent="0.25">
      <c r="A29" s="1" t="s">
        <v>21</v>
      </c>
      <c r="B29" s="1"/>
      <c r="D29" s="31">
        <v>0</v>
      </c>
      <c r="F29" s="31">
        <f>([4]Data!$P$75)/1000</f>
        <v>0</v>
      </c>
      <c r="H29" s="36">
        <f t="shared" si="1"/>
        <v>0</v>
      </c>
    </row>
    <row r="30" spans="1:12" x14ac:dyDescent="0.25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5">
      <c r="A31" s="1" t="s">
        <v>23</v>
      </c>
      <c r="B31" s="1"/>
      <c r="D31" s="35">
        <v>0</v>
      </c>
      <c r="F31" s="35">
        <v>0</v>
      </c>
      <c r="H31" s="37">
        <f t="shared" si="1"/>
        <v>0</v>
      </c>
    </row>
    <row r="32" spans="1:12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677.38</v>
      </c>
      <c r="E33" s="20" t="s">
        <v>38</v>
      </c>
      <c r="F33" s="24">
        <f>SUM(F17:F31)</f>
        <v>1160.0722881249999</v>
      </c>
      <c r="G33" s="20" t="s">
        <v>38</v>
      </c>
      <c r="H33" s="24">
        <f>SUM(H17:H31)-0.3</f>
        <v>-482.99228812499996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-677.38</v>
      </c>
      <c r="E37" s="20" t="s">
        <v>38</v>
      </c>
      <c r="F37" s="25">
        <f>F17-F33-F35</f>
        <v>-1160.0722881249999</v>
      </c>
      <c r="G37" s="20" t="s">
        <v>38</v>
      </c>
      <c r="H37" s="25">
        <f>H17-H33-H35</f>
        <v>482.99228812499996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5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5">
      <c r="A43" s="1" t="s">
        <v>29</v>
      </c>
      <c r="B43" s="1"/>
      <c r="D43" s="12">
        <v>2</v>
      </c>
      <c r="F43" s="12">
        <v>4</v>
      </c>
      <c r="H43" s="36">
        <f>(F43-D43)*-1</f>
        <v>-2</v>
      </c>
    </row>
    <row r="44" spans="1:8" x14ac:dyDescent="0.25">
      <c r="A44" s="1" t="s">
        <v>30</v>
      </c>
      <c r="B44" s="1"/>
      <c r="D44" s="12">
        <v>0</v>
      </c>
      <c r="F44" s="12">
        <v>1</v>
      </c>
      <c r="H44" s="36">
        <f>(F44-D44)*-1</f>
        <v>-1</v>
      </c>
    </row>
    <row r="45" spans="1:8" x14ac:dyDescent="0.25">
      <c r="A45" s="1" t="s">
        <v>31</v>
      </c>
      <c r="B45" s="1"/>
      <c r="D45" s="30">
        <v>0</v>
      </c>
      <c r="F45" s="30">
        <v>0</v>
      </c>
      <c r="H45" s="37">
        <f>(F45-D45)*-1</f>
        <v>0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3</v>
      </c>
      <c r="E47" s="22"/>
      <c r="F47" s="29">
        <f>SUM(F41:F45)</f>
        <v>7</v>
      </c>
      <c r="G47" s="22"/>
      <c r="H47" s="29">
        <f>SUM(H41:H45)</f>
        <v>-4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148.86461258928571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-165.7246125892857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2"/>
  <sheetViews>
    <sheetView topLeftCell="A13" zoomScale="75" workbookViewId="0">
      <selection activeCell="F49" sqref="F49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1" x14ac:dyDescent="0.25">
      <c r="A19" s="1" t="s">
        <v>12</v>
      </c>
      <c r="B19" s="1"/>
      <c r="C19" s="19"/>
      <c r="D19" s="31">
        <f>(99617+274254)/1000</f>
        <v>373.87099999999998</v>
      </c>
      <c r="E19" s="32"/>
      <c r="F19" s="31">
        <f>([6]Data!$P$31+[6]Data!$P$34)/1000</f>
        <v>946.40981050000005</v>
      </c>
      <c r="G19" s="19"/>
      <c r="H19" s="36">
        <f>(F19-D19)*-1</f>
        <v>-572.53881050000007</v>
      </c>
      <c r="K19">
        <v>1000</v>
      </c>
    </row>
    <row r="20" spans="1:11" x14ac:dyDescent="0.25">
      <c r="A20" s="1" t="s">
        <v>13</v>
      </c>
      <c r="B20" s="1"/>
      <c r="C20" s="19"/>
      <c r="D20" s="31">
        <f>(244+4220+16806)/1000</f>
        <v>21.27</v>
      </c>
      <c r="E20" s="32"/>
      <c r="F20" s="31">
        <f>([6]Data!$P$43)/1000</f>
        <v>31.75</v>
      </c>
      <c r="G20" s="19"/>
      <c r="H20" s="36">
        <f>(F20-D20+0.2)*-1</f>
        <v>-10.68</v>
      </c>
    </row>
    <row r="21" spans="1:11" x14ac:dyDescent="0.25">
      <c r="A21" s="1" t="s">
        <v>14</v>
      </c>
      <c r="B21" s="1"/>
      <c r="C21" s="19"/>
      <c r="D21" s="31">
        <f>(3020+987+15798)/1000</f>
        <v>19.805</v>
      </c>
      <c r="E21" s="32"/>
      <c r="F21" s="31">
        <f>([6]Data!$P$50)/1000</f>
        <v>419.892</v>
      </c>
      <c r="G21" s="19"/>
      <c r="H21" s="36">
        <f t="shared" ref="H21:H31" si="1">(F21-D21)*-1</f>
        <v>-400.08699999999999</v>
      </c>
      <c r="K21">
        <v>-1</v>
      </c>
    </row>
    <row r="22" spans="1:11" x14ac:dyDescent="0.25">
      <c r="A22" s="1" t="s">
        <v>15</v>
      </c>
      <c r="B22" s="1"/>
      <c r="C22" s="19"/>
      <c r="D22" s="31">
        <f>(77)/1000</f>
        <v>7.6999999999999999E-2</v>
      </c>
      <c r="E22" s="32"/>
      <c r="F22" s="31">
        <f>([6]Data!$P$62)/1000</f>
        <v>0</v>
      </c>
      <c r="G22" s="19"/>
      <c r="H22" s="36">
        <f t="shared" si="1"/>
        <v>7.6999999999999999E-2</v>
      </c>
    </row>
    <row r="23" spans="1:11" x14ac:dyDescent="0.25">
      <c r="A23" s="1" t="s">
        <v>16</v>
      </c>
      <c r="B23" s="1"/>
      <c r="C23" s="20"/>
      <c r="D23" s="31">
        <f>(1958+870+3804)/1000</f>
        <v>6.6319999999999997</v>
      </c>
      <c r="E23" s="33"/>
      <c r="F23" s="31">
        <f>([6]Data!$P$66+[6]Data!$P$73+[6]Data!$P$78)/1000</f>
        <v>92.1</v>
      </c>
      <c r="G23" s="20"/>
      <c r="H23" s="36">
        <f t="shared" si="1"/>
        <v>-85.467999999999989</v>
      </c>
    </row>
    <row r="24" spans="1:11" x14ac:dyDescent="0.25">
      <c r="A24" s="1" t="s">
        <v>17</v>
      </c>
      <c r="B24" s="1"/>
      <c r="C24" s="19"/>
      <c r="D24" s="31">
        <f>(657+3804)/1000</f>
        <v>4.4610000000000003</v>
      </c>
      <c r="E24" s="32"/>
      <c r="F24" s="31">
        <f>([6]Data!$P$80)/1000</f>
        <v>13.2</v>
      </c>
      <c r="G24" s="19"/>
      <c r="H24" s="36">
        <f t="shared" si="1"/>
        <v>-8.738999999999999</v>
      </c>
    </row>
    <row r="25" spans="1:11" x14ac:dyDescent="0.25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5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5">
      <c r="A27" s="9" t="s">
        <v>37</v>
      </c>
      <c r="B27" s="1"/>
      <c r="D27" s="31">
        <v>0</v>
      </c>
      <c r="E27" s="34"/>
      <c r="F27" s="31">
        <f>([6]Data!$P$74)/1000</f>
        <v>248.4</v>
      </c>
      <c r="H27" s="36">
        <f t="shared" si="1"/>
        <v>-248.4</v>
      </c>
    </row>
    <row r="28" spans="1:11" x14ac:dyDescent="0.25">
      <c r="A28" s="1" t="s">
        <v>20</v>
      </c>
      <c r="B28" s="1"/>
      <c r="D28" s="31">
        <v>0</v>
      </c>
      <c r="E28" s="34"/>
      <c r="F28" s="31">
        <f>[6]Data!$P$85/1000</f>
        <v>6</v>
      </c>
      <c r="H28" s="36">
        <f t="shared" si="1"/>
        <v>-6</v>
      </c>
    </row>
    <row r="29" spans="1:11" x14ac:dyDescent="0.25">
      <c r="A29" s="1" t="s">
        <v>21</v>
      </c>
      <c r="B29" s="1"/>
      <c r="D29" s="31">
        <f>(40)/1000</f>
        <v>0.04</v>
      </c>
      <c r="E29" s="34"/>
      <c r="F29" s="31">
        <v>0</v>
      </c>
      <c r="H29" s="36">
        <f t="shared" si="1"/>
        <v>0.04</v>
      </c>
    </row>
    <row r="30" spans="1:11" x14ac:dyDescent="0.25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5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426.15600000000001</v>
      </c>
      <c r="E33" s="20" t="s">
        <v>38</v>
      </c>
      <c r="F33" s="24">
        <f>SUM(F17:F31)</f>
        <v>1757.7518105000001</v>
      </c>
      <c r="G33" s="20" t="s">
        <v>38</v>
      </c>
      <c r="H33" s="24">
        <f>SUM(H17:H31)</f>
        <v>-1331.7958105000002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-426.15600000000001</v>
      </c>
      <c r="E37" s="20" t="s">
        <v>38</v>
      </c>
      <c r="F37" s="25">
        <f>F17-F33-F35</f>
        <v>-1757.7518105000001</v>
      </c>
      <c r="G37" s="20" t="s">
        <v>38</v>
      </c>
      <c r="H37" s="25">
        <f>H17-H33-H35</f>
        <v>1331.7958105000002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5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5">
      <c r="A43" s="1" t="s">
        <v>29</v>
      </c>
      <c r="B43" s="1"/>
      <c r="D43" s="12">
        <v>2</v>
      </c>
      <c r="F43" s="12">
        <v>7</v>
      </c>
      <c r="H43" s="36">
        <f>(F43-D43)*-1</f>
        <v>-5</v>
      </c>
    </row>
    <row r="44" spans="1:8" x14ac:dyDescent="0.25">
      <c r="A44" s="1" t="s">
        <v>30</v>
      </c>
      <c r="B44" s="1"/>
      <c r="D44" s="12">
        <v>0</v>
      </c>
      <c r="F44" s="12">
        <v>2</v>
      </c>
      <c r="H44" s="36">
        <f>(F44-D44)*-1</f>
        <v>-2</v>
      </c>
    </row>
    <row r="45" spans="1:8" x14ac:dyDescent="0.25">
      <c r="A45" s="1" t="s">
        <v>31</v>
      </c>
      <c r="B45" s="1"/>
      <c r="D45" s="30">
        <v>3</v>
      </c>
      <c r="F45" s="30">
        <v>0</v>
      </c>
      <c r="H45" s="37">
        <f>(F45-D45)*-1</f>
        <v>3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5</v>
      </c>
      <c r="E47" s="22"/>
      <c r="F47" s="29">
        <f>SUM(F41:F45)</f>
        <v>10</v>
      </c>
      <c r="G47" s="22"/>
      <c r="H47" s="29">
        <f>SUM(H41:H45)</f>
        <v>-5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131.86598105000002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-175.77518105000001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2"/>
  <sheetViews>
    <sheetView topLeftCell="A16" zoomScale="75" workbookViewId="0">
      <selection activeCell="D50" sqref="D50:D51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2" x14ac:dyDescent="0.25">
      <c r="A19" s="1" t="s">
        <v>12</v>
      </c>
      <c r="B19" s="1"/>
      <c r="C19" s="19"/>
      <c r="D19" s="31">
        <f>(1137740-400000)/1000</f>
        <v>737.74</v>
      </c>
      <c r="E19" s="32"/>
      <c r="F19" s="31">
        <f>([5]Data!$P$31+[5]Data!$P$34)/1000</f>
        <v>1034.7027465416668</v>
      </c>
      <c r="G19" s="19"/>
      <c r="H19" s="36">
        <f t="shared" ref="H19:H31" si="1">(F19-D19)*-1</f>
        <v>-296.96274654166677</v>
      </c>
      <c r="J19">
        <v>-1</v>
      </c>
      <c r="L19">
        <v>1000</v>
      </c>
    </row>
    <row r="20" spans="1:12" x14ac:dyDescent="0.25">
      <c r="A20" s="1" t="s">
        <v>13</v>
      </c>
      <c r="B20" s="1"/>
      <c r="C20" s="19"/>
      <c r="D20" s="31">
        <f>(122370+305+8419+16890+4926)/1000</f>
        <v>152.91</v>
      </c>
      <c r="E20" s="32"/>
      <c r="F20" s="31">
        <f>([5]Data!$P$43)/1000</f>
        <v>180.61199999999999</v>
      </c>
      <c r="G20" s="19"/>
      <c r="H20" s="36">
        <f t="shared" si="1"/>
        <v>-27.701999999999998</v>
      </c>
    </row>
    <row r="21" spans="1:12" x14ac:dyDescent="0.25">
      <c r="A21" s="1" t="s">
        <v>14</v>
      </c>
      <c r="B21" s="1"/>
      <c r="C21" s="19"/>
      <c r="D21" s="31">
        <f>(41040+8598)/1000</f>
        <v>49.637999999999998</v>
      </c>
      <c r="E21" s="32"/>
      <c r="F21" s="31">
        <f>([5]Data!$P$50)/1000</f>
        <v>63.996000000000002</v>
      </c>
      <c r="G21" s="19"/>
      <c r="H21" s="36">
        <f t="shared" si="1"/>
        <v>-14.358000000000004</v>
      </c>
    </row>
    <row r="22" spans="1:12" x14ac:dyDescent="0.25">
      <c r="A22" s="1" t="s">
        <v>15</v>
      </c>
      <c r="B22" s="1"/>
      <c r="C22" s="19"/>
      <c r="D22" s="31">
        <f>(578326+400000)/1000</f>
        <v>978.32600000000002</v>
      </c>
      <c r="E22" s="32"/>
      <c r="F22" s="31">
        <f>([5]Data!$P$62)/1000</f>
        <v>1060.008</v>
      </c>
      <c r="G22" s="19"/>
      <c r="H22" s="36">
        <f t="shared" si="1"/>
        <v>-81.682000000000016</v>
      </c>
    </row>
    <row r="23" spans="1:12" x14ac:dyDescent="0.25">
      <c r="A23" s="1" t="s">
        <v>16</v>
      </c>
      <c r="B23" s="1"/>
      <c r="C23" s="20"/>
      <c r="D23" s="31">
        <f>(150880+85924+248930)/1000</f>
        <v>485.73399999999998</v>
      </c>
      <c r="E23" s="33"/>
      <c r="F23" s="31">
        <f>([5]Data!$P$66+[5]Data!$P$73+[5]Data!$P$78)/1000</f>
        <v>779.68799999999999</v>
      </c>
      <c r="G23" s="20"/>
      <c r="H23" s="36">
        <f t="shared" si="1"/>
        <v>-293.95400000000001</v>
      </c>
    </row>
    <row r="24" spans="1:12" x14ac:dyDescent="0.25">
      <c r="A24" s="1" t="s">
        <v>17</v>
      </c>
      <c r="B24" s="1"/>
      <c r="C24" s="19"/>
      <c r="D24" s="31">
        <f>(47502+10818)/1000</f>
        <v>58.32</v>
      </c>
      <c r="E24" s="32"/>
      <c r="F24" s="31">
        <f>([5]Data!$P$80)/1000</f>
        <v>272.85599999999999</v>
      </c>
      <c r="G24" s="19"/>
      <c r="H24" s="36">
        <f t="shared" si="1"/>
        <v>-214.536</v>
      </c>
    </row>
    <row r="25" spans="1:12" x14ac:dyDescent="0.25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5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5">
      <c r="A27" s="9" t="s">
        <v>37</v>
      </c>
      <c r="B27" s="1"/>
      <c r="D27" s="31">
        <v>960</v>
      </c>
      <c r="E27" s="34"/>
      <c r="F27" s="31">
        <f>([5]Data!$P$74)/1000</f>
        <v>1202.4000000000001</v>
      </c>
      <c r="H27" s="36">
        <f t="shared" si="1"/>
        <v>-242.40000000000009</v>
      </c>
    </row>
    <row r="28" spans="1:12" x14ac:dyDescent="0.25">
      <c r="A28" s="1" t="s">
        <v>20</v>
      </c>
      <c r="B28" s="1"/>
      <c r="D28" s="31">
        <f>(93+61058-47592)/1000</f>
        <v>13.558999999999999</v>
      </c>
      <c r="E28" s="34"/>
      <c r="F28" s="31">
        <f>([5]Data!$P$53)/1000</f>
        <v>0</v>
      </c>
      <c r="H28" s="36">
        <f t="shared" si="1"/>
        <v>13.558999999999999</v>
      </c>
    </row>
    <row r="29" spans="1:12" x14ac:dyDescent="0.25">
      <c r="A29" s="1" t="s">
        <v>21</v>
      </c>
      <c r="B29" s="1"/>
      <c r="D29" s="31">
        <v>0</v>
      </c>
      <c r="E29" s="34"/>
      <c r="F29" s="31">
        <v>0</v>
      </c>
      <c r="H29" s="36">
        <f t="shared" si="1"/>
        <v>0</v>
      </c>
    </row>
    <row r="30" spans="1:12" x14ac:dyDescent="0.25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5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SUM(D17:D31)+0.3</f>
        <v>3436.5270000000005</v>
      </c>
      <c r="E33" s="20" t="s">
        <v>38</v>
      </c>
      <c r="F33" s="24">
        <f>SUM(F17:F31)</f>
        <v>4594.2627465416663</v>
      </c>
      <c r="G33" s="20" t="s">
        <v>38</v>
      </c>
      <c r="H33" s="24">
        <f>SUM(H17:H31)</f>
        <v>-1158.0357465416669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-3436.5270000000005</v>
      </c>
      <c r="E37" s="20" t="s">
        <v>38</v>
      </c>
      <c r="F37" s="25">
        <f>F17-F33-F35</f>
        <v>-4594.2627465416663</v>
      </c>
      <c r="G37" s="20" t="s">
        <v>38</v>
      </c>
      <c r="H37" s="25">
        <f>H17-H33-H35</f>
        <v>1158.0357465416669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5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5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5">
      <c r="A44" s="1" t="s">
        <v>30</v>
      </c>
      <c r="B44" s="1"/>
      <c r="D44" s="12">
        <v>10</v>
      </c>
      <c r="F44" s="12">
        <v>10</v>
      </c>
      <c r="H44" s="36">
        <f>(F44-D44)*-1</f>
        <v>0</v>
      </c>
    </row>
    <row r="45" spans="1:8" x14ac:dyDescent="0.25">
      <c r="A45" s="1" t="s">
        <v>31</v>
      </c>
      <c r="B45" s="1"/>
      <c r="D45" s="30">
        <v>5</v>
      </c>
      <c r="F45" s="30">
        <v>5</v>
      </c>
      <c r="H45" s="37">
        <f>(F45-D45)*-1</f>
        <v>0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18</v>
      </c>
      <c r="E47" s="22"/>
      <c r="F47" s="29">
        <f>SUM(F41:F45)</f>
        <v>20</v>
      </c>
      <c r="G47" s="22"/>
      <c r="H47" s="29">
        <f>SUM(H41:H45)</f>
        <v>-2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159.87013732708334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-229.7131373270833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52"/>
  <sheetViews>
    <sheetView topLeftCell="A15" zoomScale="75" workbookViewId="0">
      <selection activeCell="D50" sqref="D50:D51"/>
    </sheetView>
  </sheetViews>
  <sheetFormatPr defaultRowHeight="13.2" x14ac:dyDescent="0.25"/>
  <cols>
    <col min="1" max="1" width="3.88671875" customWidth="1"/>
    <col min="2" max="2" width="61" customWidth="1"/>
    <col min="3" max="3" width="3.109375" style="21" customWidth="1"/>
    <col min="4" max="4" width="15.6640625" customWidth="1"/>
    <col min="5" max="5" width="3.5546875" style="21" customWidth="1"/>
    <col min="6" max="6" width="15.6640625" customWidth="1"/>
    <col min="7" max="7" width="3.5546875" style="21" customWidth="1"/>
    <col min="8" max="8" width="15.6640625" customWidth="1"/>
  </cols>
  <sheetData>
    <row r="1" spans="1:8" ht="15.6" x14ac:dyDescent="0.3">
      <c r="A1" s="15" t="s">
        <v>39</v>
      </c>
      <c r="C1" s="16"/>
      <c r="E1" s="16"/>
      <c r="G1" s="16"/>
    </row>
    <row r="2" spans="1:8" ht="15.6" x14ac:dyDescent="0.3">
      <c r="C2" s="16"/>
      <c r="E2" s="16"/>
      <c r="G2" s="16"/>
    </row>
    <row r="3" spans="1:8" x14ac:dyDescent="0.25">
      <c r="C3" s="17"/>
      <c r="E3" s="17"/>
      <c r="G3" s="17"/>
    </row>
    <row r="4" spans="1:8" ht="13.8" thickBot="1" x14ac:dyDescent="0.3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5">
      <c r="A5" s="1"/>
      <c r="B5" s="1"/>
      <c r="C5" s="17"/>
      <c r="D5" s="1"/>
      <c r="E5" s="17"/>
      <c r="F5" s="1"/>
      <c r="G5" s="17"/>
    </row>
    <row r="6" spans="1:8" x14ac:dyDescent="0.25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5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5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5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5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5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5">
      <c r="A12" s="1"/>
      <c r="B12" s="1"/>
      <c r="C12" s="19"/>
      <c r="D12" s="1"/>
      <c r="E12" s="19"/>
      <c r="F12" s="1"/>
      <c r="G12" s="19"/>
    </row>
    <row r="13" spans="1:8" s="23" customFormat="1" x14ac:dyDescent="0.25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5">
      <c r="A14" s="6"/>
      <c r="B14" s="1"/>
      <c r="C14" s="20"/>
      <c r="D14" s="7"/>
      <c r="E14" s="20"/>
      <c r="F14" s="7"/>
      <c r="G14" s="20"/>
      <c r="H14" s="7"/>
    </row>
    <row r="15" spans="1:8" x14ac:dyDescent="0.25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5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5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5">
      <c r="A18" s="1"/>
      <c r="B18" s="1"/>
      <c r="C18" s="19"/>
      <c r="D18" s="1"/>
      <c r="E18" s="19"/>
      <c r="F18" s="1"/>
      <c r="G18" s="19"/>
      <c r="H18" s="8"/>
    </row>
    <row r="19" spans="1:12" x14ac:dyDescent="0.25">
      <c r="A19" s="1" t="s">
        <v>12</v>
      </c>
      <c r="B19" s="1"/>
      <c r="C19" s="19"/>
      <c r="D19" s="31">
        <f>((256119+59820)*2)/1000</f>
        <v>631.87800000000004</v>
      </c>
      <c r="E19" s="19"/>
      <c r="F19" s="31">
        <f>([10]Data!$P$31+[10]Data!$P$34)/1000</f>
        <v>904.37068562499996</v>
      </c>
      <c r="G19" s="19"/>
      <c r="H19" s="36">
        <f t="shared" ref="H19:H31" si="1">(F19-D19)*-1</f>
        <v>-272.49268562499992</v>
      </c>
      <c r="L19">
        <v>1000</v>
      </c>
    </row>
    <row r="20" spans="1:12" x14ac:dyDescent="0.25">
      <c r="A20" s="1" t="s">
        <v>13</v>
      </c>
      <c r="B20" s="1"/>
      <c r="C20" s="19"/>
      <c r="D20" s="31">
        <v>95</v>
      </c>
      <c r="E20" s="19"/>
      <c r="F20" s="31">
        <f>([10]Data!$P$43)/1000</f>
        <v>94.213999999999999</v>
      </c>
      <c r="G20" s="19"/>
      <c r="H20" s="36">
        <f t="shared" si="1"/>
        <v>0.78600000000000136</v>
      </c>
    </row>
    <row r="21" spans="1:12" x14ac:dyDescent="0.25">
      <c r="A21" s="1" t="s">
        <v>14</v>
      </c>
      <c r="B21" s="1"/>
      <c r="C21" s="19"/>
      <c r="D21" s="31">
        <v>87.676000000000002</v>
      </c>
      <c r="E21" s="19"/>
      <c r="F21" s="31">
        <f>([10]Data!$P$50)/1000</f>
        <v>27.995999999999999</v>
      </c>
      <c r="G21" s="19"/>
      <c r="H21" s="36">
        <f t="shared" si="1"/>
        <v>59.680000000000007</v>
      </c>
      <c r="L21">
        <v>-1</v>
      </c>
    </row>
    <row r="22" spans="1:12" x14ac:dyDescent="0.25">
      <c r="A22" s="1" t="s">
        <v>15</v>
      </c>
      <c r="B22" s="1"/>
      <c r="C22" s="19"/>
      <c r="D22" s="31">
        <f>(214)/1000</f>
        <v>0.214</v>
      </c>
      <c r="E22" s="19"/>
      <c r="F22" s="31">
        <f>([10]Data!$P$62)/1000</f>
        <v>0</v>
      </c>
      <c r="G22" s="19"/>
      <c r="H22" s="36">
        <f t="shared" si="1"/>
        <v>0.214</v>
      </c>
    </row>
    <row r="23" spans="1:12" x14ac:dyDescent="0.25">
      <c r="A23" s="1" t="s">
        <v>16</v>
      </c>
      <c r="B23" s="1"/>
      <c r="C23" s="20"/>
      <c r="D23" s="31">
        <f>(2174+133553+52417+141495)/1000</f>
        <v>329.63900000000001</v>
      </c>
      <c r="E23" s="20"/>
      <c r="F23" s="31">
        <f>([10]Data!$P$66+[10]Data!$P$73+[10]Data!$P$78)/1000</f>
        <v>304.32</v>
      </c>
      <c r="G23" s="20"/>
      <c r="H23" s="36">
        <f t="shared" si="1"/>
        <v>25.319000000000017</v>
      </c>
    </row>
    <row r="24" spans="1:12" x14ac:dyDescent="0.25">
      <c r="A24" s="1" t="s">
        <v>17</v>
      </c>
      <c r="B24" s="1"/>
      <c r="C24" s="19"/>
      <c r="D24" s="31">
        <v>3.29</v>
      </c>
      <c r="E24" s="19"/>
      <c r="F24" s="31">
        <f>([10]Data!$P$80)/1000</f>
        <v>0</v>
      </c>
      <c r="G24" s="19"/>
      <c r="H24" s="36">
        <f t="shared" si="1"/>
        <v>3.29</v>
      </c>
    </row>
    <row r="25" spans="1:12" x14ac:dyDescent="0.25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5">
      <c r="A26" s="1" t="s">
        <v>19</v>
      </c>
      <c r="B26" s="1"/>
      <c r="D26" s="31">
        <f>(1033417+738185)/1000</f>
        <v>1771.6020000000001</v>
      </c>
      <c r="F26" s="31">
        <v>0</v>
      </c>
      <c r="H26" s="36">
        <f t="shared" si="1"/>
        <v>1771.6020000000001</v>
      </c>
    </row>
    <row r="27" spans="1:12" x14ac:dyDescent="0.25">
      <c r="A27" s="9" t="s">
        <v>37</v>
      </c>
      <c r="B27" s="1"/>
      <c r="D27" s="31">
        <v>0</v>
      </c>
      <c r="F27" s="31">
        <f>([10]Data!$P$74)/1000</f>
        <v>313.2</v>
      </c>
      <c r="H27" s="36">
        <f t="shared" si="1"/>
        <v>-313.2</v>
      </c>
    </row>
    <row r="28" spans="1:12" x14ac:dyDescent="0.25">
      <c r="A28" s="1" t="s">
        <v>20</v>
      </c>
      <c r="B28" s="1"/>
      <c r="D28" s="31">
        <f>(38975+28651+63-27386)/1000</f>
        <v>40.302999999999997</v>
      </c>
      <c r="F28" s="31">
        <f>([10]Data!$P$53)/1000</f>
        <v>0</v>
      </c>
      <c r="H28" s="36">
        <f t="shared" si="1"/>
        <v>40.302999999999997</v>
      </c>
    </row>
    <row r="29" spans="1:12" x14ac:dyDescent="0.25">
      <c r="A29" s="1" t="s">
        <v>21</v>
      </c>
      <c r="B29" s="1"/>
      <c r="D29" s="31">
        <v>0</v>
      </c>
      <c r="F29" s="31">
        <v>0</v>
      </c>
      <c r="H29" s="36">
        <f t="shared" si="1"/>
        <v>0</v>
      </c>
    </row>
    <row r="30" spans="1:12" x14ac:dyDescent="0.25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5">
      <c r="A31" s="1" t="s">
        <v>23</v>
      </c>
      <c r="B31" s="1"/>
      <c r="D31" s="35">
        <f>(217770+182105)/1000</f>
        <v>399.875</v>
      </c>
      <c r="F31" s="35">
        <f>([10]Data!$P$86)/1000</f>
        <v>818.83199999999999</v>
      </c>
      <c r="H31" s="37">
        <f t="shared" si="1"/>
        <v>-418.95699999999999</v>
      </c>
    </row>
    <row r="32" spans="1:12" ht="5.25" customHeight="1" x14ac:dyDescent="0.25">
      <c r="A32" s="1"/>
      <c r="B32" s="1"/>
      <c r="D32" s="1"/>
      <c r="F32" s="1"/>
    </row>
    <row r="33" spans="1:8" s="23" customFormat="1" x14ac:dyDescent="0.25">
      <c r="A33" s="6" t="s">
        <v>24</v>
      </c>
      <c r="B33" s="6"/>
      <c r="C33" s="20" t="s">
        <v>38</v>
      </c>
      <c r="D33" s="24">
        <f>SUM(D17:D31)</f>
        <v>3359.4769999999999</v>
      </c>
      <c r="E33" s="20" t="s">
        <v>38</v>
      </c>
      <c r="F33" s="24">
        <f>SUM(F17:F31)</f>
        <v>2462.932685625</v>
      </c>
      <c r="G33" s="20" t="s">
        <v>38</v>
      </c>
      <c r="H33" s="24">
        <f>SUM(H17:H31)</f>
        <v>896.54431437500023</v>
      </c>
    </row>
    <row r="34" spans="1:8" ht="6.75" customHeight="1" x14ac:dyDescent="0.25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5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5">
      <c r="A36" s="1"/>
      <c r="B36" s="1"/>
      <c r="C36" s="22"/>
      <c r="D36" s="6"/>
      <c r="E36" s="22"/>
      <c r="F36" s="26"/>
      <c r="G36" s="22"/>
      <c r="H36" s="27"/>
    </row>
    <row r="37" spans="1:8" s="23" customFormat="1" ht="13.8" thickBot="1" x14ac:dyDescent="0.3">
      <c r="A37" s="6" t="s">
        <v>25</v>
      </c>
      <c r="B37" s="6"/>
      <c r="C37" s="20" t="s">
        <v>38</v>
      </c>
      <c r="D37" s="25">
        <f>D17-D33-D35</f>
        <v>-3359.4769999999999</v>
      </c>
      <c r="E37" s="20" t="s">
        <v>38</v>
      </c>
      <c r="F37" s="25">
        <f>F17-F33-F35</f>
        <v>-2462.932685625</v>
      </c>
      <c r="G37" s="20" t="s">
        <v>38</v>
      </c>
      <c r="H37" s="25">
        <f>H17-H33-H35</f>
        <v>-896.54431437500023</v>
      </c>
    </row>
    <row r="38" spans="1:8" ht="19.5" customHeight="1" thickTop="1" x14ac:dyDescent="0.25">
      <c r="A38" s="1"/>
      <c r="B38" s="1"/>
      <c r="D38" s="12"/>
      <c r="F38" s="13"/>
    </row>
    <row r="39" spans="1:8" x14ac:dyDescent="0.25">
      <c r="A39" s="8" t="s">
        <v>26</v>
      </c>
      <c r="B39" s="1"/>
      <c r="D39" s="1"/>
      <c r="F39" s="1"/>
    </row>
    <row r="40" spans="1:8" ht="4.5" customHeight="1" x14ac:dyDescent="0.25">
      <c r="A40" s="1"/>
      <c r="B40" s="1"/>
      <c r="D40" s="12"/>
      <c r="F40" s="1"/>
    </row>
    <row r="41" spans="1:8" x14ac:dyDescent="0.25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5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5">
      <c r="A43" s="1" t="s">
        <v>29</v>
      </c>
      <c r="B43" s="1"/>
      <c r="D43" s="12">
        <v>4</v>
      </c>
      <c r="F43" s="12">
        <v>5</v>
      </c>
      <c r="H43" s="36">
        <f>(F43-D43)*-1</f>
        <v>-1</v>
      </c>
    </row>
    <row r="44" spans="1:8" x14ac:dyDescent="0.25">
      <c r="A44" s="1" t="s">
        <v>30</v>
      </c>
      <c r="B44" s="1"/>
      <c r="D44" s="12">
        <v>0</v>
      </c>
      <c r="F44" s="12">
        <v>3</v>
      </c>
      <c r="H44" s="36">
        <f>(F44-D44)*-1</f>
        <v>-3</v>
      </c>
    </row>
    <row r="45" spans="1:8" x14ac:dyDescent="0.25">
      <c r="A45" s="1" t="s">
        <v>31</v>
      </c>
      <c r="B45" s="1"/>
      <c r="D45" s="30">
        <v>2</v>
      </c>
      <c r="F45" s="30">
        <v>3</v>
      </c>
      <c r="H45" s="37">
        <f>(F45-D45)*-1</f>
        <v>-1</v>
      </c>
    </row>
    <row r="46" spans="1:8" ht="4.5" customHeight="1" x14ac:dyDescent="0.25">
      <c r="A46" s="4"/>
      <c r="B46" s="4"/>
      <c r="D46" s="28"/>
      <c r="F46" s="28"/>
      <c r="H46" s="28"/>
    </row>
    <row r="47" spans="1:8" s="23" customFormat="1" ht="13.8" thickBot="1" x14ac:dyDescent="0.3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11</v>
      </c>
      <c r="G47" s="22"/>
      <c r="H47" s="29">
        <f>SUM(H41:H45)</f>
        <v>-5</v>
      </c>
    </row>
    <row r="48" spans="1:8" ht="21.75" customHeight="1" thickTop="1" x14ac:dyDescent="0.25">
      <c r="A48" s="6"/>
      <c r="B48" s="1"/>
      <c r="D48" s="1"/>
      <c r="F48" s="1"/>
    </row>
    <row r="49" spans="1:6" ht="13.8" thickBot="1" x14ac:dyDescent="0.3">
      <c r="A49" s="8" t="s">
        <v>40</v>
      </c>
      <c r="B49" s="1"/>
      <c r="D49" s="2" t="s">
        <v>33</v>
      </c>
      <c r="F49" s="2" t="s">
        <v>34</v>
      </c>
    </row>
    <row r="50" spans="1:6" x14ac:dyDescent="0.25">
      <c r="A50" s="14" t="s">
        <v>41</v>
      </c>
      <c r="B50" s="1"/>
      <c r="C50" s="19" t="s">
        <v>38</v>
      </c>
      <c r="D50" s="1">
        <f>(F19+F20+F23+F27)/F47</f>
        <v>146.91860778409091</v>
      </c>
      <c r="E50" s="19" t="s">
        <v>38</v>
      </c>
    </row>
    <row r="51" spans="1:6" x14ac:dyDescent="0.25">
      <c r="A51" s="14" t="s">
        <v>35</v>
      </c>
      <c r="B51" s="1"/>
      <c r="C51" s="19" t="s">
        <v>38</v>
      </c>
      <c r="D51" s="1">
        <f>F37/F47</f>
        <v>-223.90297142045455</v>
      </c>
      <c r="E51" s="19" t="s">
        <v>38</v>
      </c>
    </row>
    <row r="52" spans="1:6" x14ac:dyDescent="0.25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Consolidated Power Trad</vt:lpstr>
      <vt:lpstr>Midwest Power Trading</vt:lpstr>
      <vt:lpstr>Northeast Power Trading</vt:lpstr>
      <vt:lpstr>Southeast Power Trading</vt:lpstr>
      <vt:lpstr>Ercot Trading</vt:lpstr>
      <vt:lpstr>Options</vt:lpstr>
      <vt:lpstr>Services Desk</vt:lpstr>
      <vt:lpstr>Fundamentals</vt:lpstr>
      <vt:lpstr>Genco Control Area</vt:lpstr>
      <vt:lpstr>Management Book</vt:lpstr>
      <vt:lpstr>TAC</vt:lpstr>
      <vt:lpstr>'Consolidated Power Trad'!Print_Titles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mmoore2</dc:creator>
  <cp:lastModifiedBy>Havlíček Jan</cp:lastModifiedBy>
  <cp:lastPrinted>2001-09-18T20:58:36Z</cp:lastPrinted>
  <dcterms:created xsi:type="dcterms:W3CDTF">2001-08-23T15:14:26Z</dcterms:created>
  <dcterms:modified xsi:type="dcterms:W3CDTF">2023-09-10T11:18:41Z</dcterms:modified>
</cp:coreProperties>
</file>