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23412" windowHeight="14700"/>
  </bookViews>
  <sheets>
    <sheet name="Sheet1" sheetId="1" r:id="rId1"/>
    <sheet name="Sheet2" sheetId="2" r:id="rId2"/>
    <sheet name="Sheet3" sheetId="3" r:id="rId3"/>
  </sheets>
  <definedNames>
    <definedName name="ZA0" localSheetId="0">"Crystal Ball Data : Ver. 4.0.7"</definedName>
    <definedName name="ZA0A" localSheetId="0">2+102</definedName>
    <definedName name="ZA0C" localSheetId="0">1+101</definedName>
    <definedName name="ZA0D" localSheetId="0">0+0</definedName>
    <definedName name="ZA0F" localSheetId="0">4+108</definedName>
    <definedName name="ZA0T" localSheetId="0">1115470631+0</definedName>
    <definedName name="_ZA101" localSheetId="0">Sheet1!$L$29+"aL29"+17441+0+1</definedName>
    <definedName name="_ZA102" localSheetId="0">Sheet1!$L$10+"aL10"+17441+0+1</definedName>
    <definedName name="_ZC101" localSheetId="0">Sheet1!$L$29+Sheet1!$L$10+0+Sheet1!$H$9+3+0</definedName>
    <definedName name="_ZF105" localSheetId="0">Sheet1!$R$45+"Option Payout"+""+33+33+443+488+991+773+1450+4+3+"-"+"+"+2.6+50+2</definedName>
    <definedName name="_ZF106" localSheetId="0">Sheet1!$R$35+"Option 1 "+""+33+33+443+421+148+706+607+4+3+"-"+"+"+2.6+50+2</definedName>
    <definedName name="_ZF107" localSheetId="0">Sheet1!$R$38+"Option 2"+""+33+33+443+763+150+1048+609+4+3+"-"+"+"+2.6+50+2</definedName>
    <definedName name="_ZF108" localSheetId="0">Sheet1!$R$41+"Option3"+""+33+33+443+781+697+1066+1156+4+3+"-"+"+"+2.6+50+2</definedName>
  </definedNames>
  <calcPr calcId="0"/>
</workbook>
</file>

<file path=xl/calcChain.xml><?xml version="1.0" encoding="utf-8"?>
<calcChain xmlns="http://schemas.openxmlformats.org/spreadsheetml/2006/main">
  <c r="F4" i="1" l="1"/>
  <c r="D14" i="1"/>
  <c r="F14" i="1"/>
  <c r="G14" i="1"/>
  <c r="H14" i="1"/>
  <c r="I14" i="1"/>
  <c r="J14" i="1"/>
  <c r="P14" i="1"/>
  <c r="D15" i="1"/>
  <c r="F15" i="1"/>
  <c r="G15" i="1"/>
  <c r="H15" i="1"/>
  <c r="I15" i="1"/>
  <c r="J15" i="1"/>
  <c r="P15" i="1"/>
  <c r="D16" i="1"/>
  <c r="F16" i="1"/>
  <c r="G16" i="1"/>
  <c r="H16" i="1"/>
  <c r="I16" i="1"/>
  <c r="J16" i="1"/>
  <c r="P16" i="1"/>
  <c r="D17" i="1"/>
  <c r="F17" i="1"/>
  <c r="G17" i="1"/>
  <c r="H17" i="1"/>
  <c r="I17" i="1"/>
  <c r="J17" i="1"/>
  <c r="P17" i="1"/>
  <c r="D18" i="1"/>
  <c r="F18" i="1"/>
  <c r="G18" i="1"/>
  <c r="H18" i="1"/>
  <c r="I18" i="1"/>
  <c r="J18" i="1"/>
  <c r="P18" i="1"/>
  <c r="D19" i="1"/>
  <c r="F19" i="1"/>
  <c r="G19" i="1"/>
  <c r="H19" i="1"/>
  <c r="I19" i="1"/>
  <c r="J19" i="1"/>
  <c r="P19" i="1"/>
  <c r="D20" i="1"/>
  <c r="F20" i="1"/>
  <c r="G20" i="1"/>
  <c r="H20" i="1"/>
  <c r="I20" i="1"/>
  <c r="J20" i="1"/>
  <c r="P20" i="1"/>
  <c r="D21" i="1"/>
  <c r="F21" i="1"/>
  <c r="G21" i="1"/>
  <c r="H21" i="1"/>
  <c r="I21" i="1"/>
  <c r="J21" i="1"/>
  <c r="P21" i="1"/>
  <c r="D22" i="1"/>
  <c r="F22" i="1"/>
  <c r="G22" i="1"/>
  <c r="H22" i="1"/>
  <c r="I22" i="1"/>
  <c r="J22" i="1"/>
  <c r="P22" i="1"/>
  <c r="D23" i="1"/>
  <c r="F23" i="1"/>
  <c r="G23" i="1"/>
  <c r="H23" i="1"/>
  <c r="I23" i="1"/>
  <c r="J23" i="1"/>
  <c r="P23" i="1"/>
  <c r="D24" i="1"/>
  <c r="F24" i="1"/>
  <c r="G24" i="1"/>
  <c r="H24" i="1"/>
  <c r="I24" i="1"/>
  <c r="J24" i="1"/>
  <c r="P24" i="1"/>
  <c r="D25" i="1"/>
  <c r="F25" i="1"/>
  <c r="G25" i="1"/>
  <c r="H25" i="1"/>
  <c r="I25" i="1"/>
  <c r="J25" i="1"/>
  <c r="P25" i="1"/>
  <c r="P26" i="1"/>
  <c r="G33" i="1"/>
  <c r="N33" i="1"/>
  <c r="G34" i="1"/>
  <c r="N34" i="1"/>
  <c r="G35" i="1"/>
  <c r="N35" i="1"/>
  <c r="P35" i="1"/>
  <c r="R35" i="1"/>
  <c r="T35" i="1"/>
  <c r="G36" i="1"/>
  <c r="N36" i="1"/>
  <c r="G37" i="1"/>
  <c r="N37" i="1"/>
  <c r="G38" i="1"/>
  <c r="N38" i="1"/>
  <c r="P38" i="1"/>
  <c r="R38" i="1"/>
  <c r="T38" i="1"/>
  <c r="G39" i="1"/>
  <c r="N39" i="1"/>
  <c r="G40" i="1"/>
  <c r="N40" i="1"/>
  <c r="G41" i="1"/>
  <c r="N41" i="1"/>
  <c r="P41" i="1"/>
  <c r="R41" i="1"/>
  <c r="T41" i="1"/>
  <c r="G42" i="1"/>
  <c r="N42" i="1"/>
  <c r="G43" i="1"/>
  <c r="N43" i="1"/>
  <c r="G44" i="1"/>
  <c r="N44" i="1"/>
  <c r="R45" i="1"/>
</calcChain>
</file>

<file path=xl/sharedStrings.xml><?xml version="1.0" encoding="utf-8"?>
<sst xmlns="http://schemas.openxmlformats.org/spreadsheetml/2006/main" count="28" uniqueCount="25">
  <si>
    <t>Price</t>
  </si>
  <si>
    <t>Vol</t>
  </si>
  <si>
    <t>IR</t>
  </si>
  <si>
    <t>Date - Time</t>
  </si>
  <si>
    <t>Valuation Date</t>
  </si>
  <si>
    <t>Average</t>
  </si>
  <si>
    <t>Avg Spot</t>
  </si>
  <si>
    <t>Random Shock</t>
  </si>
  <si>
    <t>Digital Payout - Daily</t>
  </si>
  <si>
    <t>Date</t>
  </si>
  <si>
    <t>300IC Price</t>
  </si>
  <si>
    <t>Volatility</t>
  </si>
  <si>
    <t>Gas - Daily Rate Correl</t>
  </si>
  <si>
    <t>Gas Cap</t>
  </si>
  <si>
    <t>Gas Floor</t>
  </si>
  <si>
    <t>Daily Rate Cap</t>
  </si>
  <si>
    <t>Daily Rate Floor</t>
  </si>
  <si>
    <t>Option Payout</t>
  </si>
  <si>
    <t>Contract</t>
  </si>
  <si>
    <t>Expiry</t>
  </si>
  <si>
    <t>Digital Day Rate Contingent on Average Gas Price Option</t>
  </si>
  <si>
    <t>Start Average</t>
  </si>
  <si>
    <t>End Average</t>
  </si>
  <si>
    <t>Time</t>
  </si>
  <si>
    <t>Gas 11/27/00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</si>
</sst>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.0000"/>
    <numFmt numFmtId="165" formatCode="0.0%"/>
    <numFmt numFmtId="166" formatCode="#,##0.000"/>
    <numFmt numFmtId="167" formatCode="#,##0.0"/>
    <numFmt numFmtId="168" formatCode="dd\-mmm\-yy"/>
    <numFmt numFmtId="171" formatCode="0.000%"/>
  </numFmts>
  <fonts count="9" x14ac:knownFonts="1">
    <font>
      <sz val="8"/>
      <name val="Arial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7"/>
      <name val="Arial"/>
      <family val="2"/>
    </font>
    <font>
      <sz val="18"/>
      <color indexed="12"/>
      <name val="Arial"/>
      <family val="2"/>
    </font>
    <font>
      <b/>
      <sz val="8"/>
      <name val="Arial"/>
      <family val="2"/>
    </font>
    <font>
      <sz val="14"/>
      <color indexed="10"/>
      <name val="Arial"/>
      <family val="2"/>
    </font>
    <font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7" fontId="0" fillId="0" borderId="0" xfId="0" applyNumberFormat="1" applyAlignment="1">
      <alignment horizontal="center"/>
    </xf>
    <xf numFmtId="164" fontId="3" fillId="0" borderId="0" xfId="0" applyNumberFormat="1" applyFont="1" applyAlignment="1">
      <alignment vertical="top" wrapText="1"/>
    </xf>
    <xf numFmtId="165" fontId="3" fillId="0" borderId="0" xfId="1" applyNumberFormat="1" applyFont="1"/>
    <xf numFmtId="0" fontId="0" fillId="0" borderId="0" xfId="0" applyAlignment="1">
      <alignment horizontal="center"/>
    </xf>
    <xf numFmtId="10" fontId="3" fillId="0" borderId="0" xfId="1" applyNumberFormat="1" applyFont="1"/>
    <xf numFmtId="0" fontId="0" fillId="0" borderId="0" xfId="0" applyAlignment="1">
      <alignment horizontal="centerContinuous"/>
    </xf>
    <xf numFmtId="17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vertical="top" wrapText="1"/>
    </xf>
    <xf numFmtId="165" fontId="3" fillId="2" borderId="0" xfId="1" applyNumberFormat="1" applyFont="1" applyFill="1"/>
    <xf numFmtId="10" fontId="3" fillId="2" borderId="0" xfId="1" applyNumberFormat="1" applyFont="1" applyFill="1"/>
    <xf numFmtId="15" fontId="0" fillId="0" borderId="0" xfId="0" applyNumberFormat="1" applyAlignment="1">
      <alignment horizontal="center"/>
    </xf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166" fontId="0" fillId="0" borderId="0" xfId="0" applyNumberFormat="1"/>
    <xf numFmtId="166" fontId="0" fillId="2" borderId="0" xfId="0" applyNumberFormat="1" applyFill="1"/>
    <xf numFmtId="164" fontId="4" fillId="0" borderId="0" xfId="0" applyNumberFormat="1" applyFont="1" applyAlignment="1">
      <alignment vertical="top" wrapText="1"/>
    </xf>
    <xf numFmtId="0" fontId="5" fillId="0" borderId="0" xfId="0" applyFont="1"/>
    <xf numFmtId="4" fontId="3" fillId="0" borderId="0" xfId="0" applyNumberFormat="1" applyFont="1"/>
    <xf numFmtId="4" fontId="3" fillId="0" borderId="0" xfId="0" applyNumberFormat="1" applyFont="1" applyAlignment="1">
      <alignment vertical="top" wrapText="1"/>
    </xf>
    <xf numFmtId="167" fontId="3" fillId="0" borderId="0" xfId="0" applyNumberFormat="1" applyFont="1" applyAlignment="1">
      <alignment vertical="top" wrapText="1"/>
    </xf>
    <xf numFmtId="3" fontId="3" fillId="0" borderId="0" xfId="0" applyNumberFormat="1" applyFont="1" applyAlignment="1">
      <alignment vertical="top" wrapText="1"/>
    </xf>
    <xf numFmtId="49" fontId="6" fillId="3" borderId="1" xfId="0" applyNumberFormat="1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8" fontId="2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10" fontId="2" fillId="4" borderId="0" xfId="1" applyNumberFormat="1" applyFont="1" applyFill="1" applyAlignment="1">
      <alignment horizontal="center"/>
    </xf>
    <xf numFmtId="10" fontId="7" fillId="0" borderId="0" xfId="1" applyNumberFormat="1" applyFont="1"/>
    <xf numFmtId="0" fontId="0" fillId="0" borderId="2" xfId="0" applyBorder="1"/>
    <xf numFmtId="10" fontId="2" fillId="0" borderId="0" xfId="1" applyNumberFormat="1" applyFont="1" applyAlignment="1">
      <alignment horizontal="center"/>
    </xf>
    <xf numFmtId="171" fontId="2" fillId="0" borderId="0" xfId="1" applyNumberFormat="1" applyFont="1" applyAlignment="1">
      <alignment horizontal="center"/>
    </xf>
    <xf numFmtId="166" fontId="0" fillId="2" borderId="3" xfId="0" applyNumberFormat="1" applyFill="1" applyBorder="1"/>
    <xf numFmtId="3" fontId="8" fillId="2" borderId="0" xfId="0" applyNumberFormat="1" applyFont="1" applyFill="1" applyAlignment="1">
      <alignment horizontal="center"/>
    </xf>
    <xf numFmtId="3" fontId="8" fillId="4" borderId="0" xfId="0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8" fillId="4" borderId="0" xfId="1" applyNumberFormat="1" applyFont="1" applyFill="1" applyAlignment="1">
      <alignment horizontal="center"/>
    </xf>
    <xf numFmtId="165" fontId="2" fillId="0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5"/>
  <sheetViews>
    <sheetView tabSelected="1" workbookViewId="0"/>
  </sheetViews>
  <sheetFormatPr defaultRowHeight="10.199999999999999" x14ac:dyDescent="0.2"/>
  <cols>
    <col min="1" max="1" width="5.85546875" customWidth="1"/>
    <col min="4" max="4" width="11.140625" customWidth="1"/>
    <col min="5" max="5" width="3.85546875" customWidth="1"/>
    <col min="6" max="6" width="11.140625" customWidth="1"/>
    <col min="8" max="8" width="11" customWidth="1"/>
    <col min="10" max="10" width="10.140625" customWidth="1"/>
    <col min="13" max="13" width="5.7109375" customWidth="1"/>
    <col min="14" max="14" width="11.28515625" customWidth="1"/>
    <col min="15" max="15" width="4.7109375" customWidth="1"/>
    <col min="17" max="17" width="2.28515625" customWidth="1"/>
    <col min="18" max="18" width="12.7109375" customWidth="1"/>
    <col min="19" max="19" width="2.42578125" customWidth="1"/>
    <col min="20" max="20" width="10.85546875" customWidth="1"/>
  </cols>
  <sheetData>
    <row r="2" spans="2:18" ht="22.8" x14ac:dyDescent="0.4">
      <c r="B2" s="18" t="s">
        <v>20</v>
      </c>
    </row>
    <row r="4" spans="2:18" x14ac:dyDescent="0.2">
      <c r="C4" t="s">
        <v>4</v>
      </c>
      <c r="F4" s="11">
        <f ca="1">TODAY()</f>
        <v>36858</v>
      </c>
    </row>
    <row r="6" spans="2:18" x14ac:dyDescent="0.2">
      <c r="F6" t="s">
        <v>13</v>
      </c>
      <c r="H6" s="19">
        <v>4.3499999999999996</v>
      </c>
    </row>
    <row r="7" spans="2:18" x14ac:dyDescent="0.2">
      <c r="F7" t="s">
        <v>14</v>
      </c>
      <c r="H7" s="20">
        <v>3.25</v>
      </c>
    </row>
    <row r="8" spans="2:18" x14ac:dyDescent="0.2">
      <c r="F8" t="s">
        <v>8</v>
      </c>
      <c r="H8" s="22">
        <v>5000</v>
      </c>
    </row>
    <row r="9" spans="2:18" x14ac:dyDescent="0.2">
      <c r="F9" t="s">
        <v>12</v>
      </c>
      <c r="H9" s="21">
        <v>0</v>
      </c>
    </row>
    <row r="10" spans="2:18" x14ac:dyDescent="0.2">
      <c r="J10" t="s">
        <v>7</v>
      </c>
      <c r="L10" s="17">
        <v>-1</v>
      </c>
    </row>
    <row r="12" spans="2:18" x14ac:dyDescent="0.2">
      <c r="F12" s="6" t="s">
        <v>3</v>
      </c>
      <c r="G12" s="6"/>
      <c r="H12" s="6"/>
      <c r="I12" s="6"/>
      <c r="J12" s="6" t="s">
        <v>5</v>
      </c>
      <c r="K12" s="6" t="s">
        <v>24</v>
      </c>
      <c r="L12" s="6"/>
    </row>
    <row r="13" spans="2:18" x14ac:dyDescent="0.2">
      <c r="C13" s="4" t="s">
        <v>18</v>
      </c>
      <c r="D13" s="4" t="s">
        <v>19</v>
      </c>
      <c r="F13" s="6" t="s">
        <v>21</v>
      </c>
      <c r="G13" s="6"/>
      <c r="H13" s="6" t="s">
        <v>22</v>
      </c>
      <c r="I13" s="6"/>
      <c r="J13" s="4" t="s">
        <v>23</v>
      </c>
      <c r="K13" s="4" t="s">
        <v>0</v>
      </c>
      <c r="L13" s="4" t="s">
        <v>1</v>
      </c>
      <c r="M13" s="4"/>
      <c r="N13" s="4" t="s">
        <v>2</v>
      </c>
      <c r="P13" s="4" t="s">
        <v>6</v>
      </c>
      <c r="R13" s="4"/>
    </row>
    <row r="14" spans="2:18" x14ac:dyDescent="0.2">
      <c r="B14" s="4">
        <v>1</v>
      </c>
      <c r="C14" s="1">
        <v>36892</v>
      </c>
      <c r="D14" s="15">
        <f t="shared" ref="D14:D25" ca="1" si="0">(C14-$F$4)/365.25</f>
        <v>9.3086926762491445E-2</v>
      </c>
      <c r="F14" s="12">
        <f t="shared" ref="F14:F25" si="1">H14-3</f>
        <v>36888</v>
      </c>
      <c r="G14" s="15">
        <f ca="1">(F14-$F$4)/365.25</f>
        <v>8.2135523613963035E-2</v>
      </c>
      <c r="H14" s="12">
        <f t="shared" ref="H14:H25" si="2">EOMONTH(C14,-1)</f>
        <v>36891</v>
      </c>
      <c r="I14" s="15">
        <f ca="1">(H14-$F$4)/365.25</f>
        <v>9.034907597535935E-2</v>
      </c>
      <c r="J14" s="15">
        <f t="shared" ref="J14:J25" ca="1" si="3">(I14+G14)/2</f>
        <v>8.6242299794661192E-2</v>
      </c>
      <c r="K14" s="2">
        <v>6.4729999999999999</v>
      </c>
      <c r="L14" s="3">
        <v>0.82499999999999996</v>
      </c>
      <c r="M14" s="3"/>
      <c r="N14" s="5">
        <v>6.7925077742511997E-2</v>
      </c>
      <c r="P14" s="16">
        <f ca="1">K14*EXP(-0.5*J14*L14^2+L14*$L$10*SQRT(J14))</f>
        <v>4.9333204104311879</v>
      </c>
    </row>
    <row r="15" spans="2:18" x14ac:dyDescent="0.2">
      <c r="B15" s="4">
        <v>2</v>
      </c>
      <c r="C15" s="1">
        <v>36923</v>
      </c>
      <c r="D15" s="15">
        <f t="shared" ca="1" si="0"/>
        <v>0.17796030116358658</v>
      </c>
      <c r="F15" s="12">
        <f t="shared" si="1"/>
        <v>36919</v>
      </c>
      <c r="G15" s="15">
        <f t="shared" ref="G15:G25" ca="1" si="4">(F15-$F$4)/365.25</f>
        <v>0.16700889801505817</v>
      </c>
      <c r="H15" s="12">
        <f t="shared" si="2"/>
        <v>36922</v>
      </c>
      <c r="I15" s="15">
        <f t="shared" ref="I15:I25" ca="1" si="5">(H15-$F$4)/365.25</f>
        <v>0.17522245037645448</v>
      </c>
      <c r="J15" s="15">
        <f t="shared" ca="1" si="3"/>
        <v>0.17111567419575632</v>
      </c>
      <c r="K15" s="2">
        <v>6.21</v>
      </c>
      <c r="L15" s="3">
        <v>0.81499999999999995</v>
      </c>
      <c r="M15" s="3"/>
      <c r="N15" s="5">
        <v>6.9360245183697003E-2</v>
      </c>
      <c r="P15" s="16">
        <f t="shared" ref="P15:P25" ca="1" si="6">K15*EXP(-0.5*J15*L15^2+L15*$L$10*SQRT(J15))</f>
        <v>4.187891055030212</v>
      </c>
    </row>
    <row r="16" spans="2:18" x14ac:dyDescent="0.2">
      <c r="B16" s="4">
        <v>3</v>
      </c>
      <c r="C16" s="7">
        <v>36951</v>
      </c>
      <c r="D16" s="16">
        <f t="shared" ca="1" si="0"/>
        <v>0.25462012320328542</v>
      </c>
      <c r="E16" s="14"/>
      <c r="F16" s="13">
        <f t="shared" si="1"/>
        <v>36947</v>
      </c>
      <c r="G16" s="16">
        <f t="shared" ca="1" si="4"/>
        <v>0.24366872005475701</v>
      </c>
      <c r="H16" s="13">
        <f t="shared" si="2"/>
        <v>36950</v>
      </c>
      <c r="I16" s="16">
        <f t="shared" ca="1" si="5"/>
        <v>0.2518822724161533</v>
      </c>
      <c r="J16" s="16">
        <f t="shared" ca="1" si="3"/>
        <v>0.24777549623545514</v>
      </c>
      <c r="K16" s="8">
        <v>5.63</v>
      </c>
      <c r="L16" s="9">
        <v>0.75749999999999995</v>
      </c>
      <c r="M16" s="9"/>
      <c r="N16" s="10">
        <v>6.8992527688545996E-2</v>
      </c>
      <c r="P16" s="16">
        <f t="shared" ca="1" si="6"/>
        <v>3.5964983975998028</v>
      </c>
    </row>
    <row r="17" spans="2:16" x14ac:dyDescent="0.2">
      <c r="B17" s="4">
        <v>4</v>
      </c>
      <c r="C17" s="1">
        <v>36982</v>
      </c>
      <c r="D17" s="15">
        <f t="shared" ca="1" si="0"/>
        <v>0.33949349760438058</v>
      </c>
      <c r="F17" s="12">
        <f t="shared" si="1"/>
        <v>36978</v>
      </c>
      <c r="G17" s="15">
        <f t="shared" ca="1" si="4"/>
        <v>0.32854209445585214</v>
      </c>
      <c r="H17" s="12">
        <f t="shared" si="2"/>
        <v>36981</v>
      </c>
      <c r="I17" s="15">
        <f t="shared" ca="1" si="5"/>
        <v>0.33675564681724846</v>
      </c>
      <c r="J17" s="15">
        <f t="shared" ca="1" si="3"/>
        <v>0.3326488706365503</v>
      </c>
      <c r="K17" s="2">
        <v>4.9400000000000004</v>
      </c>
      <c r="L17" s="3">
        <v>0.60250000000000004</v>
      </c>
      <c r="M17" s="3"/>
      <c r="N17" s="5">
        <v>6.8396262638128993E-2</v>
      </c>
      <c r="P17" s="16">
        <f t="shared" ca="1" si="6"/>
        <v>3.2854128032940655</v>
      </c>
    </row>
    <row r="18" spans="2:16" x14ac:dyDescent="0.2">
      <c r="B18" s="4">
        <v>5</v>
      </c>
      <c r="C18" s="1">
        <v>37012</v>
      </c>
      <c r="D18" s="15">
        <f t="shared" ca="1" si="0"/>
        <v>0.42162902121834361</v>
      </c>
      <c r="F18" s="12">
        <f t="shared" si="1"/>
        <v>37008</v>
      </c>
      <c r="G18" s="15">
        <f t="shared" ca="1" si="4"/>
        <v>0.41067761806981518</v>
      </c>
      <c r="H18" s="12">
        <f t="shared" si="2"/>
        <v>37011</v>
      </c>
      <c r="I18" s="15">
        <f t="shared" ca="1" si="5"/>
        <v>0.41889117043121149</v>
      </c>
      <c r="J18" s="15">
        <f t="shared" ca="1" si="3"/>
        <v>0.41478439425051333</v>
      </c>
      <c r="K18" s="2">
        <v>4.7</v>
      </c>
      <c r="L18" s="3">
        <v>0.495</v>
      </c>
      <c r="M18" s="3"/>
      <c r="N18" s="5">
        <v>6.8048071698248003E-2</v>
      </c>
      <c r="P18" s="16">
        <f t="shared" ca="1" si="6"/>
        <v>3.247701896444056</v>
      </c>
    </row>
    <row r="19" spans="2:16" x14ac:dyDescent="0.2">
      <c r="B19" s="4">
        <v>6</v>
      </c>
      <c r="C19" s="7">
        <v>37043</v>
      </c>
      <c r="D19" s="16">
        <f t="shared" ca="1" si="0"/>
        <v>0.50650239561943877</v>
      </c>
      <c r="E19" s="14"/>
      <c r="F19" s="13">
        <f t="shared" si="1"/>
        <v>37039</v>
      </c>
      <c r="G19" s="16">
        <f t="shared" ca="1" si="4"/>
        <v>0.49555099247091033</v>
      </c>
      <c r="H19" s="13">
        <f t="shared" si="2"/>
        <v>37042</v>
      </c>
      <c r="I19" s="16">
        <f t="shared" ca="1" si="5"/>
        <v>0.50376454483230659</v>
      </c>
      <c r="J19" s="16">
        <f t="shared" ca="1" si="3"/>
        <v>0.49965776865160849</v>
      </c>
      <c r="K19" s="8">
        <v>4.665</v>
      </c>
      <c r="L19" s="9">
        <v>0.45500000000000002</v>
      </c>
      <c r="M19" s="9"/>
      <c r="N19" s="10">
        <v>6.7688274435858994E-2</v>
      </c>
      <c r="P19" s="16">
        <f t="shared" ca="1" si="6"/>
        <v>3.2115174466254333</v>
      </c>
    </row>
    <row r="20" spans="2:16" x14ac:dyDescent="0.2">
      <c r="B20" s="4">
        <v>7</v>
      </c>
      <c r="C20" s="1">
        <v>37073</v>
      </c>
      <c r="D20" s="15">
        <f t="shared" ca="1" si="0"/>
        <v>0.58863791923340181</v>
      </c>
      <c r="F20" s="12">
        <f t="shared" si="1"/>
        <v>37069</v>
      </c>
      <c r="G20" s="15">
        <f t="shared" ca="1" si="4"/>
        <v>0.57768651608487342</v>
      </c>
      <c r="H20" s="12">
        <f t="shared" si="2"/>
        <v>37072</v>
      </c>
      <c r="I20" s="15">
        <f t="shared" ca="1" si="5"/>
        <v>0.58590006844626963</v>
      </c>
      <c r="J20" s="15">
        <f t="shared" ca="1" si="3"/>
        <v>0.58179329226557153</v>
      </c>
      <c r="K20" s="2">
        <v>4.6500000000000004</v>
      </c>
      <c r="L20" s="3">
        <v>0.45</v>
      </c>
      <c r="M20" s="3"/>
      <c r="N20" s="5">
        <v>6.7360091974491998E-2</v>
      </c>
      <c r="P20" s="16">
        <f t="shared" ca="1" si="6"/>
        <v>3.1103070728420952</v>
      </c>
    </row>
    <row r="21" spans="2:16" x14ac:dyDescent="0.2">
      <c r="B21" s="4">
        <v>8</v>
      </c>
      <c r="C21" s="1">
        <v>37104</v>
      </c>
      <c r="D21" s="15">
        <f t="shared" ca="1" si="0"/>
        <v>0.67351129363449691</v>
      </c>
      <c r="F21" s="12">
        <f t="shared" si="1"/>
        <v>37100</v>
      </c>
      <c r="G21" s="15">
        <f t="shared" ca="1" si="4"/>
        <v>0.66255989048596853</v>
      </c>
      <c r="H21" s="12">
        <f t="shared" si="2"/>
        <v>37103</v>
      </c>
      <c r="I21" s="15">
        <f t="shared" ca="1" si="5"/>
        <v>0.67077344284736484</v>
      </c>
      <c r="J21" s="15">
        <f t="shared" ca="1" si="3"/>
        <v>0.66666666666666674</v>
      </c>
      <c r="K21" s="2">
        <v>4.6349999999999998</v>
      </c>
      <c r="L21" s="3">
        <v>0.45</v>
      </c>
      <c r="M21" s="3"/>
      <c r="N21" s="5">
        <v>6.7058100612434002E-2</v>
      </c>
      <c r="P21" s="16">
        <f t="shared" ca="1" si="6"/>
        <v>3.000301361932185</v>
      </c>
    </row>
    <row r="22" spans="2:16" x14ac:dyDescent="0.2">
      <c r="B22" s="4">
        <v>9</v>
      </c>
      <c r="C22" s="7">
        <v>37135</v>
      </c>
      <c r="D22" s="16">
        <f t="shared" ca="1" si="0"/>
        <v>0.75838466803559201</v>
      </c>
      <c r="E22" s="14"/>
      <c r="F22" s="13">
        <f t="shared" si="1"/>
        <v>37131</v>
      </c>
      <c r="G22" s="16">
        <f t="shared" ca="1" si="4"/>
        <v>0.74743326488706363</v>
      </c>
      <c r="H22" s="13">
        <f t="shared" si="2"/>
        <v>37134</v>
      </c>
      <c r="I22" s="16">
        <f t="shared" ca="1" si="5"/>
        <v>0.75564681724845995</v>
      </c>
      <c r="J22" s="16">
        <f t="shared" ca="1" si="3"/>
        <v>0.75154004106776173</v>
      </c>
      <c r="K22" s="8">
        <v>4.6150000000000002</v>
      </c>
      <c r="L22" s="9">
        <v>0.45</v>
      </c>
      <c r="M22" s="9"/>
      <c r="N22" s="10">
        <v>6.6756109280575002E-2</v>
      </c>
      <c r="P22" s="16">
        <f t="shared" ca="1" si="6"/>
        <v>2.8953531734698688</v>
      </c>
    </row>
    <row r="23" spans="2:16" x14ac:dyDescent="0.2">
      <c r="B23" s="4">
        <v>10</v>
      </c>
      <c r="C23" s="1">
        <v>37165</v>
      </c>
      <c r="D23" s="15">
        <f t="shared" ca="1" si="0"/>
        <v>0.84052019164955505</v>
      </c>
      <c r="F23" s="12">
        <f t="shared" si="1"/>
        <v>37161</v>
      </c>
      <c r="G23" s="15">
        <f t="shared" ca="1" si="4"/>
        <v>0.82956878850102667</v>
      </c>
      <c r="H23" s="12">
        <f t="shared" si="2"/>
        <v>37164</v>
      </c>
      <c r="I23" s="15">
        <f t="shared" ca="1" si="5"/>
        <v>0.83778234086242298</v>
      </c>
      <c r="J23" s="15">
        <f t="shared" ca="1" si="3"/>
        <v>0.83367556468172488</v>
      </c>
      <c r="K23" s="2">
        <v>4.6050000000000004</v>
      </c>
      <c r="L23" s="3">
        <v>0.45</v>
      </c>
      <c r="M23" s="3"/>
      <c r="N23" s="5">
        <v>6.6496597919272996E-2</v>
      </c>
      <c r="P23" s="16">
        <f t="shared" ca="1" si="6"/>
        <v>2.8062715669034004</v>
      </c>
    </row>
    <row r="24" spans="2:16" x14ac:dyDescent="0.2">
      <c r="B24" s="4">
        <v>11</v>
      </c>
      <c r="C24" s="1">
        <v>37196</v>
      </c>
      <c r="D24" s="15">
        <f t="shared" ca="1" si="0"/>
        <v>0.92539356605065026</v>
      </c>
      <c r="F24" s="12">
        <f t="shared" si="1"/>
        <v>37192</v>
      </c>
      <c r="G24" s="15">
        <f t="shared" ca="1" si="4"/>
        <v>0.91444216290212188</v>
      </c>
      <c r="H24" s="12">
        <f t="shared" si="2"/>
        <v>37195</v>
      </c>
      <c r="I24" s="15">
        <f t="shared" ca="1" si="5"/>
        <v>0.92265571526351808</v>
      </c>
      <c r="J24" s="15">
        <f t="shared" ca="1" si="3"/>
        <v>0.91854893908281998</v>
      </c>
      <c r="K24" s="2">
        <v>4.6950000000000003</v>
      </c>
      <c r="L24" s="3">
        <v>0.45</v>
      </c>
      <c r="M24" s="3"/>
      <c r="N24" s="5">
        <v>6.6281701761680994E-2</v>
      </c>
      <c r="P24" s="16">
        <f t="shared" ca="1" si="6"/>
        <v>2.7793322966986924</v>
      </c>
    </row>
    <row r="25" spans="2:16" x14ac:dyDescent="0.2">
      <c r="B25" s="4">
        <v>12</v>
      </c>
      <c r="C25" s="7">
        <v>37226</v>
      </c>
      <c r="D25" s="16">
        <f t="shared" ca="1" si="0"/>
        <v>1.0075290896646132</v>
      </c>
      <c r="E25" s="14"/>
      <c r="F25" s="13">
        <f t="shared" si="1"/>
        <v>37222</v>
      </c>
      <c r="G25" s="16">
        <f t="shared" ca="1" si="4"/>
        <v>0.99657768651608492</v>
      </c>
      <c r="H25" s="13">
        <f t="shared" si="2"/>
        <v>37225</v>
      </c>
      <c r="I25" s="16">
        <f t="shared" ca="1" si="5"/>
        <v>1.0047912388774811</v>
      </c>
      <c r="J25" s="16">
        <f t="shared" ca="1" si="3"/>
        <v>1.000684462696783</v>
      </c>
      <c r="K25" s="8">
        <v>4.7850000000000001</v>
      </c>
      <c r="L25" s="9">
        <v>0.45</v>
      </c>
      <c r="M25" s="9"/>
      <c r="N25" s="10">
        <v>6.6073737752770006E-2</v>
      </c>
      <c r="P25" s="37">
        <f t="shared" ca="1" si="6"/>
        <v>2.7566405471700346</v>
      </c>
    </row>
    <row r="26" spans="2:16" ht="17.399999999999999" x14ac:dyDescent="0.3">
      <c r="C26" s="1"/>
      <c r="D26" s="15"/>
      <c r="F26" s="12"/>
      <c r="G26" s="15"/>
      <c r="H26" s="11"/>
      <c r="I26" s="15"/>
      <c r="J26" s="15"/>
      <c r="K26" s="2"/>
      <c r="M26" s="33" t="s">
        <v>5</v>
      </c>
      <c r="P26" s="16">
        <f ca="1">AVERAGE(P14:P25)</f>
        <v>3.3175456690367522</v>
      </c>
    </row>
    <row r="27" spans="2:16" x14ac:dyDescent="0.2">
      <c r="F27" t="s">
        <v>15</v>
      </c>
      <c r="H27" s="22">
        <v>55000</v>
      </c>
      <c r="I27" s="1"/>
      <c r="J27" s="1"/>
      <c r="K27" s="2"/>
      <c r="L27" s="3"/>
      <c r="M27" s="3"/>
      <c r="N27" s="3"/>
      <c r="O27" s="3"/>
      <c r="P27" s="5"/>
    </row>
    <row r="28" spans="2:16" x14ac:dyDescent="0.2">
      <c r="F28" t="s">
        <v>16</v>
      </c>
      <c r="H28" s="22">
        <v>37000</v>
      </c>
      <c r="I28" s="1"/>
      <c r="J28" s="1"/>
      <c r="K28" s="2"/>
      <c r="L28" s="3"/>
      <c r="M28" s="3"/>
      <c r="N28" s="3"/>
      <c r="O28" s="3"/>
      <c r="P28" s="5"/>
    </row>
    <row r="29" spans="2:16" x14ac:dyDescent="0.2">
      <c r="J29" t="s">
        <v>7</v>
      </c>
      <c r="L29" s="17">
        <v>0</v>
      </c>
    </row>
    <row r="32" spans="2:16" ht="21" thickBot="1" x14ac:dyDescent="0.25">
      <c r="C32" s="23"/>
      <c r="D32" s="23" t="s">
        <v>9</v>
      </c>
      <c r="E32" s="23"/>
      <c r="F32" s="24"/>
      <c r="G32" s="24"/>
      <c r="H32" s="23"/>
      <c r="I32" s="23" t="s">
        <v>10</v>
      </c>
      <c r="J32" s="23"/>
      <c r="K32" s="23"/>
      <c r="L32" s="23" t="s">
        <v>11</v>
      </c>
      <c r="M32" s="23"/>
      <c r="N32" s="23" t="s">
        <v>2</v>
      </c>
    </row>
    <row r="33" spans="3:20" x14ac:dyDescent="0.2">
      <c r="C33" s="25">
        <v>1</v>
      </c>
      <c r="D33" s="26">
        <v>36892</v>
      </c>
      <c r="F33" s="26">
        <v>36922</v>
      </c>
      <c r="G33" s="15">
        <f ca="1">(F33-$F$4)/365.25</f>
        <v>0.17522245037645448</v>
      </c>
      <c r="H33" s="27"/>
      <c r="I33" s="38">
        <v>53437.928317195212</v>
      </c>
      <c r="J33" s="28"/>
      <c r="K33" s="28"/>
      <c r="L33" s="40">
        <v>0.389469022791672</v>
      </c>
      <c r="M33" s="29"/>
      <c r="N33" s="35">
        <f>N14</f>
        <v>6.7925077742511997E-2</v>
      </c>
    </row>
    <row r="34" spans="3:20" x14ac:dyDescent="0.2">
      <c r="C34" s="25">
        <v>2</v>
      </c>
      <c r="D34" s="26">
        <v>36923</v>
      </c>
      <c r="F34" s="26">
        <v>36950</v>
      </c>
      <c r="G34" s="15">
        <f t="shared" ref="G34:G44" ca="1" si="7">(F34-$F$4)/365.25</f>
        <v>0.2518822724161533</v>
      </c>
      <c r="H34" s="27"/>
      <c r="I34" s="38">
        <v>54758.444700867432</v>
      </c>
      <c r="J34" s="28"/>
      <c r="K34" s="28"/>
      <c r="L34" s="40">
        <v>0.37412729190022054</v>
      </c>
      <c r="M34" s="29"/>
      <c r="N34" s="35">
        <f t="shared" ref="N34:N43" si="8">N15</f>
        <v>6.9360245183697003E-2</v>
      </c>
    </row>
    <row r="35" spans="3:20" x14ac:dyDescent="0.2">
      <c r="C35" s="25">
        <v>3</v>
      </c>
      <c r="D35" s="26">
        <v>36951</v>
      </c>
      <c r="F35" s="30">
        <v>36981</v>
      </c>
      <c r="G35" s="15">
        <f t="shared" ca="1" si="7"/>
        <v>0.33675564681724846</v>
      </c>
      <c r="H35" s="27"/>
      <c r="I35" s="39">
        <v>55902.328022646143</v>
      </c>
      <c r="J35" s="28"/>
      <c r="K35" s="28"/>
      <c r="L35" s="41">
        <v>0.35851429852999928</v>
      </c>
      <c r="M35" s="42"/>
      <c r="N35" s="32">
        <f t="shared" si="8"/>
        <v>6.8992527688545996E-2</v>
      </c>
      <c r="P35" s="31">
        <f ca="1">I35*EXP(-0.5*G35*L35^2+L35*$L$29*SQRT(G35))</f>
        <v>54705.486307735468</v>
      </c>
      <c r="R35" s="31">
        <f ca="1">$H$8*(F38-D36+1)*IF(AND($P$26&gt;=$H$6,P35&gt;=$H$27),1,IF(AND($P$26&lt;=$H$7,P35&lt;=$H$28),-1,0))*EXP(-$N$44*$G$44)</f>
        <v>0</v>
      </c>
      <c r="T35" s="16">
        <f>F38-D36+1</f>
        <v>91</v>
      </c>
    </row>
    <row r="36" spans="3:20" x14ac:dyDescent="0.2">
      <c r="C36" s="25">
        <v>4</v>
      </c>
      <c r="D36" s="26">
        <v>36982</v>
      </c>
      <c r="F36" s="26">
        <v>37011</v>
      </c>
      <c r="G36" s="15">
        <f t="shared" ca="1" si="7"/>
        <v>0.41889117043121149</v>
      </c>
      <c r="H36" s="27"/>
      <c r="I36" s="38">
        <v>56911.304619292991</v>
      </c>
      <c r="J36" s="28"/>
      <c r="K36" s="28"/>
      <c r="L36" s="40">
        <v>0.34466660569121499</v>
      </c>
      <c r="M36" s="42"/>
      <c r="N36" s="35">
        <f t="shared" si="8"/>
        <v>6.8396262638128993E-2</v>
      </c>
    </row>
    <row r="37" spans="3:20" x14ac:dyDescent="0.2">
      <c r="C37" s="25">
        <v>5</v>
      </c>
      <c r="D37" s="26">
        <v>37012</v>
      </c>
      <c r="F37" s="26">
        <v>37042</v>
      </c>
      <c r="G37" s="15">
        <f t="shared" ca="1" si="7"/>
        <v>0.50376454483230659</v>
      </c>
      <c r="H37" s="27"/>
      <c r="I37" s="38">
        <v>57813.864940624189</v>
      </c>
      <c r="J37" s="28"/>
      <c r="K37" s="28"/>
      <c r="L37" s="40">
        <v>0.33155162731669363</v>
      </c>
      <c r="M37" s="42"/>
      <c r="N37" s="35">
        <f t="shared" si="8"/>
        <v>6.8048071698248003E-2</v>
      </c>
    </row>
    <row r="38" spans="3:20" x14ac:dyDescent="0.2">
      <c r="C38" s="25">
        <v>6</v>
      </c>
      <c r="D38" s="26">
        <v>37043</v>
      </c>
      <c r="F38" s="30">
        <v>37072</v>
      </c>
      <c r="G38" s="15">
        <f t="shared" ca="1" si="7"/>
        <v>0.58590006844626963</v>
      </c>
      <c r="H38" s="27"/>
      <c r="I38" s="39">
        <v>58630.330064899958</v>
      </c>
      <c r="J38" s="28"/>
      <c r="K38" s="28"/>
      <c r="L38" s="41">
        <v>0.31991950861842655</v>
      </c>
      <c r="M38" s="42"/>
      <c r="N38" s="32">
        <f t="shared" si="8"/>
        <v>6.7688274435858994E-2</v>
      </c>
      <c r="P38" s="31">
        <f ca="1">I38*EXP(-0.5*G38*L38^2+L38*$L$29*SQRT(G38))</f>
        <v>56898.509536552716</v>
      </c>
      <c r="R38" s="31">
        <f ca="1">$H$8*(F41-D39+1)*IF(AND($P$26&gt;=$H$6,P38&gt;=$H$27),1,IF(AND($P$26&lt;=$H$7,P38&lt;=$H$28),-1,0))*EXP(-$N$44*$G$44)</f>
        <v>0</v>
      </c>
      <c r="T38" s="16">
        <f>F41-D39+1</f>
        <v>92</v>
      </c>
    </row>
    <row r="39" spans="3:20" x14ac:dyDescent="0.2">
      <c r="C39" s="25">
        <v>7</v>
      </c>
      <c r="D39" s="26">
        <v>37073</v>
      </c>
      <c r="F39" s="26">
        <v>37103</v>
      </c>
      <c r="G39" s="15">
        <f t="shared" ca="1" si="7"/>
        <v>0.67077344284736484</v>
      </c>
      <c r="H39" s="27"/>
      <c r="I39" s="38">
        <v>59375.704324743929</v>
      </c>
      <c r="J39" s="28"/>
      <c r="K39" s="28"/>
      <c r="L39" s="40">
        <v>0.30890287307099684</v>
      </c>
      <c r="M39" s="42"/>
      <c r="N39" s="35">
        <f t="shared" si="8"/>
        <v>6.7360091974491998E-2</v>
      </c>
    </row>
    <row r="40" spans="3:20" x14ac:dyDescent="0.2">
      <c r="C40" s="25">
        <v>8</v>
      </c>
      <c r="D40" s="26">
        <v>37104</v>
      </c>
      <c r="F40" s="26">
        <v>37134</v>
      </c>
      <c r="G40" s="15">
        <f t="shared" ca="1" si="7"/>
        <v>0.75564681724845995</v>
      </c>
      <c r="H40" s="27"/>
      <c r="I40" s="38">
        <v>60061.38217575851</v>
      </c>
      <c r="J40" s="28"/>
      <c r="K40" s="28"/>
      <c r="L40" s="40">
        <v>0.2988203542852883</v>
      </c>
      <c r="M40" s="42"/>
      <c r="N40" s="35">
        <f t="shared" si="8"/>
        <v>6.7058100612434002E-2</v>
      </c>
    </row>
    <row r="41" spans="3:20" x14ac:dyDescent="0.2">
      <c r="C41" s="25">
        <v>9</v>
      </c>
      <c r="D41" s="30">
        <v>37135</v>
      </c>
      <c r="F41" s="30">
        <v>37164</v>
      </c>
      <c r="G41" s="15">
        <f t="shared" ca="1" si="7"/>
        <v>0.83778234086242298</v>
      </c>
      <c r="H41" s="27"/>
      <c r="I41" s="39">
        <v>60696.220708416149</v>
      </c>
      <c r="J41" s="28"/>
      <c r="K41" s="28"/>
      <c r="L41" s="41">
        <v>0.28987782674588242</v>
      </c>
      <c r="M41" s="42"/>
      <c r="N41" s="32">
        <f t="shared" si="8"/>
        <v>6.6756109280575002E-2</v>
      </c>
      <c r="P41" s="31">
        <f ca="1">I41*EXP(-0.5*G41*L41^2+L41*$L$29*SQRT(G41))</f>
        <v>58596.933359736831</v>
      </c>
      <c r="R41" s="31">
        <f ca="1">$H$8*(F44-D42+1)*IF(AND($P$26&gt;=$H$6,P41&gt;=$H$27),1,IF(AND($P$26&lt;=$H$7,P41&lt;=$H$28),-1,0))*EXP(-$N$44*$G$44)</f>
        <v>0</v>
      </c>
      <c r="T41" s="16">
        <f>F44-D42+1</f>
        <v>92</v>
      </c>
    </row>
    <row r="42" spans="3:20" x14ac:dyDescent="0.2">
      <c r="C42" s="25">
        <v>10</v>
      </c>
      <c r="D42" s="26">
        <v>37165</v>
      </c>
      <c r="F42" s="26">
        <v>37195</v>
      </c>
      <c r="G42" s="15">
        <f t="shared" ca="1" si="7"/>
        <v>0.92265571526351808</v>
      </c>
      <c r="H42" s="27"/>
      <c r="I42" s="38">
        <v>61287.241242721968</v>
      </c>
      <c r="J42" s="28"/>
      <c r="K42" s="28"/>
      <c r="L42" s="40">
        <v>0.28140846967259492</v>
      </c>
      <c r="M42" s="29"/>
      <c r="N42" s="35">
        <f t="shared" si="8"/>
        <v>6.6496597919272996E-2</v>
      </c>
    </row>
    <row r="43" spans="3:20" x14ac:dyDescent="0.2">
      <c r="C43" s="25">
        <v>11</v>
      </c>
      <c r="D43" s="26">
        <v>37196</v>
      </c>
      <c r="F43" s="26">
        <v>37225</v>
      </c>
      <c r="G43" s="15">
        <f t="shared" ca="1" si="7"/>
        <v>1.0047912388774811</v>
      </c>
      <c r="H43" s="27"/>
      <c r="I43" s="38">
        <v>61840.10403019486</v>
      </c>
      <c r="J43" s="28"/>
      <c r="K43" s="28"/>
      <c r="L43" s="40">
        <v>0.27389670991507392</v>
      </c>
      <c r="M43" s="29"/>
      <c r="N43" s="35">
        <f t="shared" si="8"/>
        <v>6.6281701761680994E-2</v>
      </c>
    </row>
    <row r="44" spans="3:20" ht="10.8" thickBot="1" x14ac:dyDescent="0.25">
      <c r="C44" s="25">
        <v>12</v>
      </c>
      <c r="D44" s="26">
        <v>37226</v>
      </c>
      <c r="F44" s="26">
        <v>37256</v>
      </c>
      <c r="G44" s="15">
        <f t="shared" ca="1" si="7"/>
        <v>1.0896646132785763</v>
      </c>
      <c r="H44" s="27"/>
      <c r="I44" s="38">
        <v>62359.438790523171</v>
      </c>
      <c r="J44" s="28"/>
      <c r="K44" s="28"/>
      <c r="L44" s="40">
        <v>0.26678241528697783</v>
      </c>
      <c r="M44" s="29"/>
      <c r="N44" s="36">
        <f>N25</f>
        <v>6.6073737752770006E-2</v>
      </c>
      <c r="R44" s="34"/>
    </row>
    <row r="45" spans="3:20" ht="18" thickTop="1" x14ac:dyDescent="0.3">
      <c r="H45" s="27"/>
      <c r="N45" s="33" t="s">
        <v>17</v>
      </c>
      <c r="R45" s="31">
        <f ca="1">SUM(R33:R44)</f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0.199999999999999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Issler</dc:creator>
  <cp:lastModifiedBy>Havlíček Jan</cp:lastModifiedBy>
  <dcterms:created xsi:type="dcterms:W3CDTF">2000-11-20T20:26:25Z</dcterms:created>
  <dcterms:modified xsi:type="dcterms:W3CDTF">2023-09-10T11:18:55Z</dcterms:modified>
</cp:coreProperties>
</file>